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Statistikk og analyse\Livstatistikk\Faste statistikker\MA\2023\Q1-2023\Publisert\"/>
    </mc:Choice>
  </mc:AlternateContent>
  <xr:revisionPtr revIDLastSave="0" documentId="13_ncr:1_{05B23CFF-5AA1-4CD7-9538-A2279C8F867F}" xr6:coauthVersionLast="47" xr6:coauthVersionMax="47" xr10:uidLastSave="{00000000-0000-0000-0000-000000000000}"/>
  <bookViews>
    <workbookView xWindow="-120" yWindow="-120" windowWidth="29040" windowHeight="1752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Storebrand Danica Pensjon" sheetId="18" r:id="rId9"/>
    <sheet name="DNB Livsforsikring" sheetId="13" r:id="rId10"/>
    <sheet name="Eika Forsikring AS" sheetId="19" r:id="rId11"/>
    <sheet name="Euro Accident" sheetId="77" r:id="rId12"/>
    <sheet name="Fremtind Livsforsikring" sheetId="16" r:id="rId13"/>
    <sheet name="Frende Livsforsikring" sheetId="20" r:id="rId14"/>
    <sheet name="Frende Skadeforsikring" sheetId="21" r:id="rId15"/>
    <sheet name="Gjensidige Forsikring" sheetId="22" r:id="rId16"/>
    <sheet name="Gjensidige Pensjon" sheetId="23" r:id="rId17"/>
    <sheet name="Handelsbanken Liv" sheetId="24" r:id="rId18"/>
    <sheet name="If Skadeforsikring NUF" sheetId="25" r:id="rId19"/>
    <sheet name="KLP" sheetId="26" r:id="rId20"/>
    <sheet name="KLP Skadeforsikring AS" sheetId="51" r:id="rId21"/>
    <sheet name="Landkreditt Forsikring" sheetId="40" r:id="rId22"/>
    <sheet name="Ly Forsikring" sheetId="78" r:id="rId23"/>
    <sheet name="Nordea Liv " sheetId="29" r:id="rId24"/>
    <sheet name="Oslo Pensjonsforsikring" sheetId="34" r:id="rId25"/>
    <sheet name="Protector Forsikring" sheetId="72" r:id="rId26"/>
    <sheet name="SHB Liv" sheetId="35" r:id="rId27"/>
    <sheet name="Sparebank 1 Forsikring" sheetId="33" r:id="rId28"/>
    <sheet name="Storebrand Livsforsikring" sheetId="37" r:id="rId29"/>
    <sheet name="Telenor Forsikring" sheetId="38" r:id="rId30"/>
    <sheet name="Tryg Forsikring" sheetId="39" r:id="rId31"/>
    <sheet name="WaterCircles F" sheetId="74" r:id="rId32"/>
    <sheet name="Youplus Livsforsikring" sheetId="79" r:id="rId33"/>
    <sheet name="Tabell 4" sheetId="65" r:id="rId34"/>
    <sheet name="Tabell 6" sheetId="62" r:id="rId35"/>
    <sheet name="Tabell 8" sheetId="75" r:id="rId36"/>
    <sheet name="Noter og kommentarer" sheetId="3" r:id="rId37"/>
  </sheets>
  <externalReferences>
    <externalReference r:id="rId38"/>
    <externalReference r:id="rId39"/>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2">'Fremtind Livsforsikring'!$A$1:$M$137</definedName>
    <definedName name="_xlnm.Print_Area" localSheetId="36">'Noter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75" l="1"/>
  <c r="AB28" i="65"/>
  <c r="V43" i="65"/>
  <c r="P30" i="65"/>
  <c r="P27" i="65"/>
  <c r="J34" i="65"/>
  <c r="J25" i="65"/>
  <c r="AE41" i="65"/>
  <c r="S39" i="65"/>
  <c r="S30" i="65"/>
  <c r="S23" i="65"/>
  <c r="S73" i="62"/>
  <c r="AE91" i="62"/>
  <c r="AE27" i="62"/>
  <c r="AE25" i="62"/>
  <c r="AE20" i="62"/>
  <c r="AS84" i="62" l="1"/>
  <c r="AR84" i="62"/>
  <c r="AR76" i="62"/>
  <c r="AS76" i="62"/>
  <c r="AK86" i="62"/>
  <c r="AK79" i="62"/>
  <c r="AK76" i="62"/>
  <c r="AK46" i="62"/>
  <c r="AH79" i="62"/>
  <c r="AH58" i="62"/>
  <c r="AH57" i="62"/>
  <c r="AH49" i="62"/>
  <c r="AH42" i="62"/>
  <c r="AH24" i="62"/>
  <c r="AB79" i="62"/>
  <c r="AB78" i="62"/>
  <c r="AB77" i="62"/>
  <c r="AB76" i="62"/>
  <c r="AB21" i="62"/>
  <c r="Y58" i="62"/>
  <c r="Y57" i="62"/>
  <c r="Y56" i="62"/>
  <c r="Y53" i="62"/>
  <c r="Y51" i="62"/>
  <c r="Y50" i="62"/>
  <c r="Y49" i="62"/>
  <c r="Y48" i="62"/>
  <c r="Y42" i="62"/>
  <c r="Y26" i="62"/>
  <c r="Y25" i="62"/>
  <c r="Y24" i="62"/>
  <c r="Y19" i="62"/>
  <c r="Y18" i="62"/>
  <c r="Y17" i="62"/>
  <c r="Y16" i="62"/>
  <c r="Y15" i="62"/>
  <c r="Y14" i="62"/>
  <c r="V86" i="62"/>
  <c r="V84" i="62"/>
  <c r="V83" i="62"/>
  <c r="V79" i="62"/>
  <c r="V78" i="62"/>
  <c r="V76" i="62"/>
  <c r="V52" i="62"/>
  <c r="P77" i="62"/>
  <c r="P71" i="62"/>
  <c r="P61" i="62"/>
  <c r="P49" i="62"/>
  <c r="P46" i="62"/>
  <c r="P40" i="62"/>
  <c r="P34" i="62"/>
  <c r="P19" i="62"/>
  <c r="P14" i="62"/>
  <c r="M17" i="62"/>
  <c r="M36" i="62"/>
  <c r="M70" i="62"/>
  <c r="J90" i="62"/>
  <c r="J89" i="62"/>
  <c r="J75" i="62"/>
  <c r="J71" i="62"/>
  <c r="J43" i="62"/>
  <c r="J42" i="62"/>
  <c r="J38" i="62"/>
  <c r="J37" i="62"/>
  <c r="J36" i="62"/>
  <c r="J34" i="62"/>
  <c r="J23" i="62"/>
  <c r="J19" i="62"/>
  <c r="G19" i="62"/>
  <c r="G18" i="62"/>
  <c r="G17" i="62"/>
  <c r="G38" i="62"/>
  <c r="G46" i="62"/>
  <c r="G49" i="62"/>
  <c r="D58" i="62"/>
  <c r="I33" i="23" l="1"/>
  <c r="M33" i="23"/>
  <c r="M33" i="29"/>
  <c r="I34" i="29"/>
  <c r="I33" i="29"/>
  <c r="M34" i="37"/>
  <c r="M33" i="37"/>
  <c r="I34" i="37"/>
  <c r="I33" i="37"/>
  <c r="M34" i="33"/>
  <c r="M33" i="33"/>
  <c r="I34" i="33"/>
  <c r="I33" i="33"/>
  <c r="AE18" i="75" l="1"/>
  <c r="AE20" i="75"/>
  <c r="AB20" i="75"/>
  <c r="AB16" i="75"/>
  <c r="Y20" i="75"/>
  <c r="V20" i="75"/>
  <c r="V16" i="75"/>
  <c r="S20" i="75"/>
  <c r="S16" i="75"/>
  <c r="P16" i="75"/>
  <c r="J20" i="75"/>
  <c r="AE16" i="75"/>
  <c r="M39" i="8"/>
  <c r="N39" i="8"/>
  <c r="H31" i="9"/>
  <c r="G31" i="9"/>
  <c r="X12" i="75"/>
  <c r="AA14" i="75" l="1"/>
  <c r="AG87" i="62"/>
  <c r="AG80" i="62"/>
  <c r="AG54" i="62"/>
  <c r="AG39" i="62"/>
  <c r="AG35" i="62"/>
  <c r="AG20" i="62"/>
  <c r="AG16" i="62"/>
  <c r="AG41" i="65"/>
  <c r="AG30" i="65"/>
  <c r="AG21" i="65"/>
  <c r="AG14" i="65"/>
  <c r="AG35" i="65" s="1"/>
  <c r="AG42" i="65" s="1"/>
  <c r="AG44" i="65" s="1"/>
  <c r="AG46" i="65" s="1"/>
  <c r="AG45" i="62" l="1"/>
  <c r="AG93" i="62"/>
  <c r="AG27" i="62"/>
  <c r="AG29" i="62" s="1"/>
  <c r="AG60" i="62"/>
  <c r="AG62" i="62" s="1"/>
  <c r="O87" i="62"/>
  <c r="O80" i="62"/>
  <c r="O93" i="62" s="1"/>
  <c r="O54" i="62"/>
  <c r="O60" i="62"/>
  <c r="O39" i="62"/>
  <c r="O35" i="62"/>
  <c r="O20" i="62"/>
  <c r="O16" i="62"/>
  <c r="P16" i="62" s="1"/>
  <c r="O41" i="65"/>
  <c r="O30" i="65"/>
  <c r="O21" i="65"/>
  <c r="O14" i="65"/>
  <c r="O35" i="65" s="1"/>
  <c r="O42" i="65" s="1"/>
  <c r="O44" i="65" s="1"/>
  <c r="O46" i="65" s="1"/>
  <c r="AG64" i="62" l="1"/>
  <c r="O45" i="62"/>
  <c r="O27" i="62"/>
  <c r="O29" i="62" s="1"/>
  <c r="O62" i="62"/>
  <c r="O64" i="62" s="1"/>
  <c r="L80" i="62" l="1"/>
  <c r="L93" i="62" s="1"/>
  <c r="L39" i="62"/>
  <c r="L35" i="62"/>
  <c r="L20" i="62"/>
  <c r="L16" i="62"/>
  <c r="L41" i="65"/>
  <c r="L30" i="65"/>
  <c r="L21" i="65"/>
  <c r="L14" i="65"/>
  <c r="L35" i="65" l="1"/>
  <c r="L42" i="65" s="1"/>
  <c r="L44" i="65" s="1"/>
  <c r="L46" i="65" s="1"/>
  <c r="L27" i="62"/>
  <c r="L29" i="62" s="1"/>
  <c r="M16" i="62"/>
  <c r="L45" i="62"/>
  <c r="M35" i="62"/>
  <c r="L62" i="62"/>
  <c r="L64" i="62" s="1"/>
  <c r="AM93" i="62"/>
  <c r="AM20" i="62"/>
  <c r="AM30" i="65"/>
  <c r="AM14" i="65"/>
  <c r="X14" i="75"/>
  <c r="W14" i="75"/>
  <c r="AA88" i="62"/>
  <c r="AA80" i="62"/>
  <c r="AA39" i="62"/>
  <c r="AA35" i="62"/>
  <c r="AA34" i="62"/>
  <c r="AA28" i="62"/>
  <c r="AA20" i="62"/>
  <c r="AA16" i="62"/>
  <c r="AA15" i="62"/>
  <c r="AA41" i="65"/>
  <c r="AA30" i="65"/>
  <c r="AA21" i="65"/>
  <c r="AA14" i="65"/>
  <c r="AA93" i="62" l="1"/>
  <c r="AM27" i="62"/>
  <c r="AM29" i="62" s="1"/>
  <c r="AM35" i="65"/>
  <c r="AM42" i="65" s="1"/>
  <c r="AM44" i="65" s="1"/>
  <c r="AM46" i="65" s="1"/>
  <c r="AA35" i="65"/>
  <c r="AA42" i="65" s="1"/>
  <c r="AA44" i="65" s="1"/>
  <c r="AA46" i="65" s="1"/>
  <c r="AA27" i="62"/>
  <c r="AA29" i="62" s="1"/>
  <c r="AA45" i="62"/>
  <c r="AA62" i="62" l="1"/>
  <c r="AA64" i="62"/>
  <c r="AM64" i="62"/>
  <c r="AJ87" i="62"/>
  <c r="AJ80" i="62"/>
  <c r="AJ93" i="62" s="1"/>
  <c r="AJ54" i="62"/>
  <c r="AJ53" i="62"/>
  <c r="AJ39" i="62"/>
  <c r="AJ38" i="62"/>
  <c r="AJ35" i="62" s="1"/>
  <c r="AJ28" i="62"/>
  <c r="AJ20" i="62"/>
  <c r="AJ19" i="62"/>
  <c r="AJ16" i="62" s="1"/>
  <c r="AJ41" i="65"/>
  <c r="AJ30" i="65"/>
  <c r="AJ19" i="65"/>
  <c r="AJ21" i="65" s="1"/>
  <c r="AJ14" i="65"/>
  <c r="I80" i="62"/>
  <c r="I39" i="62"/>
  <c r="I35" i="62"/>
  <c r="J35" i="62" s="1"/>
  <c r="I20" i="62"/>
  <c r="I16" i="62"/>
  <c r="I41" i="65"/>
  <c r="I30" i="65"/>
  <c r="I21" i="65"/>
  <c r="I14" i="65"/>
  <c r="F87" i="62"/>
  <c r="F80" i="62"/>
  <c r="F54" i="62"/>
  <c r="F39" i="62"/>
  <c r="F35" i="62"/>
  <c r="F20" i="62"/>
  <c r="F16" i="62"/>
  <c r="G16" i="62" s="1"/>
  <c r="F41" i="65"/>
  <c r="F30" i="65"/>
  <c r="F21" i="65"/>
  <c r="F14" i="65"/>
  <c r="B11" i="65"/>
  <c r="B14" i="65" s="1"/>
  <c r="B19" i="65"/>
  <c r="B21" i="65" s="1"/>
  <c r="B23" i="65"/>
  <c r="B30" i="65" s="1"/>
  <c r="B41" i="65"/>
  <c r="I27" i="62" l="1"/>
  <c r="I29" i="62" s="1"/>
  <c r="J16" i="62"/>
  <c r="AJ50" i="62"/>
  <c r="AK50" i="62" s="1"/>
  <c r="AK53" i="62"/>
  <c r="AJ45" i="62"/>
  <c r="AJ35" i="65"/>
  <c r="AJ42" i="65" s="1"/>
  <c r="AJ44" i="65" s="1"/>
  <c r="AJ46" i="65" s="1"/>
  <c r="AJ60" i="62"/>
  <c r="AJ62" i="62" s="1"/>
  <c r="I45" i="62"/>
  <c r="I93" i="62"/>
  <c r="F27" i="62"/>
  <c r="F29" i="62" s="1"/>
  <c r="I35" i="65"/>
  <c r="I42" i="65" s="1"/>
  <c r="I44" i="65" s="1"/>
  <c r="I46" i="65" s="1"/>
  <c r="AJ27" i="62"/>
  <c r="AJ29" i="62" s="1"/>
  <c r="B35" i="65"/>
  <c r="B42" i="65" s="1"/>
  <c r="B44" i="65" s="1"/>
  <c r="B46" i="65" s="1"/>
  <c r="F45" i="62"/>
  <c r="F35" i="65"/>
  <c r="F42" i="65" s="1"/>
  <c r="F44" i="65" s="1"/>
  <c r="F46" i="65" s="1"/>
  <c r="F60" i="62"/>
  <c r="F93" i="62"/>
  <c r="X87" i="62"/>
  <c r="X80" i="62"/>
  <c r="X54" i="62"/>
  <c r="X50" i="62"/>
  <c r="X39" i="62"/>
  <c r="X35" i="62"/>
  <c r="X20" i="62"/>
  <c r="X16" i="62"/>
  <c r="X41" i="65"/>
  <c r="X30" i="65"/>
  <c r="X21" i="65"/>
  <c r="X14" i="65"/>
  <c r="AJ64" i="62" l="1"/>
  <c r="I62" i="62"/>
  <c r="I64" i="62" s="1"/>
  <c r="X93" i="62"/>
  <c r="X35" i="65"/>
  <c r="X42" i="65" s="1"/>
  <c r="X44" i="65" s="1"/>
  <c r="X46" i="65" s="1"/>
  <c r="F62" i="62"/>
  <c r="F64" i="62" s="1"/>
  <c r="X60" i="62"/>
  <c r="X27" i="62"/>
  <c r="X29" i="62" s="1"/>
  <c r="X45" i="62"/>
  <c r="X62" i="62" s="1"/>
  <c r="AS8" i="62"/>
  <c r="AR8" i="62"/>
  <c r="AP84" i="62"/>
  <c r="AO84" i="62"/>
  <c r="AQ84" i="62" s="1"/>
  <c r="AP76" i="62"/>
  <c r="AO76" i="62"/>
  <c r="AQ76" i="62" s="1"/>
  <c r="AG20" i="75"/>
  <c r="AF20" i="75"/>
  <c r="G20" i="75"/>
  <c r="AG18" i="75"/>
  <c r="AF18" i="75"/>
  <c r="AH18" i="75" s="1"/>
  <c r="AG16" i="75"/>
  <c r="AF16" i="75"/>
  <c r="G16" i="75"/>
  <c r="D16" i="75"/>
  <c r="AN93" i="62"/>
  <c r="AS91" i="62"/>
  <c r="AR91" i="62"/>
  <c r="AP91" i="62"/>
  <c r="AO91" i="62"/>
  <c r="AK91" i="62"/>
  <c r="AH91" i="62"/>
  <c r="Y91" i="62"/>
  <c r="V91" i="62"/>
  <c r="S91" i="62"/>
  <c r="P91" i="62"/>
  <c r="M91" i="62"/>
  <c r="G91" i="62"/>
  <c r="D91" i="62"/>
  <c r="AS90" i="62"/>
  <c r="AP90" i="62"/>
  <c r="AN90" i="62"/>
  <c r="AK90" i="62"/>
  <c r="AH90" i="62"/>
  <c r="AE90" i="62"/>
  <c r="AO90" i="62"/>
  <c r="Y90" i="62"/>
  <c r="V90" i="62"/>
  <c r="S90" i="62"/>
  <c r="P90" i="62"/>
  <c r="G90" i="62"/>
  <c r="D90" i="62"/>
  <c r="AS89" i="62"/>
  <c r="AR89" i="62"/>
  <c r="AP89" i="62"/>
  <c r="AO89" i="62"/>
  <c r="AH89" i="62"/>
  <c r="AS88" i="62"/>
  <c r="AR88" i="62"/>
  <c r="AP88" i="62"/>
  <c r="AO88" i="62"/>
  <c r="AK88" i="62"/>
  <c r="AH88" i="62"/>
  <c r="AB88" i="62"/>
  <c r="Y88" i="62"/>
  <c r="V88" i="62"/>
  <c r="P88" i="62"/>
  <c r="M88" i="62"/>
  <c r="J88" i="62"/>
  <c r="G88" i="62"/>
  <c r="D88" i="62"/>
  <c r="AC87" i="62"/>
  <c r="G87" i="62"/>
  <c r="AS86" i="62"/>
  <c r="AR86" i="62"/>
  <c r="AP86" i="62"/>
  <c r="AO86" i="62"/>
  <c r="AS85" i="62"/>
  <c r="AR85" i="62"/>
  <c r="AP85" i="62"/>
  <c r="AO85" i="62"/>
  <c r="AK85" i="62"/>
  <c r="AH85" i="62"/>
  <c r="V85" i="62"/>
  <c r="P85" i="62"/>
  <c r="G85" i="62"/>
  <c r="D85" i="62"/>
  <c r="AS83" i="62"/>
  <c r="AR83" i="62"/>
  <c r="AP83" i="62"/>
  <c r="AO83" i="62"/>
  <c r="AH83" i="62"/>
  <c r="AS82" i="62"/>
  <c r="AR82" i="62"/>
  <c r="AP82" i="62"/>
  <c r="AO82" i="62"/>
  <c r="AK82" i="62"/>
  <c r="AH82" i="62"/>
  <c r="AE82" i="62"/>
  <c r="Y82" i="62"/>
  <c r="V82" i="62"/>
  <c r="P82" i="62"/>
  <c r="G82" i="62"/>
  <c r="D82" i="62"/>
  <c r="AN80" i="62"/>
  <c r="V80" i="62"/>
  <c r="D80" i="62"/>
  <c r="AS79" i="62"/>
  <c r="AR79" i="62"/>
  <c r="AP79" i="62"/>
  <c r="AO79" i="62"/>
  <c r="AS78" i="62"/>
  <c r="AR78" i="62"/>
  <c r="AP78" i="62"/>
  <c r="AO78" i="62"/>
  <c r="AK78" i="62"/>
  <c r="Y78" i="62"/>
  <c r="G78" i="62"/>
  <c r="D78" i="62"/>
  <c r="AS77" i="62"/>
  <c r="AR77" i="62"/>
  <c r="AP77" i="62"/>
  <c r="AO77" i="62"/>
  <c r="AK77" i="62"/>
  <c r="AH77" i="62"/>
  <c r="Y77" i="62"/>
  <c r="V77" i="62"/>
  <c r="G77" i="62"/>
  <c r="D77" i="62"/>
  <c r="AS75" i="62"/>
  <c r="AR75" i="62"/>
  <c r="AP75" i="62"/>
  <c r="AO75" i="62"/>
  <c r="AK75" i="62"/>
  <c r="AH75" i="62"/>
  <c r="Y75" i="62"/>
  <c r="V75" i="62"/>
  <c r="P75" i="62"/>
  <c r="G75" i="62"/>
  <c r="D75" i="62"/>
  <c r="AS74" i="62"/>
  <c r="AR74" i="62"/>
  <c r="AP74" i="62"/>
  <c r="AO74" i="62"/>
  <c r="AK74" i="62"/>
  <c r="AH74" i="62"/>
  <c r="Y74" i="62"/>
  <c r="V74" i="62"/>
  <c r="P74" i="62"/>
  <c r="M74" i="62"/>
  <c r="G74" i="62"/>
  <c r="D74" i="62"/>
  <c r="AS73" i="62"/>
  <c r="AR73" i="62"/>
  <c r="AP73" i="62"/>
  <c r="AO73" i="62"/>
  <c r="AN73" i="62"/>
  <c r="AK73" i="62"/>
  <c r="AH73" i="62"/>
  <c r="AB73" i="62"/>
  <c r="Y73" i="62"/>
  <c r="V73" i="62"/>
  <c r="P73" i="62"/>
  <c r="M73" i="62"/>
  <c r="J73" i="62"/>
  <c r="G73" i="62"/>
  <c r="D73" i="62"/>
  <c r="AS71" i="62"/>
  <c r="AR71" i="62"/>
  <c r="AP71" i="62"/>
  <c r="AO71" i="62"/>
  <c r="AK71" i="62"/>
  <c r="AH71" i="62"/>
  <c r="AB71" i="62"/>
  <c r="Y71" i="62"/>
  <c r="V71" i="62"/>
  <c r="G71" i="62"/>
  <c r="AS70" i="62"/>
  <c r="AR70" i="62"/>
  <c r="AP70" i="62"/>
  <c r="AO70" i="62"/>
  <c r="AK70" i="62"/>
  <c r="AH70" i="62"/>
  <c r="Y70" i="62"/>
  <c r="V70" i="62"/>
  <c r="P70" i="62"/>
  <c r="G70" i="62"/>
  <c r="AS69" i="62"/>
  <c r="AR69" i="62"/>
  <c r="AP69" i="62"/>
  <c r="AO69" i="62"/>
  <c r="AN69" i="62"/>
  <c r="AK69" i="62"/>
  <c r="AH69" i="62"/>
  <c r="AE69" i="62"/>
  <c r="AB69" i="62"/>
  <c r="Y69" i="62"/>
  <c r="V69" i="62"/>
  <c r="S69" i="62"/>
  <c r="P69" i="62"/>
  <c r="M69" i="62"/>
  <c r="J69" i="62"/>
  <c r="G69" i="62"/>
  <c r="D69" i="62"/>
  <c r="AS68" i="62"/>
  <c r="AR68" i="62"/>
  <c r="AP68" i="62"/>
  <c r="AO68" i="62"/>
  <c r="AN68" i="62"/>
  <c r="AK68" i="62"/>
  <c r="AH68" i="62"/>
  <c r="AE68" i="62"/>
  <c r="AB68" i="62"/>
  <c r="Y68" i="62"/>
  <c r="V68" i="62"/>
  <c r="S68" i="62"/>
  <c r="P68" i="62"/>
  <c r="M68" i="62"/>
  <c r="J68" i="62"/>
  <c r="G68" i="62"/>
  <c r="D68" i="62"/>
  <c r="AN64" i="62"/>
  <c r="AS61" i="62"/>
  <c r="AR61" i="62"/>
  <c r="AP61" i="62"/>
  <c r="AO61" i="62"/>
  <c r="AS59" i="62"/>
  <c r="AR59" i="62"/>
  <c r="AP59" i="62"/>
  <c r="AO59" i="62"/>
  <c r="AK59" i="62"/>
  <c r="AH59" i="62"/>
  <c r="Y59" i="62"/>
  <c r="V59" i="62"/>
  <c r="P59" i="62"/>
  <c r="D59" i="62"/>
  <c r="AS58" i="62"/>
  <c r="AR58" i="62"/>
  <c r="AP58" i="62"/>
  <c r="AO58" i="62"/>
  <c r="AK58" i="62"/>
  <c r="V58" i="62"/>
  <c r="AS57" i="62"/>
  <c r="AR57" i="62"/>
  <c r="AP57" i="62"/>
  <c r="AO57" i="62"/>
  <c r="AK57" i="62"/>
  <c r="V57" i="62"/>
  <c r="P57" i="62"/>
  <c r="G57" i="62"/>
  <c r="AS56" i="62"/>
  <c r="AR56" i="62"/>
  <c r="AP56" i="62"/>
  <c r="AO56" i="62"/>
  <c r="AK56" i="62"/>
  <c r="AH56" i="62"/>
  <c r="V56" i="62"/>
  <c r="P56" i="62"/>
  <c r="G56" i="62"/>
  <c r="D56" i="62"/>
  <c r="AS55" i="62"/>
  <c r="AR55" i="62"/>
  <c r="AP55" i="62"/>
  <c r="AO55" i="62"/>
  <c r="AK55" i="62"/>
  <c r="AH55" i="62"/>
  <c r="AE55" i="62"/>
  <c r="Y55" i="62"/>
  <c r="V55" i="62"/>
  <c r="P55" i="62"/>
  <c r="G55" i="62"/>
  <c r="D55" i="62"/>
  <c r="AC54" i="62"/>
  <c r="AC60" i="62" s="1"/>
  <c r="AS53" i="62"/>
  <c r="AP53" i="62"/>
  <c r="AR53" i="62"/>
  <c r="V53" i="62"/>
  <c r="AS52" i="62"/>
  <c r="AR52" i="62"/>
  <c r="AP52" i="62"/>
  <c r="AO52" i="62"/>
  <c r="AS51" i="62"/>
  <c r="AR51" i="62"/>
  <c r="AP51" i="62"/>
  <c r="AO51" i="62"/>
  <c r="V51" i="62"/>
  <c r="AS49" i="62"/>
  <c r="AR49" i="62"/>
  <c r="AP49" i="62"/>
  <c r="AO49" i="62"/>
  <c r="AK49" i="62"/>
  <c r="V49" i="62"/>
  <c r="AS48" i="62"/>
  <c r="AR48" i="62"/>
  <c r="AP48" i="62"/>
  <c r="AO48" i="62"/>
  <c r="AQ48" i="62" s="1"/>
  <c r="AS46" i="62"/>
  <c r="AR46" i="62"/>
  <c r="AP46" i="62"/>
  <c r="AO46" i="62"/>
  <c r="AH46" i="62"/>
  <c r="Y46" i="62"/>
  <c r="M46" i="62"/>
  <c r="J46" i="62"/>
  <c r="D46" i="62"/>
  <c r="AS44" i="62"/>
  <c r="AP44" i="62"/>
  <c r="AK44" i="62"/>
  <c r="AH44" i="62"/>
  <c r="AR44" i="62"/>
  <c r="Y44" i="62"/>
  <c r="V44" i="62"/>
  <c r="P44" i="62"/>
  <c r="M44" i="62"/>
  <c r="J44" i="62"/>
  <c r="G44" i="62"/>
  <c r="D44" i="62"/>
  <c r="AS43" i="62"/>
  <c r="AR43" i="62"/>
  <c r="AP43" i="62"/>
  <c r="AO43" i="62"/>
  <c r="AK43" i="62"/>
  <c r="AH43" i="62"/>
  <c r="AB43" i="62"/>
  <c r="Y43" i="62"/>
  <c r="V43" i="62"/>
  <c r="G43" i="62"/>
  <c r="AS42" i="62"/>
  <c r="AR42" i="62"/>
  <c r="AP42" i="62"/>
  <c r="AO42" i="62"/>
  <c r="AK42" i="62"/>
  <c r="V42" i="62"/>
  <c r="G42" i="62"/>
  <c r="AS41" i="62"/>
  <c r="AR41" i="62"/>
  <c r="AP41" i="62"/>
  <c r="AO41" i="62"/>
  <c r="AK41" i="62"/>
  <c r="AH41" i="62"/>
  <c r="AB41" i="62"/>
  <c r="Y41" i="62"/>
  <c r="V41" i="62"/>
  <c r="P41" i="62"/>
  <c r="M41" i="62"/>
  <c r="J41" i="62"/>
  <c r="G41" i="62"/>
  <c r="D41" i="62"/>
  <c r="AS40" i="62"/>
  <c r="AR40" i="62"/>
  <c r="AP40" i="62"/>
  <c r="AO40" i="62"/>
  <c r="AK40" i="62"/>
  <c r="AH40" i="62"/>
  <c r="AB40" i="62"/>
  <c r="Y40" i="62"/>
  <c r="V40" i="62"/>
  <c r="M40" i="62"/>
  <c r="J40" i="62"/>
  <c r="G40" i="62"/>
  <c r="D40" i="62"/>
  <c r="AS38" i="62"/>
  <c r="AP38" i="62"/>
  <c r="AO38" i="62"/>
  <c r="AH38" i="62"/>
  <c r="AB38" i="62"/>
  <c r="Y38" i="62"/>
  <c r="V38" i="62"/>
  <c r="P38" i="62"/>
  <c r="AS37" i="62"/>
  <c r="AR37" i="62"/>
  <c r="AP37" i="62"/>
  <c r="AO37" i="62"/>
  <c r="AK37" i="62"/>
  <c r="AH37" i="62"/>
  <c r="Y37" i="62"/>
  <c r="V37" i="62"/>
  <c r="G37" i="62"/>
  <c r="AS36" i="62"/>
  <c r="AR36" i="62"/>
  <c r="AP36" i="62"/>
  <c r="AO36" i="62"/>
  <c r="AK36" i="62"/>
  <c r="AH36" i="62"/>
  <c r="Y36" i="62"/>
  <c r="V36" i="62"/>
  <c r="G36" i="62"/>
  <c r="AS34" i="62"/>
  <c r="AP34" i="62"/>
  <c r="AK34" i="62"/>
  <c r="AH34" i="62"/>
  <c r="AO34" i="62"/>
  <c r="Y34" i="62"/>
  <c r="V34" i="62"/>
  <c r="G34" i="62"/>
  <c r="AS33" i="62"/>
  <c r="AR33" i="62"/>
  <c r="AP33" i="62"/>
  <c r="AO33" i="62"/>
  <c r="G33" i="62"/>
  <c r="AN29" i="62"/>
  <c r="AS28" i="62"/>
  <c r="AP28" i="62"/>
  <c r="AN28" i="62"/>
  <c r="AK28" i="62"/>
  <c r="AH28" i="62"/>
  <c r="AB28" i="62"/>
  <c r="Y28" i="62"/>
  <c r="V28" i="62"/>
  <c r="S28" i="62"/>
  <c r="P28" i="62"/>
  <c r="M28" i="62"/>
  <c r="J28" i="62"/>
  <c r="G28" i="62"/>
  <c r="D28" i="62"/>
  <c r="AN27" i="62"/>
  <c r="AS26" i="62"/>
  <c r="AR26" i="62"/>
  <c r="AT26" i="62" s="1"/>
  <c r="AP26" i="62"/>
  <c r="AO26" i="62"/>
  <c r="AQ26" i="62" s="1"/>
  <c r="AS25" i="62"/>
  <c r="AR25" i="62"/>
  <c r="AP25" i="62"/>
  <c r="AO25" i="62"/>
  <c r="AN25" i="62"/>
  <c r="AH25" i="62"/>
  <c r="V25" i="62"/>
  <c r="M25" i="62"/>
  <c r="J25" i="62"/>
  <c r="G25" i="62"/>
  <c r="AS24" i="62"/>
  <c r="AR24" i="62"/>
  <c r="AP24" i="62"/>
  <c r="AO24" i="62"/>
  <c r="AK24" i="62"/>
  <c r="AB24" i="62"/>
  <c r="V24" i="62"/>
  <c r="G24" i="62"/>
  <c r="AS23" i="62"/>
  <c r="AR23" i="62"/>
  <c r="AP23" i="62"/>
  <c r="AO23" i="62"/>
  <c r="AH23" i="62"/>
  <c r="Y23" i="62"/>
  <c r="V23" i="62"/>
  <c r="G23" i="62"/>
  <c r="AS22" i="62"/>
  <c r="AR22" i="62"/>
  <c r="AP22" i="62"/>
  <c r="AO22" i="62"/>
  <c r="AK22" i="62"/>
  <c r="AH22" i="62"/>
  <c r="AB22" i="62"/>
  <c r="Y22" i="62"/>
  <c r="V22" i="62"/>
  <c r="P22" i="62"/>
  <c r="M22" i="62"/>
  <c r="J22" i="62"/>
  <c r="G22" i="62"/>
  <c r="D22" i="62"/>
  <c r="AS21" i="62"/>
  <c r="AR21" i="62"/>
  <c r="AP21" i="62"/>
  <c r="AO21" i="62"/>
  <c r="AK21" i="62"/>
  <c r="AH21" i="62"/>
  <c r="Y21" i="62"/>
  <c r="V21" i="62"/>
  <c r="P21" i="62"/>
  <c r="M21" i="62"/>
  <c r="G21" i="62"/>
  <c r="D21" i="62"/>
  <c r="AN20" i="62"/>
  <c r="AC20" i="62"/>
  <c r="AC27" i="62" s="1"/>
  <c r="AC29" i="62" s="1"/>
  <c r="V20" i="62"/>
  <c r="J20" i="62"/>
  <c r="G20" i="62"/>
  <c r="AS19" i="62"/>
  <c r="AP19" i="62"/>
  <c r="AR19" i="62"/>
  <c r="AH19" i="62"/>
  <c r="AB19" i="62"/>
  <c r="V19" i="62"/>
  <c r="AS18" i="62"/>
  <c r="AR18" i="62"/>
  <c r="AP18" i="62"/>
  <c r="AO18" i="62"/>
  <c r="AH18" i="62"/>
  <c r="V18" i="62"/>
  <c r="AS17" i="62"/>
  <c r="AR17" i="62"/>
  <c r="AP17" i="62"/>
  <c r="AO17" i="62"/>
  <c r="AH17" i="62"/>
  <c r="AB17" i="62"/>
  <c r="V17" i="62"/>
  <c r="AS15" i="62"/>
  <c r="AP15" i="62"/>
  <c r="AK15" i="62"/>
  <c r="AH15" i="62"/>
  <c r="AO15" i="62"/>
  <c r="V15" i="62"/>
  <c r="G15" i="62"/>
  <c r="AS14" i="62"/>
  <c r="AR14" i="62"/>
  <c r="AP14" i="62"/>
  <c r="AO14" i="62"/>
  <c r="V14" i="62"/>
  <c r="AN46" i="65"/>
  <c r="AP45" i="65"/>
  <c r="AO45" i="65"/>
  <c r="AK45" i="65"/>
  <c r="Y45" i="65"/>
  <c r="V45" i="65"/>
  <c r="G45" i="65"/>
  <c r="AN44" i="65"/>
  <c r="AP43" i="65"/>
  <c r="AO43" i="65"/>
  <c r="AK43" i="65"/>
  <c r="AH43" i="65"/>
  <c r="AB43" i="65"/>
  <c r="Y43" i="65"/>
  <c r="S43" i="65"/>
  <c r="P43" i="65"/>
  <c r="M43" i="65"/>
  <c r="J43" i="65"/>
  <c r="G43" i="65"/>
  <c r="D43" i="65"/>
  <c r="AN42" i="65"/>
  <c r="V41" i="65"/>
  <c r="AP40" i="65"/>
  <c r="AO40" i="65"/>
  <c r="AK40" i="65"/>
  <c r="AH40" i="65"/>
  <c r="AB40" i="65"/>
  <c r="Y40" i="65"/>
  <c r="V40" i="65"/>
  <c r="P40" i="65"/>
  <c r="J40" i="65"/>
  <c r="G40" i="65"/>
  <c r="AP39" i="65"/>
  <c r="AO39" i="65"/>
  <c r="AK39" i="65"/>
  <c r="AH39" i="65"/>
  <c r="AB39" i="65"/>
  <c r="Y39" i="65"/>
  <c r="V39" i="65"/>
  <c r="G39" i="65"/>
  <c r="AP38" i="65"/>
  <c r="AO38" i="65"/>
  <c r="AK38" i="65"/>
  <c r="AH38" i="65"/>
  <c r="AB38" i="65"/>
  <c r="Y38" i="65"/>
  <c r="V38" i="65"/>
  <c r="P38" i="65"/>
  <c r="M38" i="65"/>
  <c r="J38" i="65"/>
  <c r="G38" i="65"/>
  <c r="D38" i="65"/>
  <c r="AN35" i="65"/>
  <c r="AP34" i="65"/>
  <c r="AO34" i="65"/>
  <c r="AK34" i="65"/>
  <c r="AH34" i="65"/>
  <c r="Y34" i="65"/>
  <c r="V34" i="65"/>
  <c r="G34" i="65"/>
  <c r="AP33" i="65"/>
  <c r="AO33" i="65"/>
  <c r="AN33" i="65"/>
  <c r="AK33" i="65"/>
  <c r="AH33" i="65"/>
  <c r="AE33" i="65"/>
  <c r="Y33" i="65"/>
  <c r="V33" i="65"/>
  <c r="S33" i="65"/>
  <c r="P33" i="65"/>
  <c r="M33" i="65"/>
  <c r="J33" i="65"/>
  <c r="G33" i="65"/>
  <c r="D33" i="65"/>
  <c r="AP32" i="65"/>
  <c r="AO32" i="65"/>
  <c r="AK32" i="65"/>
  <c r="AH32" i="65"/>
  <c r="AB32" i="65"/>
  <c r="Y32" i="65"/>
  <c r="V32" i="65"/>
  <c r="P32" i="65"/>
  <c r="G32" i="65"/>
  <c r="AP31" i="65"/>
  <c r="AO31" i="65"/>
  <c r="AK31" i="65"/>
  <c r="AH31" i="65"/>
  <c r="AE31" i="65"/>
  <c r="Y31" i="65"/>
  <c r="V31" i="65"/>
  <c r="P31" i="65"/>
  <c r="G31" i="65"/>
  <c r="D31" i="65"/>
  <c r="AN30" i="65"/>
  <c r="AP29" i="65"/>
  <c r="AO29" i="65"/>
  <c r="AK29" i="65"/>
  <c r="AH29" i="65"/>
  <c r="Y29" i="65"/>
  <c r="V29" i="65"/>
  <c r="G29" i="65"/>
  <c r="AP28" i="65"/>
  <c r="AO28" i="65"/>
  <c r="AK28" i="65"/>
  <c r="AH28" i="65"/>
  <c r="Y28" i="65"/>
  <c r="M28" i="65"/>
  <c r="G28" i="65"/>
  <c r="D28" i="65"/>
  <c r="AP27" i="65"/>
  <c r="AO27" i="65"/>
  <c r="AH27" i="65"/>
  <c r="AB27" i="65"/>
  <c r="Y27" i="65"/>
  <c r="V27" i="65"/>
  <c r="G27" i="65"/>
  <c r="AP26" i="65"/>
  <c r="AO26" i="65"/>
  <c r="AQ26" i="65" s="1"/>
  <c r="AK26" i="65"/>
  <c r="AH26" i="65"/>
  <c r="V26" i="65"/>
  <c r="G26" i="65"/>
  <c r="AP25" i="65"/>
  <c r="AO25" i="65"/>
  <c r="AK25" i="65"/>
  <c r="AH25" i="65"/>
  <c r="Y25" i="65"/>
  <c r="V25" i="65"/>
  <c r="P25" i="65"/>
  <c r="G25" i="65"/>
  <c r="D25" i="65"/>
  <c r="AP24" i="65"/>
  <c r="AO24" i="65"/>
  <c r="AK24" i="65"/>
  <c r="AH24" i="65"/>
  <c r="Y24" i="65"/>
  <c r="V24" i="65"/>
  <c r="P24" i="65"/>
  <c r="G24" i="65"/>
  <c r="AP23" i="65"/>
  <c r="AN23" i="65"/>
  <c r="AK23" i="65"/>
  <c r="AH23" i="65"/>
  <c r="AB23" i="65"/>
  <c r="Y23" i="65"/>
  <c r="V23" i="65"/>
  <c r="P23" i="65"/>
  <c r="M23" i="65"/>
  <c r="J23" i="65"/>
  <c r="G23" i="65"/>
  <c r="AP22" i="65"/>
  <c r="AO22" i="65"/>
  <c r="AS20" i="65"/>
  <c r="AR20" i="65"/>
  <c r="AP20" i="65"/>
  <c r="AO20" i="65"/>
  <c r="AK20" i="65"/>
  <c r="AH20" i="65"/>
  <c r="AE20" i="65"/>
  <c r="Y20" i="65"/>
  <c r="V20" i="65"/>
  <c r="P20" i="65"/>
  <c r="J20" i="65"/>
  <c r="G20" i="65"/>
  <c r="D20" i="65"/>
  <c r="AS19" i="65"/>
  <c r="AP19" i="65"/>
  <c r="AH19" i="65"/>
  <c r="AE19" i="65"/>
  <c r="AB19" i="65"/>
  <c r="Y19" i="65"/>
  <c r="V19" i="65"/>
  <c r="S19" i="65"/>
  <c r="P19" i="65"/>
  <c r="M19" i="65"/>
  <c r="J19" i="65"/>
  <c r="G19" i="65"/>
  <c r="AS17" i="65"/>
  <c r="AR17" i="65"/>
  <c r="AP17" i="65"/>
  <c r="AO17" i="65"/>
  <c r="AK17" i="65"/>
  <c r="AH17" i="65"/>
  <c r="AB17" i="65"/>
  <c r="Y17" i="65"/>
  <c r="V17" i="65"/>
  <c r="J17" i="65"/>
  <c r="G17" i="65"/>
  <c r="AS16" i="65"/>
  <c r="AR16" i="65"/>
  <c r="AP16" i="65"/>
  <c r="AO16" i="65"/>
  <c r="AK16" i="65"/>
  <c r="AH16" i="65"/>
  <c r="AE16" i="65"/>
  <c r="Y16" i="65"/>
  <c r="V16" i="65"/>
  <c r="P16" i="65"/>
  <c r="G16" i="65"/>
  <c r="D16" i="65"/>
  <c r="AS15" i="65"/>
  <c r="AR15" i="65"/>
  <c r="AP15" i="65"/>
  <c r="AO15" i="65"/>
  <c r="AK15" i="65"/>
  <c r="AH15" i="65"/>
  <c r="AB15" i="65"/>
  <c r="Y15" i="65"/>
  <c r="V15" i="65"/>
  <c r="P15" i="65"/>
  <c r="M15" i="65"/>
  <c r="J15" i="65"/>
  <c r="G15" i="65"/>
  <c r="D15" i="65"/>
  <c r="AN14" i="65"/>
  <c r="AS13" i="65"/>
  <c r="AR13" i="65"/>
  <c r="AP13" i="65"/>
  <c r="AO13" i="65"/>
  <c r="AK13" i="65"/>
  <c r="AH13" i="65"/>
  <c r="AE13" i="65"/>
  <c r="Y13" i="65"/>
  <c r="V13" i="65"/>
  <c r="P13" i="65"/>
  <c r="G13" i="65"/>
  <c r="D13" i="65"/>
  <c r="AS12" i="65"/>
  <c r="AR12" i="65"/>
  <c r="AP12" i="65"/>
  <c r="AO12" i="65"/>
  <c r="AN12" i="65"/>
  <c r="AK12" i="65"/>
  <c r="AH12" i="65"/>
  <c r="Y12" i="65"/>
  <c r="V12" i="65"/>
  <c r="P12" i="65"/>
  <c r="M12" i="65"/>
  <c r="J12" i="65"/>
  <c r="G12" i="65"/>
  <c r="D12" i="65"/>
  <c r="AS11" i="65"/>
  <c r="AP11" i="65"/>
  <c r="AN11" i="65"/>
  <c r="AK11" i="65"/>
  <c r="AH11" i="65"/>
  <c r="AE11" i="65"/>
  <c r="AB11" i="65"/>
  <c r="Y11" i="65"/>
  <c r="V11" i="65"/>
  <c r="S11" i="65"/>
  <c r="P11" i="65"/>
  <c r="M11" i="65"/>
  <c r="J11" i="65"/>
  <c r="G11" i="65"/>
  <c r="AR11" i="65"/>
  <c r="AB20" i="62" l="1"/>
  <c r="AH41" i="65"/>
  <c r="AT82" i="62"/>
  <c r="X64" i="62"/>
  <c r="AH20" i="62"/>
  <c r="C11" i="58"/>
  <c r="C12" i="58"/>
  <c r="B26" i="58"/>
  <c r="B25" i="58"/>
  <c r="C25" i="58"/>
  <c r="B10" i="58"/>
  <c r="C13" i="58"/>
  <c r="B19" i="58"/>
  <c r="B17" i="58"/>
  <c r="C28" i="58"/>
  <c r="C10" i="58"/>
  <c r="C19" i="58"/>
  <c r="B22" i="58"/>
  <c r="C17" i="58"/>
  <c r="C27" i="58"/>
  <c r="B29" i="58"/>
  <c r="C21" i="58"/>
  <c r="B28" i="58"/>
  <c r="C20" i="58"/>
  <c r="C29" i="58"/>
  <c r="C26" i="58"/>
  <c r="B9" i="58"/>
  <c r="B11" i="58"/>
  <c r="C9" i="58"/>
  <c r="C18" i="58"/>
  <c r="Y54" i="62"/>
  <c r="AQ59" i="62"/>
  <c r="C14" i="58"/>
  <c r="AT48" i="62"/>
  <c r="B27" i="58"/>
  <c r="C22" i="58"/>
  <c r="B30" i="58"/>
  <c r="C30" i="58"/>
  <c r="B13" i="58"/>
  <c r="B18" i="58"/>
  <c r="AQ17" i="65"/>
  <c r="AQ52" i="62"/>
  <c r="G80" i="62"/>
  <c r="AQ82" i="62"/>
  <c r="AQ90" i="62"/>
  <c r="AB41" i="65"/>
  <c r="AQ45" i="65"/>
  <c r="AQ29" i="65"/>
  <c r="AQ21" i="62"/>
  <c r="Y20" i="62"/>
  <c r="AQ83" i="62"/>
  <c r="AQ38" i="65"/>
  <c r="AT23" i="62"/>
  <c r="AQ33" i="62"/>
  <c r="AT41" i="62"/>
  <c r="AT61" i="62"/>
  <c r="M29" i="62"/>
  <c r="AQ78" i="62"/>
  <c r="AQ43" i="62"/>
  <c r="AH54" i="62"/>
  <c r="AQ23" i="62"/>
  <c r="AT43" i="62"/>
  <c r="AQ49" i="62"/>
  <c r="AT11" i="65"/>
  <c r="AQ57" i="62"/>
  <c r="AQ75" i="62"/>
  <c r="AH16" i="75"/>
  <c r="AT18" i="62"/>
  <c r="AQ36" i="62"/>
  <c r="AR38" i="62"/>
  <c r="AQ40" i="62"/>
  <c r="G54" i="62"/>
  <c r="AQ55" i="62"/>
  <c r="AQ70" i="62"/>
  <c r="AT49" i="62"/>
  <c r="AT70" i="62"/>
  <c r="AQ77" i="62"/>
  <c r="AQ85" i="62"/>
  <c r="AT17" i="65"/>
  <c r="AQ31" i="65"/>
  <c r="Y41" i="65"/>
  <c r="AK41" i="65"/>
  <c r="AT53" i="62"/>
  <c r="AT59" i="62"/>
  <c r="AT74" i="62"/>
  <c r="AT77" i="62"/>
  <c r="AH20" i="75"/>
  <c r="AH14" i="65"/>
  <c r="G30" i="65"/>
  <c r="AT51" i="62"/>
  <c r="AT73" i="62"/>
  <c r="P21" i="65"/>
  <c r="AQ39" i="65"/>
  <c r="P20" i="62"/>
  <c r="AQ24" i="62"/>
  <c r="AQ46" i="62"/>
  <c r="AT55" i="62"/>
  <c r="AQ74" i="62"/>
  <c r="AT78" i="62"/>
  <c r="AO80" i="62"/>
  <c r="AK80" i="62"/>
  <c r="AT86" i="62"/>
  <c r="AQ89" i="62"/>
  <c r="AT91" i="62"/>
  <c r="AB16" i="62"/>
  <c r="AS20" i="62"/>
  <c r="D39" i="62"/>
  <c r="AT44" i="62"/>
  <c r="G14" i="65"/>
  <c r="AQ12" i="65"/>
  <c r="AQ15" i="65"/>
  <c r="AQ25" i="65"/>
  <c r="AQ33" i="65"/>
  <c r="J41" i="65"/>
  <c r="AE29" i="62"/>
  <c r="V35" i="62"/>
  <c r="AR54" i="62"/>
  <c r="AQ58" i="62"/>
  <c r="AQ68" i="62"/>
  <c r="AQ69" i="62"/>
  <c r="AT79" i="62"/>
  <c r="AQ88" i="62"/>
  <c r="AT13" i="65"/>
  <c r="Y14" i="65"/>
  <c r="AT16" i="65"/>
  <c r="AQ27" i="65"/>
  <c r="J30" i="65"/>
  <c r="AQ32" i="65"/>
  <c r="AQ40" i="65"/>
  <c r="M41" i="65"/>
  <c r="AQ25" i="62"/>
  <c r="AQ38" i="62"/>
  <c r="AT40" i="62"/>
  <c r="AT58" i="62"/>
  <c r="AT71" i="62"/>
  <c r="AT85" i="62"/>
  <c r="AT12" i="65"/>
  <c r="AQ20" i="65"/>
  <c r="Y21" i="65"/>
  <c r="AT25" i="62"/>
  <c r="AT37" i="62"/>
  <c r="AT42" i="62"/>
  <c r="AT56" i="62"/>
  <c r="AO11" i="65"/>
  <c r="AQ11" i="65" s="1"/>
  <c r="D14" i="65"/>
  <c r="M21" i="65"/>
  <c r="AQ28" i="65"/>
  <c r="D41" i="65"/>
  <c r="P41" i="65"/>
  <c r="AQ17" i="62"/>
  <c r="AT19" i="62"/>
  <c r="AT21" i="62"/>
  <c r="AR28" i="62"/>
  <c r="AT28" i="62" s="1"/>
  <c r="AT33" i="62"/>
  <c r="AR87" i="62"/>
  <c r="AQ91" i="62"/>
  <c r="AE21" i="65"/>
  <c r="AT14" i="62"/>
  <c r="AR20" i="62"/>
  <c r="AQ37" i="62"/>
  <c r="M39" i="62"/>
  <c r="AQ42" i="62"/>
  <c r="AT46" i="62"/>
  <c r="AP50" i="62"/>
  <c r="AQ51" i="62"/>
  <c r="AE54" i="62"/>
  <c r="AP54" i="62"/>
  <c r="AT57" i="62"/>
  <c r="G60" i="62"/>
  <c r="AQ61" i="62"/>
  <c r="Y87" i="62"/>
  <c r="AH87" i="62"/>
  <c r="AS16" i="62"/>
  <c r="V16" i="62"/>
  <c r="AH16" i="62"/>
  <c r="M80" i="62"/>
  <c r="AT89" i="62"/>
  <c r="V87" i="62"/>
  <c r="AT20" i="65"/>
  <c r="AQ24" i="65"/>
  <c r="AK38" i="62"/>
  <c r="AS39" i="62"/>
  <c r="AT83" i="62"/>
  <c r="AK87" i="62"/>
  <c r="D23" i="65"/>
  <c r="V30" i="65"/>
  <c r="AH21" i="65"/>
  <c r="AO41" i="65"/>
  <c r="AK14" i="65"/>
  <c r="AR19" i="65"/>
  <c r="AT19" i="65" s="1"/>
  <c r="AS21" i="65"/>
  <c r="AQ18" i="62"/>
  <c r="AS35" i="62"/>
  <c r="P35" i="62"/>
  <c r="G39" i="62"/>
  <c r="AO53" i="62"/>
  <c r="AQ53" i="62" s="1"/>
  <c r="AT75" i="62"/>
  <c r="P80" i="62"/>
  <c r="V21" i="65"/>
  <c r="D20" i="62"/>
  <c r="AQ16" i="65"/>
  <c r="AQ43" i="65"/>
  <c r="AQ15" i="62"/>
  <c r="D11" i="65"/>
  <c r="P14" i="65"/>
  <c r="AT15" i="65"/>
  <c r="D19" i="65"/>
  <c r="G21" i="65"/>
  <c r="AB21" i="65"/>
  <c r="AO23" i="65"/>
  <c r="AQ23" i="65" s="1"/>
  <c r="AB30" i="65"/>
  <c r="AK30" i="65"/>
  <c r="AQ34" i="65"/>
  <c r="G41" i="65"/>
  <c r="AP41" i="65"/>
  <c r="AQ14" i="62"/>
  <c r="AT17" i="62"/>
  <c r="M20" i="62"/>
  <c r="AQ22" i="62"/>
  <c r="AT24" i="62"/>
  <c r="AO50" i="62"/>
  <c r="P87" i="62"/>
  <c r="AT22" i="62"/>
  <c r="AQ86" i="62"/>
  <c r="V35" i="65"/>
  <c r="J14" i="65"/>
  <c r="AH30" i="65"/>
  <c r="AP14" i="65"/>
  <c r="AQ13" i="65"/>
  <c r="S21" i="65"/>
  <c r="S41" i="65"/>
  <c r="AO20" i="62"/>
  <c r="AK20" i="62"/>
  <c r="AO28" i="62"/>
  <c r="AQ28" i="62" s="1"/>
  <c r="AQ34" i="62"/>
  <c r="AT36" i="62"/>
  <c r="AH39" i="62"/>
  <c r="AQ41" i="62"/>
  <c r="AK54" i="62"/>
  <c r="AT68" i="62"/>
  <c r="AQ71" i="62"/>
  <c r="AQ73" i="62"/>
  <c r="AQ79" i="62"/>
  <c r="J80" i="62"/>
  <c r="J27" i="62"/>
  <c r="Y27" i="62"/>
  <c r="G35" i="62"/>
  <c r="AB35" i="62"/>
  <c r="AO35" i="62"/>
  <c r="AP39" i="62"/>
  <c r="AB44" i="62"/>
  <c r="AS80" i="62"/>
  <c r="AP80" i="62"/>
  <c r="AP35" i="62"/>
  <c r="AB15" i="62"/>
  <c r="AK19" i="62"/>
  <c r="AB34" i="62"/>
  <c r="AH35" i="62"/>
  <c r="Y39" i="62"/>
  <c r="AT52" i="62"/>
  <c r="AO54" i="62"/>
  <c r="AQ56" i="62"/>
  <c r="AR15" i="62"/>
  <c r="AR34" i="62"/>
  <c r="Y35" i="62"/>
  <c r="AS54" i="62"/>
  <c r="D54" i="62"/>
  <c r="AC62" i="62"/>
  <c r="AR90" i="62"/>
  <c r="AT90" i="62" s="1"/>
  <c r="AP16" i="62"/>
  <c r="AO19" i="62"/>
  <c r="AQ19" i="62" s="1"/>
  <c r="AP20" i="62"/>
  <c r="P39" i="62"/>
  <c r="AK39" i="62"/>
  <c r="AO44" i="62"/>
  <c r="AQ44" i="62" s="1"/>
  <c r="P54" i="62"/>
  <c r="AT69" i="62"/>
  <c r="AH80" i="62"/>
  <c r="AC93" i="62"/>
  <c r="AE87" i="62"/>
  <c r="AB90" i="62"/>
  <c r="AT88" i="62"/>
  <c r="J39" i="62"/>
  <c r="V50" i="62"/>
  <c r="V54" i="62"/>
  <c r="AR16" i="62"/>
  <c r="AS50" i="62"/>
  <c r="V39" i="62"/>
  <c r="S80" i="62"/>
  <c r="AB80" i="62"/>
  <c r="AS87" i="62"/>
  <c r="AO87" i="62"/>
  <c r="Y80" i="62"/>
  <c r="AR80" i="62"/>
  <c r="AP87" i="62"/>
  <c r="D87" i="62"/>
  <c r="AO21" i="65"/>
  <c r="AK21" i="65"/>
  <c r="AO30" i="65"/>
  <c r="D30" i="65"/>
  <c r="S14" i="65"/>
  <c r="AB14" i="65"/>
  <c r="AS14" i="65"/>
  <c r="AK19" i="65"/>
  <c r="J21" i="65"/>
  <c r="AR21" i="65"/>
  <c r="M30" i="65"/>
  <c r="AP30" i="65"/>
  <c r="M14" i="65"/>
  <c r="V14" i="65"/>
  <c r="AO19" i="65"/>
  <c r="AQ19" i="65" s="1"/>
  <c r="Y30" i="65"/>
  <c r="AE14" i="65"/>
  <c r="D21" i="65"/>
  <c r="AP21" i="65"/>
  <c r="AH45" i="62" l="1"/>
  <c r="AK35" i="62"/>
  <c r="AR35" i="62"/>
  <c r="AQ20" i="62"/>
  <c r="AR50" i="62"/>
  <c r="AT50" i="62" s="1"/>
  <c r="V42" i="65"/>
  <c r="J35" i="65"/>
  <c r="AH29" i="62"/>
  <c r="G93" i="62"/>
  <c r="AO39" i="62"/>
  <c r="AT20" i="62"/>
  <c r="AT34" i="62"/>
  <c r="B20" i="58"/>
  <c r="AT15" i="62"/>
  <c r="B12" i="58"/>
  <c r="AR39" i="62"/>
  <c r="AT16" i="62"/>
  <c r="AT38" i="62"/>
  <c r="B21" i="58"/>
  <c r="B14" i="58"/>
  <c r="AH27" i="62"/>
  <c r="AK35" i="65"/>
  <c r="D27" i="62"/>
  <c r="AK42" i="65"/>
  <c r="AQ80" i="62"/>
  <c r="P60" i="62"/>
  <c r="P27" i="62"/>
  <c r="AB39" i="62"/>
  <c r="M27" i="62"/>
  <c r="AR14" i="65"/>
  <c r="AT14" i="65" s="1"/>
  <c r="M35" i="65"/>
  <c r="V27" i="62"/>
  <c r="Y93" i="62"/>
  <c r="AP27" i="62"/>
  <c r="P93" i="62"/>
  <c r="D35" i="65"/>
  <c r="AO14" i="65"/>
  <c r="AB93" i="62"/>
  <c r="S93" i="62"/>
  <c r="AT54" i="62"/>
  <c r="AO60" i="62"/>
  <c r="AQ41" i="65"/>
  <c r="AE93" i="62"/>
  <c r="AK93" i="62"/>
  <c r="AO27" i="62"/>
  <c r="AK16" i="62"/>
  <c r="AR60" i="62"/>
  <c r="AQ50" i="62"/>
  <c r="AO16" i="62"/>
  <c r="AQ16" i="62" s="1"/>
  <c r="AQ54" i="62"/>
  <c r="Y29" i="62"/>
  <c r="AK60" i="62"/>
  <c r="AT80" i="62"/>
  <c r="V93" i="62"/>
  <c r="AK45" i="62"/>
  <c r="AB27" i="62"/>
  <c r="M45" i="62"/>
  <c r="D60" i="62"/>
  <c r="AP60" i="62"/>
  <c r="AS60" i="62"/>
  <c r="J29" i="62"/>
  <c r="D29" i="62"/>
  <c r="P45" i="62"/>
  <c r="G27" i="62"/>
  <c r="AP29" i="62"/>
  <c r="AQ35" i="62"/>
  <c r="AR93" i="62"/>
  <c r="J93" i="62"/>
  <c r="AO93" i="62"/>
  <c r="AQ39" i="62"/>
  <c r="G45" i="62"/>
  <c r="AE62" i="62"/>
  <c r="AC64" i="62"/>
  <c r="Y45" i="62"/>
  <c r="V45" i="62"/>
  <c r="AQ87" i="62"/>
  <c r="V60" i="62"/>
  <c r="AE60" i="62"/>
  <c r="AS93" i="62"/>
  <c r="AP93" i="62"/>
  <c r="D93" i="62"/>
  <c r="J45" i="62"/>
  <c r="V29" i="62"/>
  <c r="M93" i="62"/>
  <c r="AT87" i="62"/>
  <c r="Y60" i="62"/>
  <c r="AH93" i="62"/>
  <c r="AS45" i="62"/>
  <c r="D45" i="62"/>
  <c r="AP45" i="62"/>
  <c r="AS27" i="62"/>
  <c r="AH60" i="62"/>
  <c r="P29" i="62"/>
  <c r="AE35" i="65"/>
  <c r="AB35" i="65"/>
  <c r="AO35" i="65"/>
  <c r="S35" i="65"/>
  <c r="AP35" i="65"/>
  <c r="AT21" i="65"/>
  <c r="M42" i="65"/>
  <c r="AQ21" i="65"/>
  <c r="G35" i="65"/>
  <c r="P35" i="65"/>
  <c r="AH35" i="65"/>
  <c r="Y35" i="65"/>
  <c r="AQ30" i="65"/>
  <c r="AT35" i="62" l="1"/>
  <c r="AO45" i="62"/>
  <c r="AB45" i="62"/>
  <c r="AR45" i="62"/>
  <c r="G42" i="65"/>
  <c r="AQ14" i="65"/>
  <c r="F25" i="58"/>
  <c r="F28" i="58"/>
  <c r="F26" i="58"/>
  <c r="F27" i="58"/>
  <c r="F29" i="58"/>
  <c r="G17" i="58"/>
  <c r="G20" i="58"/>
  <c r="G18" i="58"/>
  <c r="G19" i="58"/>
  <c r="G22" i="58"/>
  <c r="G21" i="58"/>
  <c r="G26" i="58"/>
  <c r="G29" i="58"/>
  <c r="G25" i="58"/>
  <c r="G27" i="58"/>
  <c r="G28" i="58"/>
  <c r="AH62" i="62"/>
  <c r="G30" i="58"/>
  <c r="AT39" i="62"/>
  <c r="AK44" i="65"/>
  <c r="J42" i="65"/>
  <c r="AQ27" i="62"/>
  <c r="AR62" i="62"/>
  <c r="AE64" i="62"/>
  <c r="P62" i="62"/>
  <c r="J62" i="62"/>
  <c r="V62" i="62"/>
  <c r="D62" i="62"/>
  <c r="AS62" i="62"/>
  <c r="AP62" i="62"/>
  <c r="Y62" i="62"/>
  <c r="G62" i="62"/>
  <c r="AQ93" i="62"/>
  <c r="AR27" i="62"/>
  <c r="AT27" i="62" s="1"/>
  <c r="AB62" i="62"/>
  <c r="G29" i="62"/>
  <c r="AS29" i="62"/>
  <c r="AB29" i="62"/>
  <c r="S29" i="62"/>
  <c r="AK62" i="62"/>
  <c r="AQ60" i="62"/>
  <c r="AR29" i="62"/>
  <c r="AK27" i="62"/>
  <c r="M62" i="62"/>
  <c r="Y64" i="62"/>
  <c r="AT93" i="62"/>
  <c r="AO62" i="62"/>
  <c r="J64" i="62"/>
  <c r="AT60" i="62"/>
  <c r="Y42" i="65"/>
  <c r="P42" i="65"/>
  <c r="AP42" i="65"/>
  <c r="S42" i="65"/>
  <c r="G44" i="65"/>
  <c r="M44" i="65"/>
  <c r="AQ35" i="65"/>
  <c r="AH42" i="65"/>
  <c r="D42" i="65"/>
  <c r="AO42" i="65"/>
  <c r="AB42" i="65"/>
  <c r="V44" i="65"/>
  <c r="J44" i="65"/>
  <c r="AE42" i="65"/>
  <c r="AQ45" i="62" l="1"/>
  <c r="F19" i="58"/>
  <c r="F22" i="58"/>
  <c r="F17" i="58"/>
  <c r="F18" i="58"/>
  <c r="AT45" i="62"/>
  <c r="F20" i="58"/>
  <c r="F21" i="58"/>
  <c r="AQ42" i="65"/>
  <c r="AH64" i="62"/>
  <c r="G14" i="58"/>
  <c r="G11" i="58"/>
  <c r="G10" i="58"/>
  <c r="G12" i="58"/>
  <c r="G13" i="58"/>
  <c r="G9" i="58"/>
  <c r="F9" i="58"/>
  <c r="F11" i="58"/>
  <c r="F10" i="58"/>
  <c r="F13" i="58"/>
  <c r="F12" i="58"/>
  <c r="F14" i="58"/>
  <c r="AT29" i="62"/>
  <c r="S64" i="62"/>
  <c r="G64" i="62"/>
  <c r="V64" i="62"/>
  <c r="P64" i="62"/>
  <c r="AT62" i="62"/>
  <c r="AS64" i="62"/>
  <c r="D64" i="62"/>
  <c r="AP64" i="62"/>
  <c r="M64" i="62"/>
  <c r="AQ62" i="62"/>
  <c r="AR64" i="62"/>
  <c r="AK29" i="62"/>
  <c r="AO29" i="62"/>
  <c r="AQ29" i="62" s="1"/>
  <c r="AB64" i="62"/>
  <c r="S44" i="65"/>
  <c r="AB44" i="65"/>
  <c r="AH44" i="65"/>
  <c r="AP44" i="65"/>
  <c r="AE44" i="65"/>
  <c r="AO44" i="65"/>
  <c r="D44" i="65"/>
  <c r="J46" i="65"/>
  <c r="M46" i="65"/>
  <c r="P44" i="65"/>
  <c r="V46" i="65"/>
  <c r="Y44" i="65"/>
  <c r="AK46" i="65"/>
  <c r="G46" i="65"/>
  <c r="AT64" i="62" l="1"/>
  <c r="AK64" i="62"/>
  <c r="AO64" i="62"/>
  <c r="AP46" i="65"/>
  <c r="Y46" i="65"/>
  <c r="AH46" i="65"/>
  <c r="D46" i="65"/>
  <c r="AO46" i="65"/>
  <c r="AQ44" i="65"/>
  <c r="AB46" i="65"/>
  <c r="P46" i="65"/>
  <c r="AE46" i="65"/>
  <c r="S46" i="65"/>
  <c r="AQ64" i="62" l="1"/>
  <c r="AQ46" i="65"/>
  <c r="J9" i="79" l="1"/>
  <c r="K8" i="79"/>
  <c r="D7" i="79" l="1"/>
  <c r="D10" i="79"/>
  <c r="L29" i="79"/>
  <c r="L28" i="79"/>
  <c r="D9" i="79"/>
  <c r="K7" i="79"/>
  <c r="L22" i="79"/>
  <c r="L30" i="79"/>
  <c r="K10" i="79"/>
  <c r="D8" i="79"/>
  <c r="J8" i="79"/>
  <c r="L8" i="79" s="1"/>
  <c r="K22" i="79"/>
  <c r="K28" i="79"/>
  <c r="K29" i="79"/>
  <c r="K30" i="79"/>
  <c r="J10" i="79"/>
  <c r="K9" i="79"/>
  <c r="L9" i="79" s="1"/>
  <c r="J7" i="79"/>
  <c r="D22" i="79"/>
  <c r="D28" i="79"/>
  <c r="D29" i="79"/>
  <c r="D30" i="79"/>
  <c r="L10" i="79" l="1"/>
  <c r="L7" i="79"/>
  <c r="H33" i="9"/>
  <c r="H75" i="9" s="1"/>
  <c r="G33" i="9"/>
  <c r="G75" i="9" s="1"/>
  <c r="C33" i="9"/>
  <c r="C75" i="9" s="1"/>
  <c r="B33" i="9" l="1"/>
  <c r="B75" i="9" s="1"/>
  <c r="H24" i="9" l="1"/>
  <c r="D48" i="78"/>
  <c r="AP8" i="62"/>
  <c r="AO8" i="62"/>
  <c r="AJ8" i="62"/>
  <c r="AI8" i="62"/>
  <c r="AG8" i="62"/>
  <c r="AF8" i="62"/>
  <c r="AD8" i="62"/>
  <c r="AC8" i="62"/>
  <c r="AA8" i="62"/>
  <c r="Z8" i="62"/>
  <c r="X8" i="62"/>
  <c r="W8" i="62"/>
  <c r="U8" i="62"/>
  <c r="T8" i="62"/>
  <c r="R8" i="62"/>
  <c r="Q8" i="62"/>
  <c r="O8" i="62"/>
  <c r="N8" i="62"/>
  <c r="L8" i="62"/>
  <c r="K8" i="62"/>
  <c r="I8" i="62"/>
  <c r="H8" i="62"/>
  <c r="F8" i="62"/>
  <c r="E8" i="62"/>
  <c r="AM8" i="62"/>
  <c r="AL8" i="62"/>
  <c r="AG8" i="75"/>
  <c r="AF8" i="75"/>
  <c r="AD8" i="75"/>
  <c r="AC8" i="75"/>
  <c r="AA8" i="75"/>
  <c r="Z8" i="75"/>
  <c r="X8" i="75"/>
  <c r="W8" i="75"/>
  <c r="U8" i="75"/>
  <c r="T8" i="75"/>
  <c r="R8" i="75"/>
  <c r="Q8" i="75"/>
  <c r="O8" i="75"/>
  <c r="N8" i="75"/>
  <c r="L8" i="75"/>
  <c r="K8" i="75"/>
  <c r="I8" i="75"/>
  <c r="H8" i="75"/>
  <c r="F8" i="75"/>
  <c r="E8" i="75"/>
  <c r="G24" i="9" l="1"/>
  <c r="M71" i="8" s="1"/>
  <c r="C24" i="9"/>
  <c r="N23" i="8" s="1"/>
  <c r="D47" i="78"/>
  <c r="H65" i="9"/>
  <c r="N71" i="8"/>
  <c r="G65" i="9" l="1"/>
  <c r="C65" i="9"/>
  <c r="B24" i="9"/>
  <c r="M23" i="8" l="1"/>
  <c r="D24" i="9"/>
  <c r="B65" i="9"/>
  <c r="D65" i="9" s="1"/>
  <c r="D54" i="77" l="1"/>
  <c r="D55" i="77"/>
  <c r="D48" i="76"/>
  <c r="H13" i="9"/>
  <c r="D48" i="77"/>
  <c r="G13" i="9"/>
  <c r="D53" i="77" l="1"/>
  <c r="M61" i="8"/>
  <c r="G54" i="9"/>
  <c r="H54" i="9"/>
  <c r="N61" i="8"/>
  <c r="D49" i="77"/>
  <c r="C13" i="9"/>
  <c r="H9" i="9"/>
  <c r="G9" i="9"/>
  <c r="C54" i="9" l="1"/>
  <c r="N12" i="8"/>
  <c r="B13" i="9"/>
  <c r="M12" i="8" s="1"/>
  <c r="H50" i="9"/>
  <c r="N57" i="8"/>
  <c r="C9" i="9"/>
  <c r="D47" i="76"/>
  <c r="B9" i="9"/>
  <c r="M8" i="8" s="1"/>
  <c r="G50" i="9"/>
  <c r="M57" i="8"/>
  <c r="D47" i="77"/>
  <c r="N8" i="8" l="1"/>
  <c r="C50" i="9"/>
  <c r="D9" i="9"/>
  <c r="B50" i="9"/>
  <c r="D13" i="9"/>
  <c r="B54" i="9"/>
  <c r="D54" i="9" s="1"/>
  <c r="D50" i="9" l="1"/>
  <c r="N131" i="8" l="1"/>
  <c r="M131" i="8"/>
  <c r="N108" i="8"/>
  <c r="M108" i="8"/>
  <c r="N83" i="8"/>
  <c r="M83" i="8"/>
  <c r="N77" i="8"/>
  <c r="M77" i="8"/>
  <c r="N56" i="8"/>
  <c r="M56" i="8"/>
  <c r="N36" i="8"/>
  <c r="M36" i="8"/>
  <c r="G73" i="9" l="1"/>
  <c r="H73" i="9"/>
  <c r="L74" i="9"/>
  <c r="M74" i="9"/>
  <c r="O74" i="9"/>
  <c r="N74" i="9"/>
  <c r="K8" i="74" l="1"/>
  <c r="H32" i="9"/>
  <c r="G32" i="9"/>
  <c r="M78" i="8" s="1"/>
  <c r="D8" i="74"/>
  <c r="J8" i="74"/>
  <c r="K7" i="74"/>
  <c r="J7" i="74"/>
  <c r="D48" i="74"/>
  <c r="D7" i="74"/>
  <c r="L8" i="74" l="1"/>
  <c r="C32" i="9"/>
  <c r="L7" i="74"/>
  <c r="D47" i="74"/>
  <c r="H74" i="9"/>
  <c r="N78" i="8"/>
  <c r="B32" i="9"/>
  <c r="M31" i="8" s="1"/>
  <c r="G74" i="9"/>
  <c r="B74" i="9" l="1"/>
  <c r="E29" i="4" l="1"/>
  <c r="B22" i="4"/>
  <c r="B29" i="4"/>
  <c r="C29" i="4"/>
  <c r="E29" i="16" s="1"/>
  <c r="E22" i="4"/>
  <c r="C22" i="4"/>
  <c r="E22" i="16" s="1"/>
  <c r="F22" i="4"/>
  <c r="F29" i="4"/>
  <c r="E22" i="79" l="1"/>
  <c r="E29" i="79"/>
  <c r="K32" i="13" l="1"/>
  <c r="E24" i="4"/>
  <c r="F32" i="4"/>
  <c r="E32" i="4"/>
  <c r="F30" i="4"/>
  <c r="B24" i="4" l="1"/>
  <c r="C25" i="4"/>
  <c r="F24" i="4"/>
  <c r="F31" i="4"/>
  <c r="E30" i="4"/>
  <c r="B25" i="4"/>
  <c r="E33" i="4"/>
  <c r="E25" i="4"/>
  <c r="F33" i="4"/>
  <c r="E31" i="4"/>
  <c r="D23" i="23"/>
  <c r="C24" i="4"/>
  <c r="C30" i="4"/>
  <c r="E30" i="16" s="1"/>
  <c r="B31" i="4"/>
  <c r="E26" i="4"/>
  <c r="B32" i="4"/>
  <c r="F23" i="4"/>
  <c r="B30" i="4"/>
  <c r="B23" i="4"/>
  <c r="F25" i="4"/>
  <c r="C31" i="4"/>
  <c r="F26" i="4"/>
  <c r="C32" i="4"/>
  <c r="C23" i="4"/>
  <c r="E23" i="4"/>
  <c r="H23" i="33"/>
  <c r="D23" i="29"/>
  <c r="D30" i="33"/>
  <c r="H24" i="23"/>
  <c r="D30" i="16"/>
  <c r="D25" i="13"/>
  <c r="D31" i="37"/>
  <c r="D32" i="29"/>
  <c r="D31" i="24"/>
  <c r="H30" i="18"/>
  <c r="H30" i="37"/>
  <c r="H30" i="33"/>
  <c r="H30" i="35"/>
  <c r="H30" i="29"/>
  <c r="H30" i="23"/>
  <c r="H30" i="13"/>
  <c r="D23" i="37"/>
  <c r="D23" i="20"/>
  <c r="D30" i="37"/>
  <c r="D30" i="20"/>
  <c r="H23" i="37"/>
  <c r="D31" i="16"/>
  <c r="H24" i="13"/>
  <c r="H31" i="18"/>
  <c r="H31" i="37"/>
  <c r="H31" i="29"/>
  <c r="H31" i="23"/>
  <c r="H31" i="13"/>
  <c r="H25" i="13"/>
  <c r="D31" i="13"/>
  <c r="H32" i="18"/>
  <c r="H32" i="37"/>
  <c r="H32" i="33"/>
  <c r="H32" i="29"/>
  <c r="H32" i="23"/>
  <c r="H33" i="37"/>
  <c r="H33" i="33"/>
  <c r="H33" i="35"/>
  <c r="H33" i="29"/>
  <c r="H33" i="23"/>
  <c r="H23" i="35"/>
  <c r="H23" i="13"/>
  <c r="D30" i="13"/>
  <c r="D31" i="33"/>
  <c r="D31" i="29"/>
  <c r="D32" i="13"/>
  <c r="H33" i="18"/>
  <c r="H24" i="33"/>
  <c r="H31" i="33"/>
  <c r="H31" i="35"/>
  <c r="D32" i="16"/>
  <c r="H25" i="18"/>
  <c r="H25" i="37"/>
  <c r="H25" i="33"/>
  <c r="H25" i="29"/>
  <c r="H32" i="13"/>
  <c r="D33" i="16"/>
  <c r="D24" i="37"/>
  <c r="D24" i="33"/>
  <c r="D24" i="29"/>
  <c r="D24" i="24"/>
  <c r="D24" i="13"/>
  <c r="H26" i="18"/>
  <c r="H26" i="37"/>
  <c r="H26" i="33"/>
  <c r="H26" i="35"/>
  <c r="H26" i="29"/>
  <c r="H26" i="23"/>
  <c r="J30" i="29"/>
  <c r="D30" i="29"/>
  <c r="J30" i="23"/>
  <c r="D30" i="23"/>
  <c r="D23" i="33"/>
  <c r="H23" i="18"/>
  <c r="H23" i="29"/>
  <c r="H23" i="23"/>
  <c r="D23" i="13"/>
  <c r="J30" i="18"/>
  <c r="J33" i="35"/>
  <c r="J32" i="16"/>
  <c r="K33" i="16"/>
  <c r="J33" i="23"/>
  <c r="J33" i="33"/>
  <c r="J33" i="29"/>
  <c r="J31" i="16"/>
  <c r="J25" i="29"/>
  <c r="J25" i="13"/>
  <c r="J32" i="18"/>
  <c r="J32" i="33"/>
  <c r="J32" i="29"/>
  <c r="J32" i="23"/>
  <c r="J26" i="18"/>
  <c r="J26" i="37"/>
  <c r="J26" i="33"/>
  <c r="J26" i="35"/>
  <c r="J26" i="29"/>
  <c r="J26" i="23"/>
  <c r="K23" i="33"/>
  <c r="J33" i="18"/>
  <c r="J33" i="37"/>
  <c r="K31" i="16"/>
  <c r="K31" i="23"/>
  <c r="K30" i="16"/>
  <c r="K25" i="18"/>
  <c r="K25" i="37"/>
  <c r="K25" i="33"/>
  <c r="K25" i="29"/>
  <c r="K25" i="13"/>
  <c r="K23" i="37"/>
  <c r="K23" i="20"/>
  <c r="K32" i="18"/>
  <c r="K32" i="33"/>
  <c r="K32" i="29"/>
  <c r="K32" i="23"/>
  <c r="J30" i="16"/>
  <c r="K33" i="23"/>
  <c r="K26" i="18"/>
  <c r="K26" i="33"/>
  <c r="K26" i="29"/>
  <c r="K23" i="35"/>
  <c r="K23" i="13"/>
  <c r="K33" i="18"/>
  <c r="K33" i="33"/>
  <c r="K33" i="29"/>
  <c r="J23" i="20"/>
  <c r="K26" i="35"/>
  <c r="J23" i="37"/>
  <c r="K26" i="37"/>
  <c r="K26" i="23"/>
  <c r="K31" i="13"/>
  <c r="J23" i="18"/>
  <c r="J23" i="29"/>
  <c r="J23" i="23"/>
  <c r="J25" i="18"/>
  <c r="J25" i="37"/>
  <c r="J25" i="33"/>
  <c r="J33" i="16"/>
  <c r="K24" i="24"/>
  <c r="K24" i="23"/>
  <c r="K24" i="13"/>
  <c r="K31" i="18"/>
  <c r="K31" i="33"/>
  <c r="K31" i="29"/>
  <c r="J23" i="35"/>
  <c r="J23" i="13"/>
  <c r="K30" i="20"/>
  <c r="K30" i="13"/>
  <c r="K24" i="33"/>
  <c r="K24" i="29"/>
  <c r="J31" i="37"/>
  <c r="J31" i="24"/>
  <c r="J31" i="35"/>
  <c r="J31" i="13"/>
  <c r="J24" i="37"/>
  <c r="J24" i="33"/>
  <c r="J24" i="29"/>
  <c r="J24" i="24"/>
  <c r="J24" i="13"/>
  <c r="K23" i="18"/>
  <c r="K23" i="29"/>
  <c r="K23" i="23"/>
  <c r="J31" i="18"/>
  <c r="J31" i="33"/>
  <c r="J31" i="29"/>
  <c r="J31" i="23"/>
  <c r="K24" i="37"/>
  <c r="K30" i="37"/>
  <c r="J30" i="13"/>
  <c r="K32" i="16"/>
  <c r="J23" i="33"/>
  <c r="J30" i="33"/>
  <c r="J30" i="35"/>
  <c r="J32" i="13"/>
  <c r="L32" i="13" s="1"/>
  <c r="J30" i="37"/>
  <c r="J30" i="20"/>
  <c r="J32" i="37"/>
  <c r="K30" i="18"/>
  <c r="K30" i="33"/>
  <c r="K30" i="29"/>
  <c r="K30" i="23"/>
  <c r="K32" i="37"/>
  <c r="K30" i="35"/>
  <c r="K31" i="37"/>
  <c r="K33" i="37"/>
  <c r="K31" i="35"/>
  <c r="K33" i="35"/>
  <c r="K31" i="24"/>
  <c r="L31" i="23" l="1"/>
  <c r="E30" i="79"/>
  <c r="L23" i="33"/>
  <c r="L30" i="37"/>
  <c r="L24" i="23"/>
  <c r="L24" i="29"/>
  <c r="L23" i="35"/>
  <c r="L23" i="20"/>
  <c r="L33" i="16"/>
  <c r="L25" i="18"/>
  <c r="L31" i="29"/>
  <c r="L25" i="29"/>
  <c r="L24" i="33"/>
  <c r="L26" i="33"/>
  <c r="L33" i="23"/>
  <c r="L30" i="35"/>
  <c r="L31" i="18"/>
  <c r="L33" i="18"/>
  <c r="L30" i="20"/>
  <c r="L31" i="13"/>
  <c r="L24" i="13"/>
  <c r="L26" i="35"/>
  <c r="L24" i="37"/>
  <c r="L31" i="37"/>
  <c r="L23" i="23"/>
  <c r="L26" i="37"/>
  <c r="L26" i="29"/>
  <c r="L30" i="29"/>
  <c r="L32" i="37"/>
  <c r="L31" i="33"/>
  <c r="L23" i="13"/>
  <c r="L23" i="29"/>
  <c r="L33" i="37"/>
  <c r="L32" i="23"/>
  <c r="L25" i="13"/>
  <c r="L30" i="18"/>
  <c r="L31" i="35"/>
  <c r="L23" i="18"/>
  <c r="L33" i="29"/>
  <c r="L25" i="33"/>
  <c r="L30" i="16"/>
  <c r="L26" i="23"/>
  <c r="L26" i="18"/>
  <c r="L32" i="29"/>
  <c r="L33" i="33"/>
  <c r="L32" i="16"/>
  <c r="L30" i="13"/>
  <c r="L30" i="33"/>
  <c r="L24" i="24"/>
  <c r="L25" i="37"/>
  <c r="L23" i="37"/>
  <c r="L32" i="33"/>
  <c r="L31" i="24"/>
  <c r="L32" i="18"/>
  <c r="L33" i="35"/>
  <c r="L30" i="23"/>
  <c r="L31" i="16"/>
  <c r="J9" i="72"/>
  <c r="E31" i="13" l="1"/>
  <c r="E31" i="37"/>
  <c r="E31" i="33"/>
  <c r="E31" i="24"/>
  <c r="E31" i="29"/>
  <c r="E23" i="23"/>
  <c r="E23" i="13"/>
  <c r="E23" i="20"/>
  <c r="E23" i="37"/>
  <c r="E23" i="33"/>
  <c r="E23" i="29"/>
  <c r="E25" i="13"/>
  <c r="E30" i="13"/>
  <c r="E30" i="20"/>
  <c r="E30" i="37"/>
  <c r="E30" i="23"/>
  <c r="E30" i="29"/>
  <c r="E30" i="33"/>
  <c r="E32" i="13"/>
  <c r="E32" i="29"/>
  <c r="E24" i="24"/>
  <c r="E24" i="13"/>
  <c r="E24" i="29"/>
  <c r="E24" i="33"/>
  <c r="E24" i="37"/>
  <c r="K7" i="72"/>
  <c r="K9" i="72"/>
  <c r="L9" i="72" s="1"/>
  <c r="J7" i="72"/>
  <c r="D48" i="72"/>
  <c r="D7" i="72"/>
  <c r="D9" i="72"/>
  <c r="L7" i="72" l="1"/>
  <c r="H27" i="9"/>
  <c r="D47" i="72"/>
  <c r="G27" i="9"/>
  <c r="G68" i="9" s="1"/>
  <c r="B27" i="9"/>
  <c r="M26" i="8" s="1"/>
  <c r="C27" i="9" l="1"/>
  <c r="B68" i="9"/>
  <c r="C68" i="9" l="1"/>
  <c r="D68" i="9" s="1"/>
  <c r="N26" i="8"/>
  <c r="G33" i="4"/>
  <c r="I33" i="4" l="1"/>
  <c r="H33" i="4"/>
  <c r="J33" i="4" l="1"/>
  <c r="G10" i="9" l="1"/>
  <c r="D22" i="18"/>
  <c r="H10" i="9"/>
  <c r="D29" i="18"/>
  <c r="H10" i="18"/>
  <c r="D7" i="18"/>
  <c r="D10" i="18"/>
  <c r="H117" i="18"/>
  <c r="H121" i="18"/>
  <c r="J88" i="18"/>
  <c r="H109" i="18"/>
  <c r="H113" i="18"/>
  <c r="H125" i="18"/>
  <c r="K113" i="18"/>
  <c r="K99" i="18"/>
  <c r="H7" i="18"/>
  <c r="J67" i="18"/>
  <c r="D99" i="18"/>
  <c r="J109" i="18"/>
  <c r="J112" i="18"/>
  <c r="J121" i="18"/>
  <c r="D28" i="18"/>
  <c r="K78" i="18"/>
  <c r="K108" i="18"/>
  <c r="J113" i="18"/>
  <c r="K120" i="18"/>
  <c r="H108" i="18"/>
  <c r="H11" i="18"/>
  <c r="K109" i="18"/>
  <c r="J117" i="18"/>
  <c r="K112" i="18"/>
  <c r="K117" i="18"/>
  <c r="H12" i="18"/>
  <c r="D67" i="18"/>
  <c r="D88" i="18"/>
  <c r="J99" i="18"/>
  <c r="J120" i="18"/>
  <c r="K121" i="18"/>
  <c r="K28" i="18"/>
  <c r="D48" i="18"/>
  <c r="K67" i="18"/>
  <c r="D120" i="18"/>
  <c r="J11" i="18"/>
  <c r="J108" i="18"/>
  <c r="D112" i="18"/>
  <c r="H22" i="18"/>
  <c r="D78" i="18"/>
  <c r="D108" i="18"/>
  <c r="J125" i="18"/>
  <c r="J9" i="18"/>
  <c r="L9" i="18" s="1"/>
  <c r="D9" i="18"/>
  <c r="J28" i="18"/>
  <c r="J12" i="18"/>
  <c r="J7" i="18"/>
  <c r="J10" i="18"/>
  <c r="J8" i="18"/>
  <c r="L8" i="18" s="1"/>
  <c r="D8" i="18"/>
  <c r="J78" i="18"/>
  <c r="K125" i="18"/>
  <c r="K88" i="18"/>
  <c r="B97" i="4" l="1"/>
  <c r="C97" i="4"/>
  <c r="C76" i="4"/>
  <c r="B76" i="4"/>
  <c r="M58" i="8"/>
  <c r="N58" i="8"/>
  <c r="K98" i="18"/>
  <c r="I10" i="9"/>
  <c r="D87" i="18"/>
  <c r="H29" i="18"/>
  <c r="D66" i="18"/>
  <c r="K29" i="18"/>
  <c r="K22" i="18"/>
  <c r="J29" i="18"/>
  <c r="H119" i="18"/>
  <c r="J22" i="18"/>
  <c r="K119" i="18"/>
  <c r="L113" i="18"/>
  <c r="L12" i="18"/>
  <c r="L28" i="18"/>
  <c r="L88" i="18"/>
  <c r="L121" i="18"/>
  <c r="L109" i="18"/>
  <c r="L120" i="18"/>
  <c r="L99" i="18"/>
  <c r="J111" i="18"/>
  <c r="H111" i="18"/>
  <c r="L117" i="18"/>
  <c r="L78" i="18"/>
  <c r="L7" i="18"/>
  <c r="L108" i="18"/>
  <c r="L11" i="18"/>
  <c r="L67" i="18"/>
  <c r="K111" i="18"/>
  <c r="L112" i="18"/>
  <c r="D98" i="18"/>
  <c r="L10" i="18"/>
  <c r="J119" i="18"/>
  <c r="D119"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10" i="9"/>
  <c r="L76" i="33"/>
  <c r="L119"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2" i="37"/>
  <c r="J121" i="37"/>
  <c r="H121" i="37"/>
  <c r="K114" i="37"/>
  <c r="K107" i="37"/>
  <c r="K99" i="37"/>
  <c r="J125" i="37"/>
  <c r="K116" i="37"/>
  <c r="K78" i="37"/>
  <c r="D8" i="37"/>
  <c r="H108" i="37"/>
  <c r="D67" i="37"/>
  <c r="K110" i="37"/>
  <c r="J86" i="37"/>
  <c r="K28" i="37"/>
  <c r="H7" i="37"/>
  <c r="D135" i="37"/>
  <c r="H124" i="37"/>
  <c r="J110" i="37"/>
  <c r="D108" i="37"/>
  <c r="D28" i="37"/>
  <c r="K113" i="37"/>
  <c r="J108" i="37"/>
  <c r="D34" i="37"/>
  <c r="K10" i="37"/>
  <c r="K125" i="37"/>
  <c r="J117" i="37"/>
  <c r="J113" i="37"/>
  <c r="D110" i="37"/>
  <c r="K136" i="37"/>
  <c r="J134" i="37"/>
  <c r="H35" i="37"/>
  <c r="J28" i="37"/>
  <c r="K11" i="37"/>
  <c r="J122" i="37"/>
  <c r="L122" i="37" s="1"/>
  <c r="J116" i="37"/>
  <c r="K109" i="37"/>
  <c r="J12" i="37"/>
  <c r="J7" i="37"/>
  <c r="H75" i="37"/>
  <c r="D48"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M9" i="8" l="1"/>
  <c r="J76" i="4"/>
  <c r="L100" i="18"/>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F30" i="58" l="1"/>
  <c r="C8" i="58" l="1"/>
  <c r="G31" i="4" l="1"/>
  <c r="G23" i="4" l="1"/>
  <c r="G24" i="4"/>
  <c r="G30" i="4"/>
  <c r="G25" i="4"/>
  <c r="G32" i="4"/>
  <c r="D32" i="4"/>
  <c r="D24" i="4"/>
  <c r="I23" i="37"/>
  <c r="I25" i="37"/>
  <c r="I25" i="18"/>
  <c r="I30" i="37"/>
  <c r="I30" i="18"/>
  <c r="I31" i="37"/>
  <c r="I31" i="18"/>
  <c r="G26" i="4"/>
  <c r="D25" i="4"/>
  <c r="I32" i="37"/>
  <c r="I32" i="18"/>
  <c r="D30" i="4"/>
  <c r="D31" i="4"/>
  <c r="E29" i="18" l="1"/>
  <c r="E29" i="23"/>
  <c r="E29" i="29"/>
  <c r="E29" i="33"/>
  <c r="E29" i="20"/>
  <c r="E29" i="24"/>
  <c r="E29" i="51"/>
  <c r="E29" i="37"/>
  <c r="E29" i="13"/>
  <c r="I23" i="18"/>
  <c r="D23" i="4"/>
  <c r="I26" i="4"/>
  <c r="H26" i="4"/>
  <c r="F26" i="10"/>
  <c r="F16" i="10"/>
  <c r="F34" i="10"/>
  <c r="I26" i="29"/>
  <c r="I26" i="23"/>
  <c r="I26" i="33"/>
  <c r="I26" i="37"/>
  <c r="I26" i="35"/>
  <c r="I26" i="18"/>
  <c r="G16" i="10"/>
  <c r="G26" i="10"/>
  <c r="G34" i="10"/>
  <c r="M26" i="29" l="1"/>
  <c r="J26" i="4"/>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G56" i="10" l="1"/>
  <c r="G60" i="10"/>
  <c r="F60" i="10" l="1"/>
  <c r="F56" i="10"/>
  <c r="K28" i="10" l="1"/>
  <c r="J28" i="10"/>
  <c r="K9" i="33" l="1"/>
  <c r="K9" i="29"/>
  <c r="K8" i="51"/>
  <c r="K8" i="29"/>
  <c r="K8" i="33"/>
  <c r="K9" i="51"/>
  <c r="K8" i="25"/>
  <c r="K8" i="24"/>
  <c r="K9" i="25"/>
  <c r="K9" i="24"/>
  <c r="K8" i="22"/>
  <c r="K9" i="22"/>
  <c r="K9" i="20"/>
  <c r="K8" i="20"/>
  <c r="K8" i="19"/>
  <c r="J36" i="13"/>
  <c r="K9" i="19"/>
  <c r="K37" i="13"/>
  <c r="J37" i="13"/>
  <c r="K36" i="13"/>
  <c r="K8" i="13"/>
  <c r="K9" i="13"/>
  <c r="D22" i="16"/>
  <c r="L37" i="13" l="1"/>
  <c r="L36" i="13"/>
  <c r="B124" i="4"/>
  <c r="B55" i="4"/>
  <c r="B135" i="4"/>
  <c r="B25" i="10" s="1"/>
  <c r="B57" i="4"/>
  <c r="E7" i="4"/>
  <c r="F9" i="10" s="1"/>
  <c r="F10" i="4"/>
  <c r="C86" i="4"/>
  <c r="F135" i="4"/>
  <c r="B48" i="4"/>
  <c r="E79" i="4"/>
  <c r="C67" i="4"/>
  <c r="C108" i="4"/>
  <c r="C125" i="4"/>
  <c r="E116" i="4"/>
  <c r="F124" i="4"/>
  <c r="B122" i="4"/>
  <c r="B68" i="4"/>
  <c r="B13" i="10" s="1"/>
  <c r="C57" i="4"/>
  <c r="E57" i="16" s="1"/>
  <c r="C124" i="4"/>
  <c r="E113" i="4"/>
  <c r="F11" i="4"/>
  <c r="B136" i="4"/>
  <c r="B33" i="10" s="1"/>
  <c r="F34" i="4"/>
  <c r="C99" i="4"/>
  <c r="E10" i="4"/>
  <c r="F20" i="10" s="1"/>
  <c r="B86" i="4"/>
  <c r="E86" i="4"/>
  <c r="B89" i="4"/>
  <c r="B23" i="10" s="1"/>
  <c r="B110" i="4"/>
  <c r="F116" i="4"/>
  <c r="B36" i="4"/>
  <c r="B16" i="10" s="1"/>
  <c r="C34" i="4"/>
  <c r="C107" i="4"/>
  <c r="E121" i="4"/>
  <c r="C88" i="4"/>
  <c r="B54" i="4"/>
  <c r="C49" i="4"/>
  <c r="F68" i="4"/>
  <c r="F109" i="4"/>
  <c r="C28" i="4"/>
  <c r="E28" i="16" s="1"/>
  <c r="E34" i="4"/>
  <c r="F31" i="10" s="1"/>
  <c r="F86" i="4"/>
  <c r="E11" i="4"/>
  <c r="F30" i="10" s="1"/>
  <c r="E12" i="4"/>
  <c r="F41" i="10" s="1"/>
  <c r="C112" i="4"/>
  <c r="E107" i="4"/>
  <c r="E134" i="4"/>
  <c r="F15" i="10" s="1"/>
  <c r="C96" i="4"/>
  <c r="F7" i="4"/>
  <c r="C68" i="4"/>
  <c r="C89" i="4"/>
  <c r="F79" i="4"/>
  <c r="E117" i="4"/>
  <c r="C110" i="4"/>
  <c r="B116" i="4"/>
  <c r="C39" i="4"/>
  <c r="C75" i="4"/>
  <c r="E75" i="4"/>
  <c r="F96" i="4"/>
  <c r="B34" i="4"/>
  <c r="C114" i="4"/>
  <c r="B8" i="4"/>
  <c r="F107" i="4"/>
  <c r="F12" i="4"/>
  <c r="E96" i="4"/>
  <c r="G96" i="4" s="1"/>
  <c r="C79" i="4"/>
  <c r="B49" i="4"/>
  <c r="E100" i="4"/>
  <c r="B108" i="4"/>
  <c r="F117" i="4"/>
  <c r="C116" i="4"/>
  <c r="B75" i="4"/>
  <c r="F113" i="4"/>
  <c r="B114" i="4"/>
  <c r="C120" i="4"/>
  <c r="B39" i="4"/>
  <c r="B35" i="4"/>
  <c r="C121" i="4"/>
  <c r="F112" i="4"/>
  <c r="C35" i="4"/>
  <c r="C48" i="4"/>
  <c r="B113" i="4"/>
  <c r="F89" i="4"/>
  <c r="F100" i="4"/>
  <c r="E109" i="4"/>
  <c r="G109" i="4" s="1"/>
  <c r="F125" i="4"/>
  <c r="E108" i="4"/>
  <c r="B134" i="4"/>
  <c r="B15" i="10" s="1"/>
  <c r="B107" i="4"/>
  <c r="C113" i="4"/>
  <c r="B37" i="4"/>
  <c r="B26" i="10" s="1"/>
  <c r="C134" i="4"/>
  <c r="C37" i="4"/>
  <c r="E35" i="4"/>
  <c r="F42" i="10" s="1"/>
  <c r="B96" i="4"/>
  <c r="C54" i="4"/>
  <c r="E54" i="16" s="1"/>
  <c r="B120" i="4"/>
  <c r="C100" i="4"/>
  <c r="B79" i="4"/>
  <c r="B109" i="4"/>
  <c r="B117" i="4"/>
  <c r="F108" i="4"/>
  <c r="F136" i="4"/>
  <c r="B137" i="4"/>
  <c r="B44" i="10" s="1"/>
  <c r="C55" i="4"/>
  <c r="B112" i="4"/>
  <c r="B99" i="4"/>
  <c r="C122" i="4"/>
  <c r="C135" i="4"/>
  <c r="B78" i="4"/>
  <c r="F121" i="4"/>
  <c r="E112" i="4"/>
  <c r="G112" i="4" s="1"/>
  <c r="F35" i="4"/>
  <c r="B67" i="4"/>
  <c r="E89" i="4"/>
  <c r="B125" i="4"/>
  <c r="C117" i="4"/>
  <c r="B28" i="4"/>
  <c r="E136" i="4"/>
  <c r="C36" i="4"/>
  <c r="B121" i="4"/>
  <c r="C136" i="4"/>
  <c r="F75" i="4"/>
  <c r="C137" i="4"/>
  <c r="B88" i="4"/>
  <c r="C78" i="4"/>
  <c r="F134" i="4"/>
  <c r="E135" i="4"/>
  <c r="F25" i="10" s="1"/>
  <c r="E68" i="4"/>
  <c r="B100" i="4"/>
  <c r="E125" i="4"/>
  <c r="G125" i="4" s="1"/>
  <c r="C109" i="4"/>
  <c r="E124" i="4"/>
  <c r="G124" i="4" s="1"/>
  <c r="C10" i="4"/>
  <c r="E10" i="16" s="1"/>
  <c r="B12" i="4"/>
  <c r="B41" i="10" s="1"/>
  <c r="B9" i="4"/>
  <c r="B7" i="4"/>
  <c r="B9" i="10" s="1"/>
  <c r="B10" i="4"/>
  <c r="B20" i="10" s="1"/>
  <c r="C12" i="4"/>
  <c r="C8" i="4"/>
  <c r="E8" i="16" s="1"/>
  <c r="C11" i="4"/>
  <c r="B11" i="4"/>
  <c r="B30" i="10" s="1"/>
  <c r="C9" i="4"/>
  <c r="E9" i="16" s="1"/>
  <c r="C7" i="4"/>
  <c r="E7" i="16" s="1"/>
  <c r="G17" i="9"/>
  <c r="G58" i="9" s="1"/>
  <c r="H42" i="9"/>
  <c r="C40" i="9"/>
  <c r="H41" i="9"/>
  <c r="G40" i="9"/>
  <c r="H20" i="9"/>
  <c r="N67" i="8" s="1"/>
  <c r="G18" i="9"/>
  <c r="M65" i="8" s="1"/>
  <c r="G15" i="9"/>
  <c r="M63" i="8" s="1"/>
  <c r="G16" i="9"/>
  <c r="C38" i="9"/>
  <c r="G19" i="9"/>
  <c r="M66" i="8" s="1"/>
  <c r="B43" i="9"/>
  <c r="B44" i="9"/>
  <c r="C44" i="9"/>
  <c r="G22" i="9"/>
  <c r="M69" i="8" s="1"/>
  <c r="C42" i="9"/>
  <c r="H43" i="9"/>
  <c r="H15" i="9"/>
  <c r="N63" i="8" s="1"/>
  <c r="H39" i="9"/>
  <c r="G12" i="9"/>
  <c r="C39" i="9"/>
  <c r="G21" i="9"/>
  <c r="M68" i="8" s="1"/>
  <c r="H21" i="9"/>
  <c r="G25" i="9"/>
  <c r="M72" i="8" s="1"/>
  <c r="H38" i="9"/>
  <c r="H11" i="9"/>
  <c r="H40" i="9"/>
  <c r="C43" i="9"/>
  <c r="G11" i="9"/>
  <c r="H12" i="9"/>
  <c r="N60" i="8" s="1"/>
  <c r="C41" i="9"/>
  <c r="G23" i="9"/>
  <c r="G20" i="9"/>
  <c r="G26" i="9"/>
  <c r="H44" i="9"/>
  <c r="G28" i="9"/>
  <c r="M74" i="8" s="1"/>
  <c r="G30" i="9"/>
  <c r="M76" i="8" s="1"/>
  <c r="G38" i="9"/>
  <c r="H23" i="9"/>
  <c r="N70" i="8" s="1"/>
  <c r="B38" i="9"/>
  <c r="B42" i="9"/>
  <c r="B39" i="9"/>
  <c r="K36" i="16"/>
  <c r="J38" i="16"/>
  <c r="J39" i="16"/>
  <c r="J37" i="16"/>
  <c r="K37" i="16"/>
  <c r="K38" i="16"/>
  <c r="J36" i="16"/>
  <c r="K39" i="16"/>
  <c r="K135" i="26"/>
  <c r="K7" i="35"/>
  <c r="H29" i="29"/>
  <c r="K121" i="13"/>
  <c r="H121" i="33"/>
  <c r="H125" i="33"/>
  <c r="H68" i="29"/>
  <c r="K113" i="33"/>
  <c r="H68" i="35"/>
  <c r="H29" i="13"/>
  <c r="K12" i="29"/>
  <c r="J86" i="29"/>
  <c r="K108" i="33"/>
  <c r="H22" i="33"/>
  <c r="K68" i="33"/>
  <c r="H35" i="29"/>
  <c r="H34" i="13"/>
  <c r="D37" i="16"/>
  <c r="H121" i="35"/>
  <c r="K22" i="51"/>
  <c r="K135" i="34"/>
  <c r="K134" i="26"/>
  <c r="K113" i="29"/>
  <c r="H100" i="29"/>
  <c r="K137" i="26"/>
  <c r="J79" i="29"/>
  <c r="K28" i="51"/>
  <c r="H89" i="29"/>
  <c r="K12" i="33"/>
  <c r="K116" i="33"/>
  <c r="K29" i="51"/>
  <c r="H34" i="33"/>
  <c r="H12" i="33"/>
  <c r="H125" i="29"/>
  <c r="K108" i="23"/>
  <c r="K22" i="23"/>
  <c r="H107" i="23"/>
  <c r="K107" i="33"/>
  <c r="K100" i="33"/>
  <c r="K75" i="33"/>
  <c r="K122" i="33"/>
  <c r="H86" i="35"/>
  <c r="K114" i="33"/>
  <c r="H29" i="33"/>
  <c r="H75" i="33"/>
  <c r="D36" i="16"/>
  <c r="D49" i="19"/>
  <c r="D37" i="13"/>
  <c r="K89" i="23"/>
  <c r="K68" i="23"/>
  <c r="H135" i="26"/>
  <c r="H22" i="29"/>
  <c r="K113" i="35"/>
  <c r="K12" i="35"/>
  <c r="K109" i="35"/>
  <c r="H12" i="35"/>
  <c r="H96" i="33"/>
  <c r="H117" i="33"/>
  <c r="K28" i="25"/>
  <c r="K96" i="33"/>
  <c r="H35" i="33"/>
  <c r="K117" i="33"/>
  <c r="H109" i="35"/>
  <c r="K28" i="23"/>
  <c r="K89" i="33"/>
  <c r="K11" i="35"/>
  <c r="H113" i="35"/>
  <c r="D57" i="16"/>
  <c r="D35" i="16"/>
  <c r="D28" i="16"/>
  <c r="D29" i="16"/>
  <c r="D9" i="16"/>
  <c r="D10" i="16"/>
  <c r="D39" i="16"/>
  <c r="D54" i="16"/>
  <c r="D8" i="16"/>
  <c r="D49" i="16"/>
  <c r="D7" i="16"/>
  <c r="D34" i="16"/>
  <c r="D38" i="16"/>
  <c r="D48" i="16"/>
  <c r="H100" i="23"/>
  <c r="B21" i="10"/>
  <c r="K109" i="23"/>
  <c r="K10" i="35"/>
  <c r="K34" i="13"/>
  <c r="K107" i="13"/>
  <c r="K121" i="23"/>
  <c r="H109" i="23"/>
  <c r="H22" i="23"/>
  <c r="H89" i="35"/>
  <c r="H100" i="33"/>
  <c r="H68" i="33"/>
  <c r="K125" i="33"/>
  <c r="D49" i="39"/>
  <c r="K7" i="13"/>
  <c r="K7" i="19"/>
  <c r="K10" i="29"/>
  <c r="H7" i="23"/>
  <c r="H7" i="29"/>
  <c r="H7" i="33"/>
  <c r="K10" i="33"/>
  <c r="H10" i="13"/>
  <c r="K7" i="23"/>
  <c r="K11" i="33"/>
  <c r="K7" i="29"/>
  <c r="H10" i="35"/>
  <c r="H11" i="13"/>
  <c r="K22" i="13"/>
  <c r="K29" i="13"/>
  <c r="H79" i="13"/>
  <c r="K100" i="13"/>
  <c r="K116" i="13"/>
  <c r="K10" i="13"/>
  <c r="H121" i="13"/>
  <c r="K7" i="20"/>
  <c r="K10" i="20"/>
  <c r="K22" i="24"/>
  <c r="K11" i="29"/>
  <c r="H22" i="35"/>
  <c r="H113" i="29"/>
  <c r="H7" i="35"/>
  <c r="H11" i="35"/>
  <c r="K7" i="33"/>
  <c r="H89" i="33"/>
  <c r="H107" i="33"/>
  <c r="K121" i="33"/>
  <c r="H89" i="13"/>
  <c r="K109" i="13"/>
  <c r="K67" i="13"/>
  <c r="K11" i="13"/>
  <c r="H113" i="33"/>
  <c r="H107" i="35"/>
  <c r="H12" i="23"/>
  <c r="H86" i="23"/>
  <c r="H136" i="26"/>
  <c r="K28" i="29"/>
  <c r="K34" i="29"/>
  <c r="H134" i="26"/>
  <c r="K117" i="29"/>
  <c r="H35" i="35"/>
  <c r="H79" i="23"/>
  <c r="H89" i="23"/>
  <c r="H117" i="23"/>
  <c r="K35" i="29"/>
  <c r="H117" i="29"/>
  <c r="H45" i="9"/>
  <c r="D39" i="13"/>
  <c r="H22" i="13"/>
  <c r="H7" i="13"/>
  <c r="K35" i="13"/>
  <c r="K108" i="13"/>
  <c r="K12" i="13"/>
  <c r="H107" i="13"/>
  <c r="C45" i="9"/>
  <c r="D48" i="13"/>
  <c r="J10" i="13"/>
  <c r="D10" i="13"/>
  <c r="K28" i="13"/>
  <c r="K68" i="13"/>
  <c r="K112" i="13"/>
  <c r="K117" i="13"/>
  <c r="H35" i="13"/>
  <c r="H109" i="13"/>
  <c r="J89" i="13"/>
  <c r="D89" i="13"/>
  <c r="D11" i="13"/>
  <c r="J11" i="13"/>
  <c r="J9" i="19"/>
  <c r="L9" i="19" s="1"/>
  <c r="D9" i="19"/>
  <c r="B37" i="9"/>
  <c r="K113" i="13"/>
  <c r="J9" i="13"/>
  <c r="L9" i="13" s="1"/>
  <c r="D9" i="13"/>
  <c r="H68" i="13"/>
  <c r="J88" i="13"/>
  <c r="D88" i="13"/>
  <c r="H100" i="13"/>
  <c r="H12" i="13"/>
  <c r="C37" i="9"/>
  <c r="H37" i="9"/>
  <c r="H51" i="9" s="1"/>
  <c r="G37" i="9"/>
  <c r="G51" i="9" s="1"/>
  <c r="D78" i="13"/>
  <c r="J78" i="13"/>
  <c r="J12" i="13"/>
  <c r="D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D54" i="22"/>
  <c r="D22" i="23"/>
  <c r="J22" i="23"/>
  <c r="D28" i="25"/>
  <c r="J28" i="25"/>
  <c r="J112" i="23"/>
  <c r="D112" i="23"/>
  <c r="J22" i="24"/>
  <c r="D22" i="24"/>
  <c r="D8" i="22"/>
  <c r="J8" i="22"/>
  <c r="L8" i="22" s="1"/>
  <c r="D29" i="23"/>
  <c r="J29" i="23"/>
  <c r="K112" i="23"/>
  <c r="D7" i="24"/>
  <c r="J7" i="24"/>
  <c r="J22" i="51"/>
  <c r="D22" i="51"/>
  <c r="K11" i="23"/>
  <c r="K35" i="23"/>
  <c r="D107" i="23"/>
  <c r="J107" i="23"/>
  <c r="J117" i="23"/>
  <c r="K29" i="24"/>
  <c r="D48" i="25"/>
  <c r="D9" i="22"/>
  <c r="J9" i="22"/>
  <c r="L9" i="22" s="1"/>
  <c r="K12" i="23"/>
  <c r="K67" i="23"/>
  <c r="D78" i="23"/>
  <c r="K78" i="23"/>
  <c r="J108" i="23"/>
  <c r="D108" i="23"/>
  <c r="H113" i="23"/>
  <c r="D67" i="29"/>
  <c r="K67" i="29"/>
  <c r="J75" i="33"/>
  <c r="D75" i="33"/>
  <c r="D48" i="51"/>
  <c r="D54" i="40"/>
  <c r="J28" i="29"/>
  <c r="D28" i="29"/>
  <c r="D136" i="26"/>
  <c r="J136" i="26"/>
  <c r="D7" i="29"/>
  <c r="J7" i="29"/>
  <c r="J10" i="35"/>
  <c r="J12" i="29"/>
  <c r="H12" i="29"/>
  <c r="J109" i="29"/>
  <c r="D109" i="29"/>
  <c r="K120" i="29"/>
  <c r="D68" i="29"/>
  <c r="J68" i="29"/>
  <c r="D86" i="29"/>
  <c r="K86" i="29"/>
  <c r="K89" i="29"/>
  <c r="K107" i="29"/>
  <c r="H121" i="29"/>
  <c r="J7" i="35"/>
  <c r="K22" i="35"/>
  <c r="K29" i="35"/>
  <c r="J10" i="33"/>
  <c r="J68" i="33"/>
  <c r="D68" i="33"/>
  <c r="J125" i="35"/>
  <c r="J86" i="35"/>
  <c r="J89" i="35"/>
  <c r="J107" i="35"/>
  <c r="K78" i="33"/>
  <c r="K77" i="33"/>
  <c r="K112" i="33"/>
  <c r="K121" i="35"/>
  <c r="J8" i="33"/>
  <c r="L8" i="33" s="1"/>
  <c r="H11" i="33"/>
  <c r="K35" i="33"/>
  <c r="D96" i="33"/>
  <c r="J96" i="33"/>
  <c r="J108" i="33"/>
  <c r="D108" i="33"/>
  <c r="K110" i="33"/>
  <c r="D116" i="33"/>
  <c r="J116" i="33"/>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J12" i="35"/>
  <c r="D49" i="22"/>
  <c r="J10" i="23"/>
  <c r="J34" i="23"/>
  <c r="K113" i="23"/>
  <c r="J125" i="23"/>
  <c r="J8" i="24"/>
  <c r="L8" i="24" s="1"/>
  <c r="D8" i="24"/>
  <c r="J7" i="25"/>
  <c r="D7" i="25"/>
  <c r="D29" i="51"/>
  <c r="J29" i="51"/>
  <c r="J12" i="23"/>
  <c r="J78" i="23"/>
  <c r="K7" i="24"/>
  <c r="D10" i="24"/>
  <c r="J10" i="24"/>
  <c r="H29" i="23"/>
  <c r="J68" i="23"/>
  <c r="K79" i="23"/>
  <c r="J88" i="23"/>
  <c r="D88" i="23"/>
  <c r="K99" i="23"/>
  <c r="J109" i="23"/>
  <c r="K120" i="23"/>
  <c r="K10" i="24"/>
  <c r="D48" i="40"/>
  <c r="J29" i="29"/>
  <c r="D29" i="29"/>
  <c r="D134" i="26"/>
  <c r="J134" i="26"/>
  <c r="D137" i="26"/>
  <c r="J137" i="26"/>
  <c r="K7" i="51"/>
  <c r="K10" i="51"/>
  <c r="J78" i="29"/>
  <c r="D78" i="29"/>
  <c r="J22" i="29"/>
  <c r="D22" i="29"/>
  <c r="K68" i="29"/>
  <c r="J88" i="29"/>
  <c r="D88" i="29"/>
  <c r="J11" i="33"/>
  <c r="J121" i="29"/>
  <c r="J134" i="34"/>
  <c r="D134" i="34"/>
  <c r="H29" i="35"/>
  <c r="K108" i="29"/>
  <c r="D48" i="34"/>
  <c r="J22" i="35"/>
  <c r="J29" i="35"/>
  <c r="H77" i="29"/>
  <c r="H107" i="29"/>
  <c r="J117" i="29"/>
  <c r="D117" i="29"/>
  <c r="D55" i="34"/>
  <c r="J135" i="34"/>
  <c r="D135" i="34"/>
  <c r="K34" i="35"/>
  <c r="J117" i="35"/>
  <c r="J9" i="33"/>
  <c r="L9" i="33" s="1"/>
  <c r="J78" i="33"/>
  <c r="D78" i="33"/>
  <c r="J22" i="33"/>
  <c r="D22" i="33"/>
  <c r="J29" i="33"/>
  <c r="D29" i="33"/>
  <c r="J67" i="33"/>
  <c r="K79" i="33"/>
  <c r="K86" i="35"/>
  <c r="K89" i="35"/>
  <c r="K107" i="35"/>
  <c r="H117" i="35"/>
  <c r="J99" i="33"/>
  <c r="D99" i="33"/>
  <c r="D109" i="33"/>
  <c r="J109" i="33"/>
  <c r="D48" i="38"/>
  <c r="G45" i="9"/>
  <c r="J112" i="33"/>
  <c r="D112" i="33"/>
  <c r="J117" i="33"/>
  <c r="D48" i="39"/>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J9" i="24"/>
  <c r="L9" i="24" s="1"/>
  <c r="D9" i="24"/>
  <c r="D54" i="25"/>
  <c r="J7" i="51"/>
  <c r="D7" i="51"/>
  <c r="D10" i="51"/>
  <c r="J10" i="51"/>
  <c r="J34" i="29"/>
  <c r="D34" i="29"/>
  <c r="D10" i="29"/>
  <c r="J10" i="29"/>
  <c r="J89" i="29"/>
  <c r="D89" i="29"/>
  <c r="J11" i="35"/>
  <c r="H10" i="29"/>
  <c r="K22" i="29"/>
  <c r="K29" i="29"/>
  <c r="J120" i="29"/>
  <c r="D120" i="29"/>
  <c r="J107" i="29"/>
  <c r="D107" i="29"/>
  <c r="H34" i="35"/>
  <c r="K78" i="29"/>
  <c r="K99" i="29"/>
  <c r="K109" i="29"/>
  <c r="J125" i="29"/>
  <c r="K134" i="34"/>
  <c r="J34" i="35"/>
  <c r="J68" i="35"/>
  <c r="H29" i="9"/>
  <c r="N75" i="8" s="1"/>
  <c r="H79" i="29"/>
  <c r="D113" i="29"/>
  <c r="J113" i="29"/>
  <c r="K125" i="29"/>
  <c r="K35" i="35"/>
  <c r="K68" i="35"/>
  <c r="K117" i="35"/>
  <c r="D67" i="33"/>
  <c r="K67" i="33"/>
  <c r="J79" i="33"/>
  <c r="D79" i="33"/>
  <c r="K125" i="35"/>
  <c r="J34" i="33"/>
  <c r="K86" i="33"/>
  <c r="D122" i="33"/>
  <c r="J122" i="33"/>
  <c r="J113" i="35"/>
  <c r="K22" i="33"/>
  <c r="K29" i="33"/>
  <c r="H79" i="33"/>
  <c r="J88" i="33"/>
  <c r="D88" i="33"/>
  <c r="J100" i="33"/>
  <c r="D100" i="33"/>
  <c r="K120" i="33"/>
  <c r="J113" i="33"/>
  <c r="D57" i="39"/>
  <c r="D54" i="21"/>
  <c r="J22" i="20"/>
  <c r="D22" i="20"/>
  <c r="J29" i="20"/>
  <c r="D29" i="20"/>
  <c r="D48" i="20"/>
  <c r="J7" i="23"/>
  <c r="K88" i="23"/>
  <c r="J35" i="29"/>
  <c r="D7" i="22"/>
  <c r="J7" i="22"/>
  <c r="H121" i="23"/>
  <c r="J29" i="24"/>
  <c r="D29" i="24"/>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H10" i="33"/>
  <c r="K34" i="33"/>
  <c r="H86" i="33"/>
  <c r="J89" i="33"/>
  <c r="D89" i="33"/>
  <c r="J107" i="33"/>
  <c r="J110" i="33"/>
  <c r="D110" i="33"/>
  <c r="K109" i="33"/>
  <c r="H109" i="33"/>
  <c r="J114" i="33"/>
  <c r="D114" i="33"/>
  <c r="G29" i="9"/>
  <c r="M75" i="8" s="1"/>
  <c r="B10" i="10"/>
  <c r="F21" i="10"/>
  <c r="F10" i="10"/>
  <c r="K9" i="16"/>
  <c r="K8" i="16"/>
  <c r="K22" i="16"/>
  <c r="K7" i="16"/>
  <c r="J8" i="16"/>
  <c r="J35" i="16"/>
  <c r="J9" i="16"/>
  <c r="J22" i="16"/>
  <c r="J28" i="16"/>
  <c r="J34" i="16"/>
  <c r="J29" i="16"/>
  <c r="K10" i="16"/>
  <c r="K29" i="16"/>
  <c r="K34" i="16"/>
  <c r="K35" i="16"/>
  <c r="J10" i="16"/>
  <c r="J7" i="16"/>
  <c r="K28" i="16"/>
  <c r="G100" i="4" l="1"/>
  <c r="G117" i="4"/>
  <c r="F13" i="10"/>
  <c r="G68" i="4"/>
  <c r="F23" i="10"/>
  <c r="G89" i="4"/>
  <c r="G107" i="4"/>
  <c r="G116" i="4"/>
  <c r="G113" i="4"/>
  <c r="G86" i="4"/>
  <c r="G75" i="4"/>
  <c r="G121" i="4"/>
  <c r="G79" i="4"/>
  <c r="G108" i="4"/>
  <c r="E36" i="13"/>
  <c r="E36" i="37"/>
  <c r="E37" i="13"/>
  <c r="E37" i="37"/>
  <c r="D53" i="34"/>
  <c r="D47" i="19"/>
  <c r="D28" i="4"/>
  <c r="E119" i="4"/>
  <c r="F111" i="4"/>
  <c r="C98" i="4"/>
  <c r="E87" i="4"/>
  <c r="E111" i="4"/>
  <c r="F87" i="4"/>
  <c r="B47" i="4"/>
  <c r="B11" i="10" s="1"/>
  <c r="E77" i="4"/>
  <c r="F77" i="4"/>
  <c r="B87" i="4"/>
  <c r="B22" i="10" s="1"/>
  <c r="B53" i="4"/>
  <c r="B38" i="10" s="1"/>
  <c r="F119" i="4"/>
  <c r="B119" i="4"/>
  <c r="B43" i="10" s="1"/>
  <c r="C119" i="4"/>
  <c r="C53" i="4"/>
  <c r="C47" i="4"/>
  <c r="C77" i="4"/>
  <c r="F98" i="4"/>
  <c r="E66" i="4"/>
  <c r="C111" i="4"/>
  <c r="C56" i="4"/>
  <c r="B77" i="4"/>
  <c r="E98" i="4"/>
  <c r="C87" i="4"/>
  <c r="B56" i="4"/>
  <c r="B49" i="10" s="1"/>
  <c r="B98" i="4"/>
  <c r="F66" i="4"/>
  <c r="B66" i="4"/>
  <c r="C66" i="4"/>
  <c r="B111" i="4"/>
  <c r="B32" i="10" s="1"/>
  <c r="N59" i="8"/>
  <c r="M59" i="8"/>
  <c r="M79" i="8"/>
  <c r="L86" i="23"/>
  <c r="E9" i="79"/>
  <c r="E7" i="79"/>
  <c r="E48" i="78"/>
  <c r="E8" i="79"/>
  <c r="E10" i="79"/>
  <c r="E28" i="79"/>
  <c r="H14" i="9"/>
  <c r="N62" i="8" s="1"/>
  <c r="G14" i="9"/>
  <c r="M62" i="8" s="1"/>
  <c r="N79" i="8"/>
  <c r="D34" i="4"/>
  <c r="E48" i="77"/>
  <c r="E48" i="76"/>
  <c r="E55" i="77"/>
  <c r="E49" i="77"/>
  <c r="E54" i="77"/>
  <c r="L7" i="35"/>
  <c r="L107" i="23"/>
  <c r="B14" i="9"/>
  <c r="M13" i="8" s="1"/>
  <c r="H77" i="33"/>
  <c r="L29" i="51"/>
  <c r="N136" i="8"/>
  <c r="H62" i="9"/>
  <c r="N68" i="8"/>
  <c r="E28" i="51"/>
  <c r="G67" i="9"/>
  <c r="M73" i="8"/>
  <c r="G61" i="9"/>
  <c r="M67" i="8"/>
  <c r="E28" i="29"/>
  <c r="G64" i="9"/>
  <c r="M70" i="8"/>
  <c r="E28" i="23"/>
  <c r="E28" i="20"/>
  <c r="G53" i="9"/>
  <c r="M60" i="8"/>
  <c r="E28" i="25"/>
  <c r="G57" i="9"/>
  <c r="M64" i="8"/>
  <c r="M136" i="8"/>
  <c r="G71" i="9"/>
  <c r="I11" i="9"/>
  <c r="G52" i="9"/>
  <c r="G59" i="9"/>
  <c r="G72" i="9"/>
  <c r="G63" i="9"/>
  <c r="G60" i="9"/>
  <c r="K98" i="33"/>
  <c r="C14" i="9"/>
  <c r="L22" i="51"/>
  <c r="D47" i="39"/>
  <c r="L7" i="51"/>
  <c r="E34" i="37"/>
  <c r="E34" i="13"/>
  <c r="E34" i="29"/>
  <c r="L110" i="33"/>
  <c r="E8" i="74"/>
  <c r="E28" i="18"/>
  <c r="E7" i="72"/>
  <c r="E7" i="74"/>
  <c r="E48" i="72"/>
  <c r="E48" i="74"/>
  <c r="E28" i="37"/>
  <c r="E28" i="13"/>
  <c r="D35" i="4"/>
  <c r="C31" i="9"/>
  <c r="N30" i="8" s="1"/>
  <c r="D53" i="40"/>
  <c r="D53" i="21"/>
  <c r="L28" i="51"/>
  <c r="L125" i="35"/>
  <c r="L10" i="51"/>
  <c r="E35" i="13"/>
  <c r="E35" i="33"/>
  <c r="B34" i="10"/>
  <c r="H77" i="13"/>
  <c r="L38" i="16"/>
  <c r="L39" i="16"/>
  <c r="B42" i="10"/>
  <c r="E99" i="18"/>
  <c r="D29" i="4"/>
  <c r="E88" i="18"/>
  <c r="E9" i="18"/>
  <c r="E9" i="72"/>
  <c r="E67" i="18"/>
  <c r="E8" i="18"/>
  <c r="E112" i="18"/>
  <c r="E108" i="18"/>
  <c r="E120" i="18"/>
  <c r="E78" i="18"/>
  <c r="L36" i="16"/>
  <c r="L37" i="16"/>
  <c r="D37" i="4"/>
  <c r="D36" i="4"/>
  <c r="D39" i="4"/>
  <c r="I33" i="18"/>
  <c r="I33" i="35"/>
  <c r="B31" i="10"/>
  <c r="D110" i="4"/>
  <c r="L117" i="35"/>
  <c r="L122" i="33"/>
  <c r="L135" i="26"/>
  <c r="E39" i="13"/>
  <c r="H111" i="35"/>
  <c r="L113" i="35"/>
  <c r="D122" i="4"/>
  <c r="H119" i="35"/>
  <c r="D47" i="34"/>
  <c r="L121" i="13"/>
  <c r="L108" i="33"/>
  <c r="L121" i="35"/>
  <c r="E48" i="37"/>
  <c r="E48" i="18"/>
  <c r="I11" i="37"/>
  <c r="I11" i="18"/>
  <c r="E54" i="37"/>
  <c r="I117" i="37"/>
  <c r="I117" i="18"/>
  <c r="E22" i="37"/>
  <c r="E22" i="18"/>
  <c r="I109" i="37"/>
  <c r="I109" i="18"/>
  <c r="E7" i="37"/>
  <c r="E7" i="18"/>
  <c r="E134" i="37"/>
  <c r="I89" i="37"/>
  <c r="I89" i="18"/>
  <c r="I10" i="37"/>
  <c r="I10" i="18"/>
  <c r="I125" i="37"/>
  <c r="I125" i="18"/>
  <c r="I124" i="37"/>
  <c r="I113" i="37"/>
  <c r="I113" i="18"/>
  <c r="I68" i="37"/>
  <c r="I68" i="18"/>
  <c r="I96" i="37"/>
  <c r="E75" i="37"/>
  <c r="E49" i="37"/>
  <c r="I100" i="37"/>
  <c r="I100" i="18"/>
  <c r="E89" i="37"/>
  <c r="D114" i="4"/>
  <c r="I12" i="37"/>
  <c r="I12" i="18"/>
  <c r="I99" i="18"/>
  <c r="I22" i="37"/>
  <c r="I22" i="18"/>
  <c r="I121" i="37"/>
  <c r="I121" i="18"/>
  <c r="I29" i="37"/>
  <c r="I29" i="18"/>
  <c r="I79" i="37"/>
  <c r="I79" i="18"/>
  <c r="I116" i="37"/>
  <c r="I35" i="37"/>
  <c r="I75" i="37"/>
  <c r="E135" i="37"/>
  <c r="I112" i="37"/>
  <c r="I108" i="37"/>
  <c r="I108" i="18"/>
  <c r="E10" i="37"/>
  <c r="E10" i="18"/>
  <c r="E57" i="37"/>
  <c r="I7" i="37"/>
  <c r="I7" i="18"/>
  <c r="E96" i="37"/>
  <c r="E136" i="37"/>
  <c r="L114" i="33"/>
  <c r="H77" i="23"/>
  <c r="K77" i="23"/>
  <c r="D47" i="21"/>
  <c r="D47" i="20"/>
  <c r="L107" i="29"/>
  <c r="L134" i="26"/>
  <c r="L109" i="23"/>
  <c r="L113" i="33"/>
  <c r="L12" i="33"/>
  <c r="D56" i="22"/>
  <c r="E100" i="37"/>
  <c r="E122" i="37"/>
  <c r="E78" i="37"/>
  <c r="E114" i="37"/>
  <c r="E9" i="37"/>
  <c r="E124" i="37"/>
  <c r="E8" i="37"/>
  <c r="E67" i="37"/>
  <c r="E109" i="37"/>
  <c r="E116" i="37"/>
  <c r="E99" i="37"/>
  <c r="E112" i="37"/>
  <c r="E110" i="37"/>
  <c r="E107" i="37"/>
  <c r="E88" i="37"/>
  <c r="E86" i="37"/>
  <c r="E108" i="37"/>
  <c r="E120" i="37"/>
  <c r="D47" i="38"/>
  <c r="L96" i="33"/>
  <c r="L113" i="29"/>
  <c r="L89" i="23"/>
  <c r="L75" i="33"/>
  <c r="L68" i="33"/>
  <c r="L68" i="23"/>
  <c r="H98" i="29"/>
  <c r="K98" i="29"/>
  <c r="L22" i="23"/>
  <c r="L120" i="33"/>
  <c r="K87" i="29"/>
  <c r="L137" i="26"/>
  <c r="D47" i="40"/>
  <c r="L28" i="23"/>
  <c r="L12" i="29"/>
  <c r="D53" i="13"/>
  <c r="K87" i="33"/>
  <c r="K87" i="23"/>
  <c r="L89" i="33"/>
  <c r="H87" i="29"/>
  <c r="L135" i="34"/>
  <c r="L10" i="29"/>
  <c r="L7" i="33"/>
  <c r="H66" i="23"/>
  <c r="L35" i="29"/>
  <c r="D56" i="39"/>
  <c r="L11" i="35"/>
  <c r="H87" i="35"/>
  <c r="L11" i="29"/>
  <c r="H111" i="13"/>
  <c r="L35" i="23"/>
  <c r="N135" i="8"/>
  <c r="C12" i="9"/>
  <c r="N11" i="8" s="1"/>
  <c r="N112" i="8"/>
  <c r="C25" i="9"/>
  <c r="N24" i="8" s="1"/>
  <c r="C15" i="9"/>
  <c r="N14" i="8" s="1"/>
  <c r="C23" i="9"/>
  <c r="N22" i="8" s="1"/>
  <c r="C28" i="9"/>
  <c r="N27" i="8" s="1"/>
  <c r="K111" i="13"/>
  <c r="L107" i="33"/>
  <c r="L100" i="33"/>
  <c r="N138" i="8"/>
  <c r="M112" i="8"/>
  <c r="L108" i="13"/>
  <c r="D56" i="40"/>
  <c r="N139" i="8"/>
  <c r="L109" i="35"/>
  <c r="H119" i="23"/>
  <c r="L116" i="33"/>
  <c r="C21" i="9"/>
  <c r="N20" i="8" s="1"/>
  <c r="D53" i="22"/>
  <c r="L35" i="33"/>
  <c r="L8" i="16"/>
  <c r="L67" i="29"/>
  <c r="L29" i="20"/>
  <c r="L116" i="23"/>
  <c r="L12" i="35"/>
  <c r="L108" i="23"/>
  <c r="L28" i="25"/>
  <c r="L9" i="16"/>
  <c r="H98" i="13"/>
  <c r="K111" i="29"/>
  <c r="L7" i="16"/>
  <c r="D53" i="16"/>
  <c r="D56" i="25"/>
  <c r="L117" i="33"/>
  <c r="L10" i="35"/>
  <c r="L12" i="13"/>
  <c r="K66" i="35"/>
  <c r="D56" i="16"/>
  <c r="N133" i="8"/>
  <c r="L99" i="23"/>
  <c r="L7" i="20"/>
  <c r="K119" i="13"/>
  <c r="M113" i="8"/>
  <c r="K66" i="23"/>
  <c r="K87" i="35"/>
  <c r="M109" i="8"/>
  <c r="L11" i="33"/>
  <c r="H119" i="13"/>
  <c r="L22" i="16"/>
  <c r="L29" i="16"/>
  <c r="C16" i="9"/>
  <c r="N15" i="8" s="1"/>
  <c r="L35" i="16"/>
  <c r="L10" i="16"/>
  <c r="D47" i="16"/>
  <c r="L28" i="16"/>
  <c r="L34" i="16"/>
  <c r="N137" i="8"/>
  <c r="L7" i="13"/>
  <c r="N132" i="8"/>
  <c r="B29" i="9"/>
  <c r="M28" i="8" s="1"/>
  <c r="M114" i="8"/>
  <c r="M137" i="8"/>
  <c r="N111" i="8"/>
  <c r="N134" i="8"/>
  <c r="N140" i="8"/>
  <c r="C29" i="9"/>
  <c r="N28" i="8" s="1"/>
  <c r="C22" i="9"/>
  <c r="N21" i="8" s="1"/>
  <c r="C19" i="9"/>
  <c r="N18" i="8" s="1"/>
  <c r="M111" i="8"/>
  <c r="B11" i="9"/>
  <c r="B17" i="9"/>
  <c r="M16" i="8" s="1"/>
  <c r="M115" i="8"/>
  <c r="H119" i="33"/>
  <c r="L125" i="33"/>
  <c r="L121" i="23"/>
  <c r="M135" i="8"/>
  <c r="L116" i="13"/>
  <c r="N114" i="8"/>
  <c r="L10" i="33"/>
  <c r="C20" i="9"/>
  <c r="N19" i="8" s="1"/>
  <c r="B20" i="9"/>
  <c r="M19" i="8" s="1"/>
  <c r="L22" i="13"/>
  <c r="L107" i="13"/>
  <c r="L10" i="13"/>
  <c r="L121" i="33"/>
  <c r="C26" i="9"/>
  <c r="N25" i="8" s="1"/>
  <c r="H87" i="23"/>
  <c r="L29" i="24"/>
  <c r="L7" i="23"/>
  <c r="H87" i="33"/>
  <c r="L120" i="29"/>
  <c r="D47" i="22"/>
  <c r="L11" i="23"/>
  <c r="L117" i="29"/>
  <c r="K119" i="23"/>
  <c r="L34" i="13"/>
  <c r="M139" i="8"/>
  <c r="B22" i="9"/>
  <c r="M21" i="8" s="1"/>
  <c r="B21" i="9"/>
  <c r="M20" i="8" s="1"/>
  <c r="L22" i="24"/>
  <c r="L7" i="19"/>
  <c r="N109" i="8"/>
  <c r="M110" i="8"/>
  <c r="C10" i="9"/>
  <c r="L11" i="13"/>
  <c r="C11" i="9"/>
  <c r="N10" i="8" s="1"/>
  <c r="M132" i="8"/>
  <c r="C30" i="9"/>
  <c r="N29" i="8" s="1"/>
  <c r="F14" i="10"/>
  <c r="E48" i="39"/>
  <c r="E48" i="16"/>
  <c r="I89" i="13"/>
  <c r="I89" i="29"/>
  <c r="I89" i="35"/>
  <c r="I89" i="33"/>
  <c r="I89" i="23"/>
  <c r="G23" i="10"/>
  <c r="I35" i="23"/>
  <c r="I35" i="29"/>
  <c r="I35" i="35"/>
  <c r="I35" i="33"/>
  <c r="I35" i="13"/>
  <c r="G42" i="10"/>
  <c r="I134" i="26"/>
  <c r="G15" i="10"/>
  <c r="I10" i="23"/>
  <c r="I10" i="35"/>
  <c r="I10" i="29"/>
  <c r="I10" i="33"/>
  <c r="I10" i="13"/>
  <c r="G20" i="10"/>
  <c r="E49" i="39"/>
  <c r="E49" i="16"/>
  <c r="I23" i="33"/>
  <c r="I23" i="13"/>
  <c r="I23" i="23"/>
  <c r="I23" i="29"/>
  <c r="I23" i="35"/>
  <c r="E54" i="39"/>
  <c r="C25" i="10"/>
  <c r="C31" i="10"/>
  <c r="C9" i="10"/>
  <c r="C23" i="10"/>
  <c r="G44" i="10"/>
  <c r="C41" i="10"/>
  <c r="I86" i="23"/>
  <c r="I86" i="29"/>
  <c r="I86" i="33"/>
  <c r="I86" i="35"/>
  <c r="C21" i="10"/>
  <c r="C33" i="10"/>
  <c r="C16" i="10"/>
  <c r="H18" i="9"/>
  <c r="N65" i="8" s="1"/>
  <c r="B16" i="9"/>
  <c r="M15" i="8" s="1"/>
  <c r="M140" i="8"/>
  <c r="B12" i="9"/>
  <c r="M11" i="8" s="1"/>
  <c r="H68" i="9"/>
  <c r="H19" i="9"/>
  <c r="N66" i="8" s="1"/>
  <c r="M134" i="8"/>
  <c r="N110" i="8"/>
  <c r="I29" i="33"/>
  <c r="I29" i="23"/>
  <c r="I29" i="29"/>
  <c r="I29" i="13"/>
  <c r="I29" i="35"/>
  <c r="G21" i="10"/>
  <c r="I25" i="29"/>
  <c r="I25" i="33"/>
  <c r="I25" i="13"/>
  <c r="I30" i="23"/>
  <c r="I30" i="29"/>
  <c r="I30" i="35"/>
  <c r="I30" i="33"/>
  <c r="I30" i="13"/>
  <c r="C30" i="10"/>
  <c r="I107" i="13"/>
  <c r="I107" i="23"/>
  <c r="I107" i="29"/>
  <c r="I107" i="35"/>
  <c r="I107" i="33"/>
  <c r="C44" i="10"/>
  <c r="I75" i="33"/>
  <c r="G14" i="10"/>
  <c r="I32" i="13"/>
  <c r="I32" i="23"/>
  <c r="I32" i="29"/>
  <c r="I32" i="33"/>
  <c r="I100" i="13"/>
  <c r="I100" i="23"/>
  <c r="I100" i="29"/>
  <c r="I100" i="33"/>
  <c r="I22" i="23"/>
  <c r="I22" i="29"/>
  <c r="I22" i="35"/>
  <c r="I22" i="33"/>
  <c r="I22" i="13"/>
  <c r="G10" i="10"/>
  <c r="C34" i="10"/>
  <c r="I121" i="13"/>
  <c r="I121" i="23"/>
  <c r="I121" i="35"/>
  <c r="I121" i="33"/>
  <c r="I121" i="29"/>
  <c r="I113" i="23"/>
  <c r="I113" i="13"/>
  <c r="I113" i="35"/>
  <c r="I113" i="33"/>
  <c r="I113" i="29"/>
  <c r="I108" i="13"/>
  <c r="M138" i="8"/>
  <c r="N113" i="8"/>
  <c r="B41" i="9"/>
  <c r="B15" i="9"/>
  <c r="M14" i="8" s="1"/>
  <c r="B31" i="9"/>
  <c r="M30" i="8" s="1"/>
  <c r="G44" i="9"/>
  <c r="G70" i="9" s="1"/>
  <c r="H22" i="9"/>
  <c r="N69" i="8" s="1"/>
  <c r="C17" i="9"/>
  <c r="N16" i="8" s="1"/>
  <c r="B30" i="9"/>
  <c r="M29" i="8" s="1"/>
  <c r="H28" i="9"/>
  <c r="N74" i="8" s="1"/>
  <c r="B40" i="9"/>
  <c r="B19" i="9"/>
  <c r="M18" i="8" s="1"/>
  <c r="I136" i="26"/>
  <c r="G33" i="10"/>
  <c r="I7" i="29"/>
  <c r="I7" i="33"/>
  <c r="I7" i="23"/>
  <c r="I7" i="35"/>
  <c r="I7" i="13"/>
  <c r="G9" i="10"/>
  <c r="B45" i="10"/>
  <c r="I31" i="35"/>
  <c r="I31" i="13"/>
  <c r="I31" i="33"/>
  <c r="I31" i="23"/>
  <c r="I31" i="29"/>
  <c r="C45" i="10"/>
  <c r="C42" i="10"/>
  <c r="I24" i="13"/>
  <c r="I24" i="33"/>
  <c r="I24" i="23"/>
  <c r="C15" i="10"/>
  <c r="B28" i="9"/>
  <c r="M27" i="8" s="1"/>
  <c r="H17" i="9"/>
  <c r="M133" i="8"/>
  <c r="B45" i="9"/>
  <c r="G43" i="9"/>
  <c r="G69" i="9" s="1"/>
  <c r="N115" i="8"/>
  <c r="C18" i="9"/>
  <c r="N17" i="8" s="1"/>
  <c r="H30" i="9"/>
  <c r="N76" i="8" s="1"/>
  <c r="C13" i="10"/>
  <c r="F44" i="10"/>
  <c r="I135" i="26"/>
  <c r="G25" i="10"/>
  <c r="I96" i="33"/>
  <c r="G24" i="10"/>
  <c r="C14" i="10"/>
  <c r="I68" i="23"/>
  <c r="I68" i="29"/>
  <c r="I68" i="35"/>
  <c r="I68" i="33"/>
  <c r="I68" i="13"/>
  <c r="G13" i="10"/>
  <c r="G136" i="4"/>
  <c r="F33" i="10"/>
  <c r="I79" i="13"/>
  <c r="I79" i="23"/>
  <c r="I79" i="33"/>
  <c r="I79" i="29"/>
  <c r="I109" i="13"/>
  <c r="I109" i="35"/>
  <c r="I109" i="29"/>
  <c r="I109" i="23"/>
  <c r="I109" i="33"/>
  <c r="I12" i="29"/>
  <c r="I12" i="33"/>
  <c r="I12" i="35"/>
  <c r="I12" i="23"/>
  <c r="I12" i="13"/>
  <c r="G41" i="10"/>
  <c r="I11" i="13"/>
  <c r="I11" i="23"/>
  <c r="I11" i="35"/>
  <c r="I11" i="33"/>
  <c r="G30" i="10"/>
  <c r="I11" i="29"/>
  <c r="F24" i="10"/>
  <c r="I125" i="13"/>
  <c r="I125" i="23"/>
  <c r="I125" i="35"/>
  <c r="I125" i="29"/>
  <c r="I125" i="33"/>
  <c r="C26" i="10"/>
  <c r="I34" i="13"/>
  <c r="I34" i="35"/>
  <c r="I34" i="23"/>
  <c r="G31" i="10"/>
  <c r="D96" i="4"/>
  <c r="B24" i="10"/>
  <c r="C24" i="10"/>
  <c r="I117" i="13"/>
  <c r="I117" i="23"/>
  <c r="I117" i="35"/>
  <c r="I117" i="29"/>
  <c r="I117" i="33"/>
  <c r="C10" i="10"/>
  <c r="C20" i="10"/>
  <c r="D75" i="4"/>
  <c r="B14" i="10"/>
  <c r="E57" i="39"/>
  <c r="L120" i="23"/>
  <c r="L67" i="23"/>
  <c r="H98" i="33"/>
  <c r="L22" i="35"/>
  <c r="L100" i="13"/>
  <c r="D53" i="39"/>
  <c r="L109" i="29"/>
  <c r="L7" i="29"/>
  <c r="L28" i="29"/>
  <c r="L117" i="23"/>
  <c r="H98" i="23"/>
  <c r="L10" i="20"/>
  <c r="K98" i="13"/>
  <c r="L29" i="13"/>
  <c r="G41" i="9"/>
  <c r="G62" i="9" s="1"/>
  <c r="B18" i="9"/>
  <c r="M17" i="8" s="1"/>
  <c r="G42" i="9"/>
  <c r="G66" i="9" s="1"/>
  <c r="B23" i="9"/>
  <c r="M22" i="8" s="1"/>
  <c r="H16" i="9"/>
  <c r="N64" i="8" s="1"/>
  <c r="B26" i="9"/>
  <c r="M25" i="8" s="1"/>
  <c r="N32" i="8"/>
  <c r="G39" i="9"/>
  <c r="G56" i="9" s="1"/>
  <c r="H26" i="9"/>
  <c r="N73" i="8" s="1"/>
  <c r="B25" i="9"/>
  <c r="M24" i="8" s="1"/>
  <c r="H25" i="9"/>
  <c r="N72" i="8" s="1"/>
  <c r="L22" i="20"/>
  <c r="L109" i="33"/>
  <c r="L99" i="33"/>
  <c r="H111" i="29"/>
  <c r="L10" i="23"/>
  <c r="L28" i="13"/>
  <c r="L89" i="35"/>
  <c r="D56" i="13"/>
  <c r="L35" i="35"/>
  <c r="L99" i="29"/>
  <c r="K119" i="33"/>
  <c r="L88" i="33"/>
  <c r="L79" i="33"/>
  <c r="L34" i="29"/>
  <c r="H66" i="33"/>
  <c r="L78" i="33"/>
  <c r="L67" i="13"/>
  <c r="H66" i="35"/>
  <c r="L109" i="13"/>
  <c r="L112" i="13"/>
  <c r="L35" i="13"/>
  <c r="L79" i="29"/>
  <c r="L86" i="29"/>
  <c r="L7" i="22"/>
  <c r="K66" i="33"/>
  <c r="L89" i="29"/>
  <c r="L12" i="23"/>
  <c r="H87" i="13"/>
  <c r="L120" i="13"/>
  <c r="L68" i="13"/>
  <c r="L7" i="25"/>
  <c r="L134" i="34"/>
  <c r="L108" i="29"/>
  <c r="L34" i="35"/>
  <c r="D53" i="25"/>
  <c r="L112" i="33"/>
  <c r="L29" i="33"/>
  <c r="L121" i="29"/>
  <c r="L29" i="29"/>
  <c r="H111" i="23"/>
  <c r="L86" i="35"/>
  <c r="L68" i="29"/>
  <c r="L136" i="26"/>
  <c r="D47" i="25"/>
  <c r="L112" i="23"/>
  <c r="L113" i="13"/>
  <c r="L117" i="13"/>
  <c r="L68" i="35"/>
  <c r="L86" i="33"/>
  <c r="H119" i="29"/>
  <c r="L100" i="29"/>
  <c r="L34" i="33"/>
  <c r="L125" i="29"/>
  <c r="L29" i="35"/>
  <c r="L88" i="29"/>
  <c r="L78" i="29"/>
  <c r="L88" i="23"/>
  <c r="L125" i="23"/>
  <c r="L113" i="23"/>
  <c r="H111" i="33"/>
  <c r="L107" i="35"/>
  <c r="D47" i="51"/>
  <c r="L7" i="24"/>
  <c r="L29" i="23"/>
  <c r="L28" i="20"/>
  <c r="K119" i="35"/>
  <c r="L100" i="23"/>
  <c r="L79" i="23"/>
  <c r="L67" i="33"/>
  <c r="L22" i="33"/>
  <c r="L22" i="29"/>
  <c r="J77" i="29"/>
  <c r="K98" i="23"/>
  <c r="L10" i="24"/>
  <c r="L78" i="23"/>
  <c r="L34" i="23"/>
  <c r="L124" i="13"/>
  <c r="L79" i="13"/>
  <c r="L89" i="13"/>
  <c r="L99" i="13"/>
  <c r="L125" i="13"/>
  <c r="L78" i="13"/>
  <c r="K66" i="13"/>
  <c r="L86" i="13"/>
  <c r="K87" i="13"/>
  <c r="J77" i="13"/>
  <c r="L88" i="13"/>
  <c r="H66" i="13"/>
  <c r="D47" i="13"/>
  <c r="J87" i="35"/>
  <c r="D66" i="33"/>
  <c r="J66" i="33"/>
  <c r="J98" i="23"/>
  <c r="D98" i="23"/>
  <c r="D111" i="33"/>
  <c r="J111" i="33"/>
  <c r="J111" i="35"/>
  <c r="D66" i="13"/>
  <c r="J66" i="13"/>
  <c r="K111" i="33"/>
  <c r="K111" i="35"/>
  <c r="J111" i="29"/>
  <c r="D111" i="29"/>
  <c r="J111" i="23"/>
  <c r="D111" i="23"/>
  <c r="J87" i="13"/>
  <c r="D87" i="13"/>
  <c r="J119" i="33"/>
  <c r="D119" i="33"/>
  <c r="D77" i="29"/>
  <c r="K77" i="29"/>
  <c r="J66" i="35"/>
  <c r="D77" i="13"/>
  <c r="K77" i="13"/>
  <c r="J66" i="29"/>
  <c r="J87" i="33"/>
  <c r="D87" i="33"/>
  <c r="D119" i="29"/>
  <c r="J119" i="29"/>
  <c r="D98" i="33"/>
  <c r="J98" i="33"/>
  <c r="J87" i="29"/>
  <c r="D87" i="29"/>
  <c r="J87" i="23"/>
  <c r="D87" i="23"/>
  <c r="K119" i="29"/>
  <c r="K111" i="23"/>
  <c r="D119" i="13"/>
  <c r="J119" i="13"/>
  <c r="D98" i="13"/>
  <c r="J98" i="13"/>
  <c r="D111" i="13"/>
  <c r="J111" i="13"/>
  <c r="J98" i="29"/>
  <c r="D98" i="29"/>
  <c r="J119" i="35"/>
  <c r="H66" i="29"/>
  <c r="D119" i="23"/>
  <c r="J119" i="23"/>
  <c r="J66" i="23"/>
  <c r="D66" i="23"/>
  <c r="D77" i="33"/>
  <c r="J77" i="33"/>
  <c r="L77" i="33" s="1"/>
  <c r="J77" i="23"/>
  <c r="D77" i="23"/>
  <c r="D66" i="29"/>
  <c r="K66" i="29"/>
  <c r="E48" i="38"/>
  <c r="E88" i="33"/>
  <c r="E108" i="33"/>
  <c r="E22" i="33"/>
  <c r="E99" i="33"/>
  <c r="E9" i="33"/>
  <c r="E110" i="33"/>
  <c r="E122" i="33"/>
  <c r="E75" i="33"/>
  <c r="E116" i="33"/>
  <c r="E10" i="33"/>
  <c r="E79" i="33"/>
  <c r="E7" i="33"/>
  <c r="E89" i="33"/>
  <c r="E100" i="33"/>
  <c r="E125" i="33"/>
  <c r="E68" i="33"/>
  <c r="E96" i="33"/>
  <c r="E8" i="33"/>
  <c r="E78" i="33"/>
  <c r="E67" i="33"/>
  <c r="E112" i="33"/>
  <c r="E109" i="33"/>
  <c r="E114" i="33"/>
  <c r="E121" i="33"/>
  <c r="E120" i="33"/>
  <c r="E99" i="29"/>
  <c r="E9" i="29"/>
  <c r="E48" i="34"/>
  <c r="E86" i="29"/>
  <c r="E117" i="29"/>
  <c r="E134" i="34"/>
  <c r="E55" i="34"/>
  <c r="E68" i="29"/>
  <c r="E88" i="29"/>
  <c r="E108" i="29"/>
  <c r="E22" i="29"/>
  <c r="E10" i="29"/>
  <c r="E79" i="29"/>
  <c r="E135" i="34"/>
  <c r="E7" i="29"/>
  <c r="E89" i="29"/>
  <c r="E100" i="29"/>
  <c r="E107" i="29"/>
  <c r="E8" i="29"/>
  <c r="E78" i="29"/>
  <c r="E67" i="29"/>
  <c r="E109" i="29"/>
  <c r="E120" i="29"/>
  <c r="E113" i="29"/>
  <c r="E48" i="40"/>
  <c r="E57" i="40"/>
  <c r="E54" i="40"/>
  <c r="E9" i="51"/>
  <c r="E48" i="51"/>
  <c r="E22" i="51"/>
  <c r="E10" i="51"/>
  <c r="E7" i="51"/>
  <c r="E8" i="51"/>
  <c r="E9" i="25"/>
  <c r="E57" i="25"/>
  <c r="E48" i="25"/>
  <c r="E137" i="26"/>
  <c r="E54" i="25"/>
  <c r="E135" i="26"/>
  <c r="E7" i="25"/>
  <c r="E136" i="26"/>
  <c r="E134" i="26"/>
  <c r="E8" i="25"/>
  <c r="E99" i="23"/>
  <c r="E9" i="24"/>
  <c r="E86" i="23"/>
  <c r="E88" i="23"/>
  <c r="E108" i="23"/>
  <c r="E116" i="23"/>
  <c r="E22" i="23"/>
  <c r="E22" i="24"/>
  <c r="E10" i="24"/>
  <c r="E7" i="24"/>
  <c r="E107" i="23"/>
  <c r="E8" i="24"/>
  <c r="E78" i="23"/>
  <c r="E67" i="23"/>
  <c r="E112" i="23"/>
  <c r="E120" i="23"/>
  <c r="E9" i="22"/>
  <c r="E48" i="21"/>
  <c r="E48" i="22"/>
  <c r="E57" i="22"/>
  <c r="E49" i="22"/>
  <c r="E54" i="21"/>
  <c r="E54" i="22"/>
  <c r="E7" i="22"/>
  <c r="E8" i="22"/>
  <c r="E22" i="20"/>
  <c r="E10" i="20"/>
  <c r="E49" i="19"/>
  <c r="E7" i="19"/>
  <c r="E7" i="20"/>
  <c r="E9" i="19"/>
  <c r="E9" i="20"/>
  <c r="E48" i="19"/>
  <c r="E48" i="20"/>
  <c r="E8" i="19"/>
  <c r="E8"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17"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G98" i="4" l="1"/>
  <c r="G87" i="4"/>
  <c r="F32" i="10"/>
  <c r="G111" i="4"/>
  <c r="F43" i="10"/>
  <c r="G119" i="4"/>
  <c r="G77" i="4"/>
  <c r="C34" i="9"/>
  <c r="E24" i="9" s="1"/>
  <c r="H34" i="9"/>
  <c r="M10" i="8"/>
  <c r="B34" i="9"/>
  <c r="G34" i="9"/>
  <c r="M32" i="8"/>
  <c r="G55" i="9"/>
  <c r="G76" i="9" s="1"/>
  <c r="E47" i="78"/>
  <c r="I14" i="9"/>
  <c r="H55" i="9"/>
  <c r="N9" i="8"/>
  <c r="E47" i="76"/>
  <c r="E47" i="77"/>
  <c r="E53" i="77"/>
  <c r="B55" i="9"/>
  <c r="L98" i="33"/>
  <c r="C55" i="9"/>
  <c r="N13" i="8"/>
  <c r="D14" i="9"/>
  <c r="E47" i="72"/>
  <c r="E47" i="74"/>
  <c r="L119" i="35"/>
  <c r="E87" i="18"/>
  <c r="E66" i="18"/>
  <c r="L77" i="23"/>
  <c r="I77" i="29"/>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L66" i="35"/>
  <c r="E98" i="29"/>
  <c r="E98" i="33"/>
  <c r="L119" i="33"/>
  <c r="L98" i="13"/>
  <c r="L66" i="33"/>
  <c r="L87" i="35"/>
  <c r="L66" i="23"/>
  <c r="L66" i="13"/>
  <c r="E66" i="23"/>
  <c r="E66" i="13"/>
  <c r="E66" i="29"/>
  <c r="E66" i="33"/>
  <c r="L111" i="33"/>
  <c r="D87" i="4"/>
  <c r="E98" i="23"/>
  <c r="E87" i="29"/>
  <c r="C43" i="10"/>
  <c r="I119" i="13"/>
  <c r="I119" i="23"/>
  <c r="I119" i="29"/>
  <c r="I119" i="35"/>
  <c r="I119" i="33"/>
  <c r="G43" i="10"/>
  <c r="F22" i="10"/>
  <c r="I98" i="13"/>
  <c r="I98" i="23"/>
  <c r="I98" i="29"/>
  <c r="I98" i="33"/>
  <c r="D66" i="4"/>
  <c r="B12" i="10"/>
  <c r="I66" i="13"/>
  <c r="I66" i="29"/>
  <c r="I66" i="35"/>
  <c r="I66" i="33"/>
  <c r="G12" i="10"/>
  <c r="I66" i="23"/>
  <c r="G66" i="4"/>
  <c r="F12" i="10"/>
  <c r="E53" i="39"/>
  <c r="C38" i="10"/>
  <c r="E53" i="16"/>
  <c r="I111" i="13"/>
  <c r="I111" i="23"/>
  <c r="I111" i="29"/>
  <c r="I111" i="35"/>
  <c r="I111" i="33"/>
  <c r="G32" i="10"/>
  <c r="E56" i="39"/>
  <c r="E56" i="16"/>
  <c r="C49" i="10"/>
  <c r="C32" i="10"/>
  <c r="C22" i="10"/>
  <c r="E47" i="39"/>
  <c r="C11" i="10"/>
  <c r="E47" i="16"/>
  <c r="C12" i="10"/>
  <c r="I87" i="13"/>
  <c r="I87" i="29"/>
  <c r="I87" i="23"/>
  <c r="I87" i="33"/>
  <c r="I87" i="35"/>
  <c r="G22" i="10"/>
  <c r="L87" i="13"/>
  <c r="L119" i="29"/>
  <c r="L66" i="29"/>
  <c r="L77" i="29"/>
  <c r="L111" i="23"/>
  <c r="E98" i="13"/>
  <c r="L77" i="13"/>
  <c r="E47" i="38"/>
  <c r="E77" i="33"/>
  <c r="E111" i="33"/>
  <c r="E119" i="33"/>
  <c r="E47" i="34"/>
  <c r="E119" i="29"/>
  <c r="E53" i="34"/>
  <c r="E77" i="29"/>
  <c r="E111" i="29"/>
  <c r="E53" i="40"/>
  <c r="E56" i="40"/>
  <c r="E47" i="40"/>
  <c r="E47" i="51"/>
  <c r="E53" i="25"/>
  <c r="E47" i="25"/>
  <c r="E56" i="25"/>
  <c r="E119" i="23"/>
  <c r="E77" i="23"/>
  <c r="E111" i="23"/>
  <c r="E56" i="22"/>
  <c r="E47" i="21"/>
  <c r="E47" i="22"/>
  <c r="E53" i="21"/>
  <c r="E53" i="22"/>
  <c r="E47" i="19"/>
  <c r="E47" i="20"/>
  <c r="E53" i="13"/>
  <c r="E77" i="13"/>
  <c r="E56" i="13"/>
  <c r="E111" i="13"/>
  <c r="E47" i="13"/>
  <c r="E119" i="13"/>
  <c r="D111" i="4"/>
  <c r="D77" i="4"/>
  <c r="D119" i="4"/>
  <c r="D53" i="4"/>
  <c r="D56" i="4"/>
  <c r="D47" i="4"/>
  <c r="J26" i="9" l="1"/>
  <c r="J18" i="9"/>
  <c r="J32" i="9"/>
  <c r="J16" i="9"/>
  <c r="J22" i="9"/>
  <c r="J29" i="9"/>
  <c r="J33" i="9"/>
  <c r="J25" i="9"/>
  <c r="J17" i="9"/>
  <c r="J24" i="9"/>
  <c r="J31" i="9"/>
  <c r="J23" i="9"/>
  <c r="J15" i="9"/>
  <c r="J14" i="9"/>
  <c r="J13" i="9"/>
  <c r="J30" i="9"/>
  <c r="J21" i="9"/>
  <c r="J28" i="9"/>
  <c r="J20" i="9"/>
  <c r="J12" i="9"/>
  <c r="J27" i="9"/>
  <c r="J19" i="9"/>
  <c r="J11" i="9"/>
  <c r="I55" i="9"/>
  <c r="D55" i="9"/>
  <c r="C60" i="10"/>
  <c r="H107" i="4"/>
  <c r="H114" i="4"/>
  <c r="H116" i="4"/>
  <c r="H28" i="4"/>
  <c r="H98" i="4" l="1"/>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M28" i="16" s="1"/>
  <c r="H109" i="4"/>
  <c r="I32" i="4"/>
  <c r="I67" i="4"/>
  <c r="K11" i="10"/>
  <c r="I23" i="4"/>
  <c r="H22" i="10"/>
  <c r="H108" i="4"/>
  <c r="H10" i="4"/>
  <c r="I77" i="4"/>
  <c r="I88" i="4"/>
  <c r="I117" i="4"/>
  <c r="H67" i="4"/>
  <c r="H12" i="10"/>
  <c r="I116" i="4"/>
  <c r="H120" i="4"/>
  <c r="I110" i="4"/>
  <c r="I113" i="4"/>
  <c r="I78" i="4"/>
  <c r="K26" i="10"/>
  <c r="I98" i="4"/>
  <c r="I99" i="4"/>
  <c r="K9" i="10"/>
  <c r="H77" i="4"/>
  <c r="H24" i="10"/>
  <c r="I31" i="4"/>
  <c r="I24" i="4"/>
  <c r="K16" i="10"/>
  <c r="I30" i="4"/>
  <c r="M30" i="16" s="1"/>
  <c r="H36" i="4"/>
  <c r="K45" i="10"/>
  <c r="H39" i="4"/>
  <c r="I107" i="4"/>
  <c r="I8" i="4"/>
  <c r="I114" i="4"/>
  <c r="I86" i="4"/>
  <c r="H10" i="10"/>
  <c r="I124" i="4"/>
  <c r="H100" i="4"/>
  <c r="H7" i="4"/>
  <c r="H23" i="4"/>
  <c r="H15" i="10"/>
  <c r="I125" i="4"/>
  <c r="M28" i="79" l="1"/>
  <c r="M8" i="79"/>
  <c r="M30" i="79"/>
  <c r="M9" i="79"/>
  <c r="M9" i="72"/>
  <c r="M8" i="74"/>
  <c r="J23" i="4"/>
  <c r="J24" i="4"/>
  <c r="J110" i="4"/>
  <c r="M67" i="37"/>
  <c r="M67" i="18"/>
  <c r="M107" i="37"/>
  <c r="M32" i="37"/>
  <c r="M32" i="18"/>
  <c r="M79" i="37"/>
  <c r="M79" i="18"/>
  <c r="M124" i="37"/>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M112" i="18"/>
  <c r="J122" i="4"/>
  <c r="M23" i="37"/>
  <c r="M23" i="18"/>
  <c r="M121" i="37"/>
  <c r="M121" i="18"/>
  <c r="M125" i="37"/>
  <c r="M125" i="18"/>
  <c r="M30" i="37"/>
  <c r="M30" i="18"/>
  <c r="M116" i="37"/>
  <c r="M77" i="18"/>
  <c r="M120" i="37"/>
  <c r="M120" i="18"/>
  <c r="J114" i="4"/>
  <c r="M98" i="37"/>
  <c r="M97" i="37"/>
  <c r="M97" i="13"/>
  <c r="M97" i="29"/>
  <c r="M97" i="33"/>
  <c r="M77" i="37"/>
  <c r="M76" i="37"/>
  <c r="M76" i="33"/>
  <c r="M76" i="29"/>
  <c r="M76" i="13"/>
  <c r="M24" i="13"/>
  <c r="M24" i="24"/>
  <c r="M24" i="23"/>
  <c r="M24" i="33"/>
  <c r="M24" i="29"/>
  <c r="M88" i="13"/>
  <c r="M88" i="29"/>
  <c r="M88" i="23"/>
  <c r="M88" i="33"/>
  <c r="J28" i="4"/>
  <c r="M28" i="20"/>
  <c r="M28" i="25"/>
  <c r="M28" i="23"/>
  <c r="M28" i="51"/>
  <c r="M28" i="29"/>
  <c r="M28" i="13"/>
  <c r="M121" i="23"/>
  <c r="M121" i="13"/>
  <c r="M121" i="29"/>
  <c r="M121" i="33"/>
  <c r="M121" i="35"/>
  <c r="M125" i="23"/>
  <c r="M125" i="13"/>
  <c r="M125" i="29"/>
  <c r="M125" i="33"/>
  <c r="M125" i="35"/>
  <c r="M124" i="13"/>
  <c r="M114" i="33"/>
  <c r="M31" i="23"/>
  <c r="M31" i="13"/>
  <c r="M31" i="24"/>
  <c r="M31" i="35"/>
  <c r="M31" i="16"/>
  <c r="M31" i="29"/>
  <c r="M31" i="33"/>
  <c r="M78" i="23"/>
  <c r="M78" i="13"/>
  <c r="M78" i="29"/>
  <c r="M78" i="33"/>
  <c r="M113" i="23"/>
  <c r="M113" i="13"/>
  <c r="M113" i="29"/>
  <c r="M113" i="33"/>
  <c r="M113" i="35"/>
  <c r="J116" i="4"/>
  <c r="M116" i="13"/>
  <c r="M116" i="23"/>
  <c r="M116" i="33"/>
  <c r="M117" i="23"/>
  <c r="M117" i="13"/>
  <c r="M117" i="29"/>
  <c r="M117" i="33"/>
  <c r="M117" i="35"/>
  <c r="M23" i="20"/>
  <c r="M23" i="23"/>
  <c r="M23" i="13"/>
  <c r="M23" i="35"/>
  <c r="M23" i="29"/>
  <c r="M23" i="33"/>
  <c r="M32" i="13"/>
  <c r="M32" i="33"/>
  <c r="M32" i="23"/>
  <c r="M32" i="29"/>
  <c r="M32" i="16"/>
  <c r="M79" i="13"/>
  <c r="M79" i="23"/>
  <c r="M79" i="33"/>
  <c r="M79" i="29"/>
  <c r="M8" i="20"/>
  <c r="M8" i="13"/>
  <c r="M8" i="22"/>
  <c r="M8" i="24"/>
  <c r="M8" i="51"/>
  <c r="M8" i="25"/>
  <c r="M8" i="29"/>
  <c r="M8" i="33"/>
  <c r="M8" i="19"/>
  <c r="M8" i="16"/>
  <c r="M30" i="20"/>
  <c r="M30" i="13"/>
  <c r="M30" i="23"/>
  <c r="M30" i="33"/>
  <c r="M30" i="29"/>
  <c r="M30" i="35"/>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16"/>
  <c r="M9" i="29"/>
  <c r="M9" i="24"/>
  <c r="M9" i="33"/>
  <c r="M86" i="23"/>
  <c r="M86" i="35"/>
  <c r="M86" i="29"/>
  <c r="M86" i="13"/>
  <c r="M86" i="33"/>
  <c r="J107" i="4"/>
  <c r="M107" i="23"/>
  <c r="M107" i="13"/>
  <c r="M107" i="35"/>
  <c r="M107" i="29"/>
  <c r="M107" i="33"/>
  <c r="M98" i="13"/>
  <c r="M98" i="23"/>
  <c r="M98" i="29"/>
  <c r="M98" i="33"/>
  <c r="M77" i="13"/>
  <c r="M77" i="23"/>
  <c r="M77" i="29"/>
  <c r="M77" i="33"/>
  <c r="M67" i="13"/>
  <c r="M67" i="23"/>
  <c r="M67" i="29"/>
  <c r="M67" i="33"/>
  <c r="M109" i="13"/>
  <c r="M109" i="23"/>
  <c r="M109" i="29"/>
  <c r="M109" i="35"/>
  <c r="M109" i="33"/>
  <c r="M112" i="13"/>
  <c r="M112" i="23"/>
  <c r="M112" i="33"/>
  <c r="J108" i="4"/>
  <c r="M42" i="8"/>
  <c r="D42" i="9"/>
  <c r="H67" i="9"/>
  <c r="B69" i="9"/>
  <c r="M43" i="8"/>
  <c r="D43" i="9"/>
  <c r="C56" i="9"/>
  <c r="H53" i="9"/>
  <c r="N45" i="8"/>
  <c r="B73" i="9"/>
  <c r="D31" i="9"/>
  <c r="D16" i="9"/>
  <c r="B57" i="9"/>
  <c r="D23" i="9"/>
  <c r="B64" i="9"/>
  <c r="M37" i="8"/>
  <c r="B46" i="9"/>
  <c r="D37" i="9"/>
  <c r="I25" i="9"/>
  <c r="H57" i="9"/>
  <c r="C51" i="9"/>
  <c r="B72" i="9"/>
  <c r="D30" i="9"/>
  <c r="M86" i="8"/>
  <c r="I21" i="9"/>
  <c r="N42" i="8"/>
  <c r="C53" i="9"/>
  <c r="C64" i="9"/>
  <c r="B62" i="9"/>
  <c r="D21" i="9"/>
  <c r="H58" i="9"/>
  <c r="N41" i="8"/>
  <c r="N40" i="8"/>
  <c r="C71" i="9"/>
  <c r="H56" i="9"/>
  <c r="N44" i="8"/>
  <c r="M45" i="8"/>
  <c r="D45" i="9"/>
  <c r="B71" i="9"/>
  <c r="I33" i="9"/>
  <c r="C52" i="9"/>
  <c r="M85" i="8"/>
  <c r="I38" i="9"/>
  <c r="H61" i="9"/>
  <c r="D44" i="9"/>
  <c r="M44" i="8"/>
  <c r="H64" i="9"/>
  <c r="I22" i="9"/>
  <c r="D15" i="9"/>
  <c r="B56" i="9"/>
  <c r="N86" i="8"/>
  <c r="B67" i="9"/>
  <c r="D26" i="9"/>
  <c r="C62" i="9"/>
  <c r="D33" i="9"/>
  <c r="D11" i="9"/>
  <c r="B52" i="9"/>
  <c r="M87" i="8"/>
  <c r="I40" i="9"/>
  <c r="H60" i="9"/>
  <c r="I28" i="9"/>
  <c r="H70" i="9"/>
  <c r="H71" i="9"/>
  <c r="N92" i="8"/>
  <c r="B51" i="9"/>
  <c r="D10" i="9"/>
  <c r="N43" i="8"/>
  <c r="C69" i="9"/>
  <c r="H66" i="9"/>
  <c r="N87" i="8"/>
  <c r="H52" i="9"/>
  <c r="C58" i="9"/>
  <c r="I42" i="9"/>
  <c r="M89" i="8"/>
  <c r="B60" i="9"/>
  <c r="D19" i="9"/>
  <c r="N89" i="8"/>
  <c r="C73" i="9"/>
  <c r="I43" i="9"/>
  <c r="M90" i="8"/>
  <c r="C70" i="9"/>
  <c r="D22" i="9"/>
  <c r="B63" i="9"/>
  <c r="C59" i="9"/>
  <c r="N91" i="8"/>
  <c r="C46" i="9"/>
  <c r="N37" i="8"/>
  <c r="M41" i="8"/>
  <c r="D41" i="9"/>
  <c r="I26" i="9"/>
  <c r="B66" i="9"/>
  <c r="D25" i="9"/>
  <c r="D38" i="9"/>
  <c r="M38" i="8"/>
  <c r="N88" i="8"/>
  <c r="D29" i="9"/>
  <c r="H46" i="9"/>
  <c r="N84" i="8"/>
  <c r="C67" i="9"/>
  <c r="N38" i="8"/>
  <c r="B59" i="9"/>
  <c r="D18" i="9"/>
  <c r="C63" i="9"/>
  <c r="N85" i="8"/>
  <c r="C72" i="9"/>
  <c r="I41" i="9"/>
  <c r="M88" i="8"/>
  <c r="D12" i="9"/>
  <c r="B53" i="9"/>
  <c r="C57" i="9"/>
  <c r="I37" i="9"/>
  <c r="G46" i="9"/>
  <c r="F27" i="10" s="1"/>
  <c r="M84" i="8"/>
  <c r="C60" i="9"/>
  <c r="H69" i="9"/>
  <c r="N90" i="8"/>
  <c r="D28" i="9"/>
  <c r="B70" i="9"/>
  <c r="H59" i="9"/>
  <c r="M91" i="8"/>
  <c r="I44" i="9"/>
  <c r="H63" i="9"/>
  <c r="D20" i="9"/>
  <c r="B61" i="9"/>
  <c r="H72" i="9"/>
  <c r="C61" i="9"/>
  <c r="M92" i="8"/>
  <c r="I45" i="9"/>
  <c r="M40" i="8"/>
  <c r="D40" i="9"/>
  <c r="D27" i="9"/>
  <c r="B58" i="9"/>
  <c r="D17" i="9"/>
  <c r="I15" i="9"/>
  <c r="I29" i="9"/>
  <c r="I18" i="9"/>
  <c r="C66" i="9"/>
  <c r="I1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M29" i="16" s="1"/>
  <c r="H31" i="10"/>
  <c r="F53" i="10"/>
  <c r="I89" i="4"/>
  <c r="J32" i="10"/>
  <c r="D32" i="10"/>
  <c r="B54" i="10"/>
  <c r="I66" i="4"/>
  <c r="J20" i="10"/>
  <c r="D20" i="10"/>
  <c r="B56" i="10"/>
  <c r="J34" i="10"/>
  <c r="H66" i="4"/>
  <c r="H32" i="10"/>
  <c r="F54" i="10"/>
  <c r="I22" i="4"/>
  <c r="M22" i="16" s="1"/>
  <c r="K41" i="10"/>
  <c r="C46" i="10"/>
  <c r="H119" i="4"/>
  <c r="H137" i="4"/>
  <c r="I136" i="4"/>
  <c r="H68" i="4"/>
  <c r="I6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41" i="9"/>
  <c r="B76" i="9" l="1"/>
  <c r="H76" i="9"/>
  <c r="J65" i="9" s="1"/>
  <c r="M22" i="79"/>
  <c r="M29" i="79"/>
  <c r="M10" i="79"/>
  <c r="M7" i="79"/>
  <c r="J9" i="9"/>
  <c r="J74" i="9"/>
  <c r="B17" i="10"/>
  <c r="N19" i="9"/>
  <c r="M29" i="9"/>
  <c r="L17" i="9"/>
  <c r="M38" i="9"/>
  <c r="N37" i="9"/>
  <c r="J50" i="9" l="1"/>
  <c r="J54" i="9"/>
  <c r="M7" i="72"/>
  <c r="M7" i="74"/>
  <c r="J41" i="9"/>
  <c r="E37" i="9"/>
  <c r="M43" i="9"/>
  <c r="L40" i="9"/>
  <c r="O26" i="9"/>
  <c r="N20" i="9"/>
  <c r="O17" i="9"/>
  <c r="M41" i="9"/>
  <c r="L27" i="9"/>
  <c r="M39" i="9"/>
  <c r="M30" i="9"/>
  <c r="O21" i="9"/>
  <c r="O11" i="9"/>
  <c r="N17" i="9"/>
  <c r="O12" i="9"/>
  <c r="M27" i="9"/>
  <c r="L42" i="9"/>
  <c r="N26" i="9"/>
  <c r="M45" i="9"/>
  <c r="O16" i="9"/>
  <c r="M16" i="9"/>
  <c r="M22" i="9"/>
  <c r="O42" i="9"/>
  <c r="N22" i="9"/>
  <c r="N27" i="9"/>
  <c r="M11" i="9"/>
  <c r="L43" i="9"/>
  <c r="L33" i="9"/>
  <c r="O23" i="9"/>
  <c r="N41" i="9"/>
  <c r="L29" i="9"/>
  <c r="L22" i="9"/>
  <c r="N39" i="9"/>
  <c r="N32" i="9"/>
  <c r="O33" i="9"/>
  <c r="L37" i="9"/>
  <c r="N31" i="9"/>
  <c r="N44" i="9"/>
  <c r="M14" i="9"/>
  <c r="M37" i="9"/>
  <c r="L31" i="9"/>
  <c r="L28" i="9"/>
  <c r="M12" i="9"/>
  <c r="O18" i="9"/>
  <c r="N40" i="9"/>
  <c r="N25" i="9"/>
  <c r="O32" i="9"/>
  <c r="O37" i="9"/>
  <c r="N28" i="9"/>
  <c r="M31" i="9"/>
  <c r="L10" i="9"/>
  <c r="L30" i="9"/>
  <c r="N21" i="9"/>
  <c r="L45" i="9"/>
  <c r="L21" i="9"/>
  <c r="L11" i="9"/>
  <c r="M32" i="9"/>
  <c r="N45" i="9"/>
  <c r="M17" i="9"/>
  <c r="O45" i="9"/>
  <c r="L12" i="9"/>
  <c r="N16" i="9"/>
  <c r="M40" i="9"/>
  <c r="O29" i="9"/>
  <c r="L39" i="9"/>
  <c r="N43" i="9"/>
  <c r="M23" i="9"/>
  <c r="L26" i="9"/>
  <c r="O25" i="9"/>
  <c r="O43" i="9"/>
  <c r="N10" i="9"/>
  <c r="O27" i="9"/>
  <c r="O44" i="9"/>
  <c r="M10" i="9"/>
  <c r="M20" i="9"/>
  <c r="M18" i="9"/>
  <c r="M26" i="9"/>
  <c r="M25" i="9"/>
  <c r="M19" i="9"/>
  <c r="L16" i="9"/>
  <c r="L20" i="9"/>
  <c r="O38" i="9"/>
  <c r="M44" i="9"/>
  <c r="L44" i="9"/>
  <c r="O28" i="9"/>
  <c r="O20" i="9"/>
  <c r="N33" i="9"/>
  <c r="O19" i="9"/>
  <c r="N23" i="9"/>
  <c r="N42" i="9"/>
  <c r="N14" i="9"/>
  <c r="M33" i="9"/>
  <c r="N38" i="9"/>
  <c r="L38" i="9"/>
  <c r="O31" i="9"/>
  <c r="O41" i="9"/>
  <c r="O14" i="9"/>
  <c r="O22" i="9"/>
  <c r="O40" i="9"/>
  <c r="N18" i="9"/>
  <c r="M28" i="9"/>
  <c r="O39" i="9"/>
  <c r="O30" i="9"/>
  <c r="M21" i="9"/>
  <c r="N29" i="9"/>
  <c r="N30" i="9"/>
  <c r="L23" i="9"/>
  <c r="L14" i="9"/>
  <c r="L18" i="9"/>
  <c r="M42" i="9"/>
  <c r="L25" i="9"/>
  <c r="O10" i="9"/>
  <c r="N12" i="9"/>
  <c r="N11" i="9"/>
  <c r="J25" i="4" l="1"/>
  <c r="M33" i="18"/>
  <c r="M33" i="16"/>
  <c r="M33" i="35"/>
  <c r="M35" i="37"/>
  <c r="M22" i="37"/>
  <c r="M22" i="18"/>
  <c r="M29" i="37"/>
  <c r="M29" i="18"/>
  <c r="M135" i="37"/>
  <c r="M37" i="37"/>
  <c r="M66" i="37"/>
  <c r="M66" i="18"/>
  <c r="M111" i="37"/>
  <c r="M111" i="18"/>
  <c r="M10" i="37"/>
  <c r="M10" i="18"/>
  <c r="M136" i="37"/>
  <c r="M75" i="37"/>
  <c r="M134" i="37"/>
  <c r="M36" i="37"/>
  <c r="M12" i="37"/>
  <c r="M12" i="18"/>
  <c r="M89" i="37"/>
  <c r="M89" i="18"/>
  <c r="M87" i="37"/>
  <c r="M87" i="18"/>
  <c r="M25" i="37"/>
  <c r="M25" i="18"/>
  <c r="M11" i="37"/>
  <c r="M11" i="18"/>
  <c r="M7" i="37"/>
  <c r="M7" i="18"/>
  <c r="M119" i="37"/>
  <c r="M119" i="18"/>
  <c r="M68" i="37"/>
  <c r="M68" i="18"/>
  <c r="M96" i="37"/>
  <c r="L24" i="10"/>
  <c r="L14" i="10"/>
  <c r="J39" i="4"/>
  <c r="J75" i="4"/>
  <c r="J96" i="4"/>
  <c r="L15" i="10"/>
  <c r="L52" i="9"/>
  <c r="M46" i="9"/>
  <c r="M71" i="9"/>
  <c r="O70" i="9"/>
  <c r="L57" i="9"/>
  <c r="M52" i="9"/>
  <c r="M59" i="9"/>
  <c r="O59" i="9"/>
  <c r="N63" i="9"/>
  <c r="O73" i="9"/>
  <c r="O58" i="9"/>
  <c r="M63" i="9"/>
  <c r="N59" i="9"/>
  <c r="N56" i="9"/>
  <c r="O72" i="9"/>
  <c r="M70" i="9"/>
  <c r="L67" i="9"/>
  <c r="L61" i="9"/>
  <c r="L66" i="9"/>
  <c r="M75" i="9"/>
  <c r="L72" i="9"/>
  <c r="M50" i="9"/>
  <c r="M34" i="9"/>
  <c r="O57" i="9"/>
  <c r="L46" i="9"/>
  <c r="L56" i="9"/>
  <c r="O69" i="9"/>
  <c r="L51" i="9"/>
  <c r="M73" i="9"/>
  <c r="N50" i="9"/>
  <c r="N34" i="9"/>
  <c r="M64" i="9"/>
  <c r="O46" i="9"/>
  <c r="N58" i="9"/>
  <c r="O52" i="9"/>
  <c r="O51" i="9"/>
  <c r="L63" i="9"/>
  <c r="N69" i="9"/>
  <c r="N73" i="9"/>
  <c r="M66" i="9"/>
  <c r="O66" i="9"/>
  <c r="N71" i="9"/>
  <c r="O62" i="9"/>
  <c r="L64" i="9"/>
  <c r="L71" i="9"/>
  <c r="L60" i="9"/>
  <c r="N67" i="9"/>
  <c r="N57" i="9"/>
  <c r="L69" i="9"/>
  <c r="O63" i="9"/>
  <c r="O75" i="9"/>
  <c r="O71" i="9"/>
  <c r="L62" i="9"/>
  <c r="O67" i="9"/>
  <c r="N52" i="9"/>
  <c r="L75" i="9"/>
  <c r="N51" i="9"/>
  <c r="M72" i="9"/>
  <c r="N66" i="9"/>
  <c r="M57" i="9"/>
  <c r="M69" i="9"/>
  <c r="O50" i="9"/>
  <c r="O34" i="9"/>
  <c r="M61" i="9"/>
  <c r="M62" i="9"/>
  <c r="M51" i="9"/>
  <c r="N72" i="9"/>
  <c r="N53" i="9"/>
  <c r="O60" i="9"/>
  <c r="M60" i="9"/>
  <c r="L70" i="9"/>
  <c r="M56" i="9"/>
  <c r="M58" i="9"/>
  <c r="N46" i="9"/>
  <c r="N64" i="9"/>
  <c r="N60" i="9"/>
  <c r="M53" i="9"/>
  <c r="N75" i="9"/>
  <c r="N62" i="9"/>
  <c r="L34" i="9"/>
  <c r="L50" i="9"/>
  <c r="M67" i="9"/>
  <c r="L58" i="9"/>
  <c r="O61" i="9"/>
  <c r="O56" i="9"/>
  <c r="O53" i="9"/>
  <c r="N70" i="9"/>
  <c r="O64" i="9"/>
  <c r="L53" i="9"/>
  <c r="L42" i="10"/>
  <c r="J11" i="4"/>
  <c r="M11" i="13"/>
  <c r="M11" i="33"/>
  <c r="M11" i="23"/>
  <c r="M11" i="29"/>
  <c r="M11" i="35"/>
  <c r="J10" i="4"/>
  <c r="M10" i="20"/>
  <c r="M10" i="23"/>
  <c r="M10" i="13"/>
  <c r="M10" i="24"/>
  <c r="M10" i="35"/>
  <c r="M10" i="51"/>
  <c r="M10" i="16"/>
  <c r="M10" i="29"/>
  <c r="M10" i="33"/>
  <c r="M68" i="13"/>
  <c r="M68" i="23"/>
  <c r="M68" i="29"/>
  <c r="M68" i="35"/>
  <c r="M68" i="33"/>
  <c r="M136" i="26"/>
  <c r="M119" i="23"/>
  <c r="M119" i="13"/>
  <c r="M119" i="35"/>
  <c r="M119" i="29"/>
  <c r="M119" i="33"/>
  <c r="M111" i="23"/>
  <c r="M111" i="35"/>
  <c r="M111" i="29"/>
  <c r="M111" i="13"/>
  <c r="M111" i="33"/>
  <c r="J7" i="4"/>
  <c r="M7" i="19"/>
  <c r="M7" i="13"/>
  <c r="M7" i="23"/>
  <c r="M7" i="22"/>
  <c r="M7" i="25"/>
  <c r="M7" i="20"/>
  <c r="M7" i="24"/>
  <c r="M7" i="29"/>
  <c r="M7" i="16"/>
  <c r="M7" i="51"/>
  <c r="M7" i="35"/>
  <c r="M7" i="33"/>
  <c r="J22" i="4"/>
  <c r="M22" i="20"/>
  <c r="M22" i="13"/>
  <c r="M22" i="24"/>
  <c r="M22" i="51"/>
  <c r="M22" i="23"/>
  <c r="M22" i="29"/>
  <c r="M22" i="35"/>
  <c r="M22" i="33"/>
  <c r="M29" i="23"/>
  <c r="M29" i="13"/>
  <c r="M29" i="29"/>
  <c r="M29" i="51"/>
  <c r="M29" i="35"/>
  <c r="M29" i="24"/>
  <c r="M29" i="20"/>
  <c r="M29" i="33"/>
  <c r="M137" i="26"/>
  <c r="M87" i="13"/>
  <c r="M87" i="23"/>
  <c r="M87" i="33"/>
  <c r="M87" i="29"/>
  <c r="M87" i="35"/>
  <c r="J10" i="9"/>
  <c r="J34" i="9" s="1"/>
  <c r="M35" i="13"/>
  <c r="M35" i="23"/>
  <c r="M35" i="29"/>
  <c r="M35" i="35"/>
  <c r="M35" i="33"/>
  <c r="M35" i="16"/>
  <c r="M39" i="16"/>
  <c r="M34" i="13"/>
  <c r="M34" i="23"/>
  <c r="M34" i="29"/>
  <c r="M34" i="35"/>
  <c r="M34" i="16"/>
  <c r="M38" i="16"/>
  <c r="M66" i="13"/>
  <c r="M66" i="35"/>
  <c r="M66" i="33"/>
  <c r="M66" i="23"/>
  <c r="M66" i="29"/>
  <c r="M89" i="13"/>
  <c r="M89" i="23"/>
  <c r="M89" i="29"/>
  <c r="M89" i="35"/>
  <c r="M89" i="33"/>
  <c r="M96" i="33"/>
  <c r="M75" i="33"/>
  <c r="J37" i="4"/>
  <c r="M37" i="13"/>
  <c r="M37" i="16"/>
  <c r="I71" i="9"/>
  <c r="M134" i="26"/>
  <c r="M134" i="34"/>
  <c r="M12" i="13"/>
  <c r="M12" i="23"/>
  <c r="M12" i="29"/>
  <c r="M12" i="35"/>
  <c r="M12" i="33"/>
  <c r="J36" i="4"/>
  <c r="M36" i="13"/>
  <c r="M36" i="16"/>
  <c r="L21" i="10"/>
  <c r="H53" i="10"/>
  <c r="M135" i="26"/>
  <c r="M135" i="34"/>
  <c r="M25" i="13"/>
  <c r="M25" i="29"/>
  <c r="M25" i="33"/>
  <c r="L31" i="10"/>
  <c r="L22" i="10"/>
  <c r="L12" i="10"/>
  <c r="L10" i="10"/>
  <c r="I69" i="9"/>
  <c r="I66" i="9"/>
  <c r="I75" i="9"/>
  <c r="I59" i="9"/>
  <c r="I56" i="9"/>
  <c r="I34" i="9"/>
  <c r="I51" i="9"/>
  <c r="D69" i="9"/>
  <c r="D46" i="9"/>
  <c r="D51" i="9"/>
  <c r="G17" i="10"/>
  <c r="E40" i="9"/>
  <c r="E43" i="9"/>
  <c r="E38" i="9"/>
  <c r="E39" i="9"/>
  <c r="E45" i="9"/>
  <c r="E44" i="9"/>
  <c r="E42" i="9"/>
  <c r="F17" i="10"/>
  <c r="J17" i="10" s="1"/>
  <c r="E41" i="9"/>
  <c r="B27" i="10"/>
  <c r="J27" i="10" s="1"/>
  <c r="J37" i="9"/>
  <c r="J42" i="9"/>
  <c r="G27" i="10"/>
  <c r="H27" i="10" s="1"/>
  <c r="J55" i="9"/>
  <c r="C27" i="10"/>
  <c r="J43" i="9"/>
  <c r="J44" i="9"/>
  <c r="J38" i="9"/>
  <c r="J39" i="9"/>
  <c r="I46" i="9"/>
  <c r="J40" i="9"/>
  <c r="J45"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19" i="9"/>
  <c r="L32" i="9"/>
  <c r="N61" i="9" l="1"/>
  <c r="L59" i="9"/>
  <c r="L73" i="9"/>
  <c r="J73" i="9"/>
  <c r="J68" i="9"/>
  <c r="L55" i="10"/>
  <c r="M76" i="9"/>
  <c r="O76" i="9"/>
  <c r="L76" i="9"/>
  <c r="N76" i="9"/>
  <c r="L53" i="10"/>
  <c r="J46" i="9"/>
  <c r="I76" i="9"/>
  <c r="E46" i="9"/>
  <c r="H17" i="10"/>
  <c r="J59" i="9"/>
  <c r="J58" i="9"/>
  <c r="D27" i="10"/>
  <c r="K27" i="10"/>
  <c r="L27" i="10" s="1"/>
  <c r="J69" i="9"/>
  <c r="J53" i="9"/>
  <c r="J62" i="9"/>
  <c r="I62" i="9" s="1"/>
  <c r="J64" i="9"/>
  <c r="J52" i="9"/>
  <c r="I52" i="9" s="1"/>
  <c r="J60" i="9"/>
  <c r="I60" i="9" s="1"/>
  <c r="J66" i="9"/>
  <c r="J61" i="9"/>
  <c r="J67" i="9"/>
  <c r="I67" i="9" s="1"/>
  <c r="J56" i="9"/>
  <c r="J75" i="9"/>
  <c r="J72" i="9"/>
  <c r="J51" i="9"/>
  <c r="J63" i="9"/>
  <c r="I63" i="9" s="1"/>
  <c r="J57" i="9"/>
  <c r="J70" i="9"/>
  <c r="I70" i="9" s="1"/>
  <c r="J71" i="9"/>
  <c r="K57" i="10"/>
  <c r="H57" i="10"/>
  <c r="L46" i="10"/>
  <c r="L35" i="10"/>
  <c r="L54" i="10"/>
  <c r="J57" i="10"/>
  <c r="D57" i="10"/>
  <c r="L52" i="10"/>
  <c r="J76" i="9" l="1"/>
  <c r="L57" i="10"/>
  <c r="D32" i="9" l="1"/>
  <c r="N31" i="8" l="1"/>
  <c r="C74" i="9"/>
  <c r="D74" i="9" l="1"/>
  <c r="C76" i="9"/>
  <c r="E9" i="9"/>
  <c r="E13" i="9"/>
  <c r="E27" i="9"/>
  <c r="D34" i="9"/>
  <c r="E25" i="9"/>
  <c r="E19" i="9"/>
  <c r="E15" i="9"/>
  <c r="E33" i="9"/>
  <c r="E22" i="9"/>
  <c r="E30" i="9"/>
  <c r="E16" i="9"/>
  <c r="E11" i="9"/>
  <c r="E10" i="9"/>
  <c r="E26" i="9"/>
  <c r="E14" i="9"/>
  <c r="C17" i="10"/>
  <c r="K17" i="10" s="1"/>
  <c r="L17" i="10" s="1"/>
  <c r="E28" i="9"/>
  <c r="E32" i="9"/>
  <c r="E20" i="9"/>
  <c r="E23" i="9"/>
  <c r="E18" i="9"/>
  <c r="E12" i="9"/>
  <c r="E29" i="9"/>
  <c r="E31" i="9"/>
  <c r="E17" i="9"/>
  <c r="E21" i="9"/>
  <c r="E74" i="9"/>
  <c r="E34" i="9" l="1"/>
  <c r="E54" i="9"/>
  <c r="E65" i="9"/>
  <c r="D76" i="9"/>
  <c r="E50" i="9"/>
  <c r="D17" i="10"/>
  <c r="E55" i="9"/>
  <c r="E64" i="9"/>
  <c r="D64" i="9" s="1"/>
  <c r="E75" i="9"/>
  <c r="D75" i="9" s="1"/>
  <c r="E60" i="9"/>
  <c r="D60" i="9" s="1"/>
  <c r="E67" i="9"/>
  <c r="D67" i="9" s="1"/>
  <c r="E70" i="9"/>
  <c r="D70" i="9" s="1"/>
  <c r="E58" i="9"/>
  <c r="D58" i="9" s="1"/>
  <c r="E62" i="9"/>
  <c r="D62" i="9" s="1"/>
  <c r="E53" i="9"/>
  <c r="D53" i="9" s="1"/>
  <c r="E63" i="9"/>
  <c r="D63" i="9" s="1"/>
  <c r="E52" i="9"/>
  <c r="D52" i="9" s="1"/>
  <c r="E59" i="9"/>
  <c r="D59" i="9" s="1"/>
  <c r="E51" i="9"/>
  <c r="E71" i="9"/>
  <c r="D71" i="9" s="1"/>
  <c r="E68" i="9"/>
  <c r="E56" i="9"/>
  <c r="D56" i="9" s="1"/>
  <c r="E73" i="9"/>
  <c r="D73" i="9" s="1"/>
  <c r="E61" i="9"/>
  <c r="D61" i="9" s="1"/>
  <c r="E72" i="9"/>
  <c r="D72" i="9" s="1"/>
  <c r="E57" i="9"/>
  <c r="D57" i="9" s="1"/>
  <c r="E66" i="9"/>
  <c r="D66" i="9" s="1"/>
  <c r="E69" i="9"/>
  <c r="E76"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<sst xmlns="http://schemas.openxmlformats.org/spreadsheetml/2006/main" count="6095" uniqueCount="435">
  <si>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</si>
  <si>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</si>
  <si>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</si>
  <si>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</si>
  <si>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</si>
  <si>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</si>
  <si>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</si>
  <si>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</si>
  <si>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</si>
  <si>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</si>
  <si>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</si>
  <si>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</si>
  <si>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</si>
  <si>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</si>
  <si>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</si>
  <si>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</si>
  <si>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</si>
  <si>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</si>
  <si>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</si>
  <si>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</si>
  <si>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</si>
  <si>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</si>
  <si>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</si>
  <si>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</si>
  <si>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</si>
  <si>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</si>
  <si>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</si>
  <si>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</si>
  <si>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</si>
  <si>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</si>
  <si>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</si>
  <si>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</si>
  <si>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</si>
  <si>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</si>
  <si>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</si>
  <si>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</si>
  <si>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</si>
  <si>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</si>
  <si>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</si>
  <si>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</si>
  <si>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</si>
  <si>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</si>
  <si>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</si>
  <si>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</si>
  <si>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</si>
  <si>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</si>
  <si>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</si>
  <si>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</si>
  <si>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</si>
  <si>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</si>
  <si>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</si>
  <si>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</si>
  <si>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</si>
  <si>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</si>
  <si>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</si>
  <si>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</si>
  <si>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</si>
  <si>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</si>
  <si>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</si>
  <si>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</si>
  <si>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</si>
  <si>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</si>
  <si>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</si>
  <si>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</si>
  <si>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</si>
  <si>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</si>
  <si>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</si>
  <si>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</si>
  <si>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</si>
  <si>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</si>
  <si>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</si>
  <si>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</si>
  <si>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</si>
  <si>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</si>
  <si>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</si>
  <si>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</si>
  <si>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</si>
  <si>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</si>
  <si>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</si>
  <si>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</si>
  <si>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</si>
  <si>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</si>
  <si>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</si>
  <si>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</si>
  <si>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</si>
  <si>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</si>
  <si>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</si>
  <si>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</si>
  <si>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</si>
  <si>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</si>
  <si>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</si>
  <si>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</si>
  <si>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</si>
  <si>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</si>
  <si>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</si>
  <si>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</si>
  <si>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</si>
  <si>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</si>
  <si>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</si>
  <si>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</si>
  <si>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</si>
  <si>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</si>
  <si>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</si>
  <si>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</si>
  <si>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</si>
  <si>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</si>
  <si>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</si>
  <si>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</si>
  <si>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</si>
  <si>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</si>
  <si>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</si>
  <si>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</si>
  <si>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</si>
  <si>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</si>
  <si>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</si>
  <si>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</si>
  <si>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</si>
  <si>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</si>
  <si>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</si>
  <si>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</si>
  <si>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</si>
  <si>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</si>
  <si>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</si>
  <si>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Frende Livsforsikring AS</t>
  </si>
  <si>
    <t>Frende Skadeforsikring AS</t>
  </si>
  <si>
    <t>Gjensidige Forsikring ASA</t>
  </si>
  <si>
    <t>Gjensidige Pensjon og Sparing</t>
  </si>
  <si>
    <t>If Skadeforsikring nuf</t>
  </si>
  <si>
    <t>Livsforsikringsselskapet Nordea Liv Norge AS</t>
  </si>
  <si>
    <t>SpareBank 1 Forsikring AS</t>
  </si>
  <si>
    <t>KLP Skadeforsikring</t>
  </si>
  <si>
    <t>Selskap</t>
  </si>
  <si>
    <t>Flytting fra andre</t>
  </si>
  <si>
    <t>Flytting til andre</t>
  </si>
  <si>
    <t>Q8</t>
  </si>
  <si>
    <t>Q9</t>
  </si>
  <si>
    <t>Q10</t>
  </si>
  <si>
    <t>Q14</t>
  </si>
  <si>
    <t>Q15</t>
  </si>
  <si>
    <t>Q16</t>
  </si>
  <si>
    <t>Q7</t>
  </si>
  <si>
    <t>R7</t>
  </si>
  <si>
    <t>R8</t>
  </si>
  <si>
    <t>R9</t>
  </si>
  <si>
    <t>R10</t>
  </si>
  <si>
    <t>R14</t>
  </si>
  <si>
    <t>R15</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</si>
  <si>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</si>
  <si>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</si>
  <si>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</si>
  <si>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</si>
  <si>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</si>
  <si>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</si>
  <si>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</si>
  <si>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</si>
  <si>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</si>
  <si>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</si>
  <si>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</si>
  <si>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</si>
  <si>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</si>
  <si>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</si>
  <si>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</si>
  <si>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</si>
  <si>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</si>
  <si>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</si>
  <si>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</si>
  <si>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</si>
  <si>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</si>
  <si>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</si>
  <si>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</si>
  <si>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</si>
  <si>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</si>
  <si>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</si>
  <si>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</si>
  <si>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</si>
  <si>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</si>
  <si>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</si>
  <si>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</si>
  <si>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</si>
  <si>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</si>
  <si>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</si>
  <si>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</si>
  <si>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</si>
  <si>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</si>
  <si>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</si>
  <si>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</si>
  <si>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</si>
  <si>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</si>
  <si>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</si>
  <si>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</si>
  <si>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</si>
  <si>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</si>
  <si>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</si>
  <si>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</si>
  <si>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</si>
  <si>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</si>
  <si>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</si>
  <si>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</si>
  <si>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</si>
  <si>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</si>
  <si>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</si>
  <si>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</si>
  <si>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</si>
  <si>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</si>
  <si>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</si>
  <si>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</si>
  <si>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</si>
  <si>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</si>
  <si>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</si>
  <si>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</si>
  <si>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</si>
  <si>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</si>
  <si>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</si>
  <si>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</si>
  <si>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</si>
  <si>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</si>
  <si>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</si>
  <si>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</si>
  <si>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</si>
  <si>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</si>
  <si>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</si>
  <si>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</si>
  <si>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</si>
  <si>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</si>
  <si>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</si>
  <si>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</si>
  <si>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</si>
  <si>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</si>
  <si>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</si>
  <si>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</si>
  <si>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</si>
  <si>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</si>
  <si>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</si>
  <si>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</si>
  <si>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</si>
  <si>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</si>
  <si>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</si>
  <si>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</si>
  <si>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</si>
  <si>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</si>
  <si>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</si>
  <si>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</si>
  <si>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</si>
  <si>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</si>
  <si>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</si>
  <si>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</si>
  <si>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</si>
  <si>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</si>
  <si>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</si>
  <si>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</si>
  <si>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</si>
  <si>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</si>
  <si>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</si>
  <si>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</si>
  <si>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</si>
  <si>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</si>
  <si>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</si>
  <si>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</si>
  <si>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</si>
  <si>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</si>
  <si>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</si>
  <si>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</si>
  <si>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</si>
  <si>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</si>
  <si>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</si>
  <si>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</si>
  <si>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</si>
  <si>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</si>
  <si>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</si>
  <si>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</si>
  <si>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</si>
  <si>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</si>
  <si>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</si>
  <si>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</si>
  <si>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</si>
  <si>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</si>
  <si>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</si>
  <si>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</si>
  <si>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</si>
  <si>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</si>
  <si>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</si>
  <si>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</si>
  <si>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</si>
  <si>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</si>
  <si>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</si>
  <si>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</si>
  <si>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</si>
  <si>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</si>
  <si>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</si>
  <si>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</si>
  <si>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</si>
  <si>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</si>
  <si>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</si>
  <si>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</si>
  <si>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</si>
  <si>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6.2 Endring i tilleggsavsetninger</t>
  </si>
  <si>
    <t xml:space="preserve">    6.3 Endring i kursreguleringsfond</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</si>
  <si>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</si>
  <si>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</si>
  <si>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</si>
  <si>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</si>
  <si>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</si>
  <si>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</si>
  <si>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</si>
  <si>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</si>
  <si>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</si>
  <si>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</si>
  <si>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</si>
  <si>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</si>
  <si>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</si>
  <si>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</si>
  <si>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</si>
  <si>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</si>
  <si>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</si>
  <si>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</si>
  <si>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</si>
  <si>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</si>
  <si>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</si>
  <si>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</si>
  <si>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</si>
  <si>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</si>
  <si>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</si>
  <si>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</si>
  <si>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</si>
  <si>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</si>
  <si>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</si>
  <si>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</si>
  <si>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</si>
  <si>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</si>
  <si>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</si>
  <si>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</si>
  <si>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</si>
  <si>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</si>
  <si>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</si>
  <si>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</si>
  <si>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</si>
  <si>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</si>
  <si>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</si>
  <si>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</si>
  <si>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</si>
  <si>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</si>
  <si>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</si>
  <si>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</si>
  <si>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</si>
  <si>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</si>
  <si>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</si>
  <si>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</si>
  <si>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</si>
  <si>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</si>
  <si>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</si>
  <si>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</si>
  <si>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</si>
  <si>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</si>
  <si>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</si>
  <si>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</si>
  <si>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</si>
  <si>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</si>
  <si>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</si>
  <si>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</si>
  <si>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</si>
  <si>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</si>
  <si>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</si>
  <si>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</si>
  <si>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</si>
  <si>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</si>
  <si>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</si>
  <si>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</si>
  <si>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</si>
  <si>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</si>
  <si>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</si>
  <si>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</si>
  <si>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</si>
  <si>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</si>
  <si>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</si>
  <si>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</si>
  <si>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</si>
  <si>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</si>
  <si>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</si>
  <si>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</si>
  <si>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14.1 Premiekapital mv.</t>
  </si>
  <si>
    <t xml:space="preserve">    14.2 Tilleggsavsetninger</t>
  </si>
  <si>
    <t>Fremtind Livsforsikring</t>
  </si>
  <si>
    <t>WaterCircle Forsikring</t>
  </si>
  <si>
    <t>Fremtind</t>
  </si>
  <si>
    <t>Fremtind Livsfors</t>
  </si>
  <si>
    <t>Landkreditt Fors.</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</si>
  <si>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</si>
  <si>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</si>
  <si>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</si>
  <si>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</si>
  <si>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</si>
  <si>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</si>
  <si>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</si>
  <si>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</si>
  <si>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</si>
  <si>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WaterCircles Forsikring</t>
  </si>
  <si>
    <t>Landkreditt Fors</t>
  </si>
  <si>
    <t>Codan Forsikring</t>
  </si>
  <si>
    <t>Euro Accident</t>
  </si>
  <si>
    <t xml:space="preserve">   Innskuddsbasert (inkl. EPK)</t>
  </si>
  <si>
    <t>Forsikring</t>
  </si>
  <si>
    <t>SpareBank 1 Forsikring</t>
  </si>
  <si>
    <t>Ly Forsikring</t>
  </si>
  <si>
    <t>Youplus Livsforsikring</t>
  </si>
  <si>
    <t>Youplus</t>
  </si>
  <si>
    <t>Youplus Livsf</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</si>
  <si>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</si>
  <si>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</si>
  <si>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1.3 Overføring av premiereserve og pensjonskapital mv. fra andre selskap/kasser</t>
  </si>
  <si>
    <t xml:space="preserve">    5.2 Overføring av premiereserve, pensjonskapital mv., tilleggsavsetninger og bufferfond til andre selskap/kasser</t>
  </si>
  <si>
    <t xml:space="preserve">    6.1 Endring i premiereserve mv.</t>
  </si>
  <si>
    <t xml:space="preserve">    6.4 Endring i bufferfond</t>
  </si>
  <si>
    <t xml:space="preserve">    6.5 Endring i premiefond, innskuddsfond og fond for regulering av pensjoner mv.</t>
  </si>
  <si>
    <t xml:space="preserve">    6.6 Endring i tekniske avsetninger for skadeforsikringsvirksomhet</t>
  </si>
  <si>
    <t xml:space="preserve">    6.7 Overføring av tilleggsavsetninger og bufferfond fra andre fors.selskap/pensj.kasser</t>
  </si>
  <si>
    <t>18. Resultat før andre inntekter og kostnader</t>
  </si>
  <si>
    <t>19. Andre inntekter og kostnader</t>
  </si>
  <si>
    <t xml:space="preserve">    13.4 Bufferfond</t>
  </si>
  <si>
    <t xml:space="preserve">    13.5 Premiefond, innskuddsfond og ford for regulering av pensjoner mv.</t>
  </si>
  <si>
    <t xml:space="preserve">    13.6 Andre tekniske avsetninger for skadeforsikringsvirksomheten</t>
  </si>
  <si>
    <t xml:space="preserve">    14.3 Bufferfond</t>
  </si>
  <si>
    <t xml:space="preserve">    14.4 Premiefond, innskuddsfond og fond for regulering av pensjoner mv.</t>
  </si>
  <si>
    <t>Bufferfond</t>
  </si>
  <si>
    <t>1. Premieinntekter</t>
  </si>
  <si>
    <t>31.03.</t>
  </si>
  <si>
    <t>Storebrand Danica Pensjonsforsikring</t>
  </si>
  <si>
    <t>Figur 1  Brutto forfalt premie livprodukter  -  produkter uten investeringsvalg pr. 31.03.</t>
  </si>
  <si>
    <t>Figur 2  Brutto forfalt premie livprodukter  -  produkter med investeringsvalg pr. 31.03.</t>
  </si>
  <si>
    <t>Figur 3  Forsikringsforpliktelser i livsforsikring  -  produkter uten investeringsvalg pr. 31.03.</t>
  </si>
  <si>
    <t>Figur 4  Forsikringsforpliktelser i livsforsikring -  produkter med investeringsvalg pr. 31.03.</t>
  </si>
  <si>
    <t>Figur 5  Netto tilflytting livprodukter  -  produkter uten investeringsvalg pr. 31.03.</t>
  </si>
  <si>
    <t>Figur 6  Netto tilflytting livprodukter  -  produkter med investeringsvalg pr. 31.03.</t>
  </si>
  <si>
    <t>31.3.2022</t>
  </si>
  <si>
    <t>31.3.2023</t>
  </si>
  <si>
    <t>Storebrand Danica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</si>
</sst>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sz val="10"/>
      <color theme="0"/>
      <name val="Times New Roman"/>
      <family val="1"/>
    </font>
    <font>
      <b/>
      <sz val="14"/>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770">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9"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43" fillId="9" borderId="0" xfId="3" applyFont="1" applyFill="1" applyAlignment="1" applyProtection="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3" xfId="845" applyNumberFormat="1" applyFont="1" applyFill="1" applyBorder="1" applyAlignment="1" applyProtection="1">
      <alignment horizontal="right"/>
      <protection locked="0"/>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3" fontId="46"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2" fillId="0" borderId="0" xfId="0" applyFont="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50" fillId="0" borderId="0" xfId="0" applyFont="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31" fillId="4" borderId="1" xfId="15"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3" fontId="46" fillId="4" borderId="4" xfId="15" applyNumberFormat="1" applyFont="1" applyFill="1" applyBorder="1" applyAlignment="1" applyProtection="1">
      <alignment horizontal="right"/>
      <protection locked="0"/>
    </xf>
    <xf numFmtId="3" fontId="46" fillId="4" borderId="11" xfId="15" applyNumberFormat="1" applyFont="1" applyFill="1" applyBorder="1" applyAlignment="1" applyProtection="1">
      <alignment horizontal="right"/>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6" fillId="2" borderId="3" xfId="0" applyFont="1" applyFill="1" applyBorder="1" applyProtection="1">
      <protection locked="0"/>
    </xf>
    <xf numFmtId="0" fontId="46"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171" fontId="16" fillId="0" borderId="3" xfId="846" applyFont="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0" fontId="42" fillId="0" borderId="0" xfId="7" applyFont="1" applyProtection="1">
      <protection locked="0"/>
    </xf>
    <xf numFmtId="0" fontId="18" fillId="0" borderId="0" xfId="3" applyFont="1" applyAlignment="1">
      <protection locked="0"/>
    </xf>
    <xf numFmtId="0" fontId="20" fillId="0" borderId="0" xfId="7" applyProtection="1">
      <protection locked="0"/>
    </xf>
    <xf numFmtId="3" fontId="59"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70" fillId="0" borderId="8" xfId="7" applyFont="1" applyBorder="1" applyAlignment="1" applyProtection="1">
      <alignment horizontal="center"/>
      <protection locked="0"/>
    </xf>
    <xf numFmtId="0" fontId="18" fillId="4" borderId="0" xfId="7" applyFont="1" applyFill="1" applyProtection="1">
      <protection locked="0"/>
    </xf>
    <xf numFmtId="3" fontId="46" fillId="0" borderId="1" xfId="7" applyNumberFormat="1" applyFont="1" applyBorder="1" applyProtection="1">
      <protection locked="0"/>
    </xf>
    <xf numFmtId="0" fontId="46" fillId="4" borderId="0" xfId="7" applyFont="1" applyFill="1" applyAlignment="1" applyProtection="1">
      <alignment horizontal="center"/>
      <protection locked="0"/>
    </xf>
    <xf numFmtId="3" fontId="46"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6"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0" fontId="31" fillId="0" borderId="3" xfId="7" applyFont="1" applyBorder="1" applyProtection="1">
      <protection locked="0"/>
    </xf>
    <xf numFmtId="0" fontId="31" fillId="0" borderId="6" xfId="7" applyFont="1" applyBorder="1" applyProtection="1">
      <protection locked="0"/>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protection locked="0"/>
    </xf>
    <xf numFmtId="0" fontId="57" fillId="0" borderId="0" xfId="0" applyFont="1" applyFill="1"/>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4" borderId="0" xfId="7" applyFont="1" applyFill="1" applyAlignment="1" applyProtection="1">
      <alignment horizontal="center"/>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6" fillId="0" borderId="1" xfId="0" applyNumberFormat="1" applyFont="1" applyBorder="1" applyProtection="1">
      <protection locked="0"/>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3" fontId="46" fillId="0" borderId="4" xfId="0" applyNumberFormat="1" applyFont="1" applyBorder="1" applyProtection="1">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16" fillId="0" borderId="7" xfId="0" applyFont="1" applyBorder="1" applyAlignment="1" applyProtection="1">
      <alignment horizontal="center"/>
      <protection locked="0"/>
    </xf>
    <xf numFmtId="3" fontId="51" fillId="4" borderId="6" xfId="0" applyNumberFormat="1" applyFont="1" applyFill="1" applyBorder="1" applyProtection="1">
      <protection locked="0"/>
    </xf>
    <xf numFmtId="169" fontId="16" fillId="0" borderId="6" xfId="0" applyNumberFormat="1" applyFont="1" applyBorder="1" applyAlignment="1" applyProtection="1">
      <alignment horizontal="center"/>
      <protection locked="0"/>
    </xf>
    <xf numFmtId="3" fontId="31" fillId="4" borderId="1" xfId="0" applyNumberFormat="1" applyFont="1" applyFill="1" applyBorder="1" applyAlignment="1">
      <alignment horizontal="right"/>
    </xf>
    <xf numFmtId="3" fontId="31" fillId="4" borderId="7" xfId="0" applyNumberFormat="1" applyFont="1" applyFill="1" applyBorder="1" applyAlignment="1">
      <alignment horizontal="right"/>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4" xfId="15" applyNumberFormat="1" applyFont="1" applyFill="1" applyBorder="1" applyAlignment="1" applyProtection="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4" borderId="0" xfId="0" applyNumberFormat="1" applyFont="1" applyFill="1" applyAlignment="1">
      <alignment horizontal="right"/>
    </xf>
    <xf numFmtId="1" fontId="31" fillId="0" borderId="3" xfId="0" applyNumberFormat="1" applyFont="1" applyBorder="1" applyAlignment="1">
      <alignment horizontal="right"/>
    </xf>
    <xf numFmtId="0" fontId="31" fillId="0" borderId="3" xfId="0" applyFont="1" applyBorder="1" applyAlignment="1">
      <alignment horizontal="right"/>
    </xf>
    <xf numFmtId="166" fontId="31" fillId="0" borderId="3" xfId="847" applyNumberFormat="1" applyFont="1" applyBorder="1" applyAlignment="1" applyProtection="1">
      <alignment horizontal="right"/>
    </xf>
    <xf numFmtId="3" fontId="31" fillId="10" borderId="3" xfId="0"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0" fontId="46" fillId="0" borderId="11" xfId="0" applyFont="1" applyBorder="1" applyProtection="1">
      <protection locked="0"/>
    </xf>
    <xf numFmtId="0" fontId="46" fillId="0" borderId="4" xfId="0" applyFont="1" applyBorder="1" applyProtection="1">
      <protection locked="0"/>
    </xf>
    <xf numFmtId="3" fontId="46" fillId="4" borderId="4" xfId="15" applyNumberFormat="1" applyFont="1" applyFill="1" applyBorder="1" applyAlignment="1" applyProtection="1">
      <alignment horizontal="right"/>
    </xf>
    <xf numFmtId="3" fontId="46" fillId="4" borderId="7" xfId="0" applyNumberFormat="1" applyFont="1" applyFill="1" applyBorder="1" applyAlignment="1" applyProtection="1">
      <alignment horizontal="right"/>
      <protection locked="0"/>
    </xf>
    <xf numFmtId="0" fontId="46" fillId="4" borderId="7" xfId="0" applyFont="1" applyFill="1" applyBorder="1" applyAlignment="1" applyProtection="1">
      <alignment horizontal="right"/>
      <protection locked="0"/>
    </xf>
    <xf numFmtId="0" fontId="46" fillId="4" borderId="15" xfId="0" applyFont="1" applyFill="1" applyBorder="1" applyAlignment="1" applyProtection="1">
      <alignment horizontal="right"/>
      <protection locked="0"/>
    </xf>
    <xf numFmtId="0" fontId="50" fillId="0" borderId="7" xfId="0" applyFont="1" applyBorder="1" applyAlignment="1" applyProtection="1">
      <alignment horizontal="right"/>
      <protection locked="0"/>
    </xf>
    <xf numFmtId="0" fontId="46" fillId="4" borderId="3" xfId="0" applyFont="1" applyFill="1" applyBorder="1" applyAlignment="1" applyProtection="1">
      <alignment horizontal="right"/>
      <protection locked="0"/>
    </xf>
    <xf numFmtId="0" fontId="46" fillId="4" borderId="2" xfId="0" applyFont="1" applyFill="1" applyBorder="1" applyAlignment="1" applyProtection="1">
      <alignment horizontal="right"/>
      <protection locked="0"/>
    </xf>
    <xf numFmtId="0" fontId="50"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6" fillId="4" borderId="2" xfId="0" applyNumberFormat="1" applyFont="1" applyFill="1" applyBorder="1" applyAlignment="1" applyProtection="1">
      <alignment horizontal="right"/>
      <protection locked="0"/>
    </xf>
    <xf numFmtId="0" fontId="46" fillId="0" borderId="0" xfId="0" applyFont="1" applyProtection="1">
      <protection locked="0"/>
    </xf>
    <xf numFmtId="3" fontId="46" fillId="4" borderId="11" xfId="15" applyNumberFormat="1" applyFont="1" applyFill="1" applyBorder="1" applyAlignment="1" applyProtection="1">
      <alignment horizontal="right"/>
    </xf>
    <xf numFmtId="0" fontId="46" fillId="4" borderId="6" xfId="0" applyFont="1" applyFill="1" applyBorder="1" applyAlignment="1" applyProtection="1">
      <alignment horizontal="right"/>
      <protection locked="0"/>
    </xf>
    <xf numFmtId="0" fontId="46" fillId="4" borderId="5" xfId="0" applyFont="1" applyFill="1" applyBorder="1" applyAlignment="1" applyProtection="1">
      <alignment horizontal="right"/>
      <protection locked="0"/>
    </xf>
    <xf numFmtId="0" fontId="46" fillId="0" borderId="6" xfId="0" applyFont="1" applyBorder="1" applyAlignment="1" applyProtection="1">
      <alignment horizontal="right"/>
      <protection locked="0"/>
    </xf>
    <xf numFmtId="0" fontId="46" fillId="0" borderId="7" xfId="0" applyFont="1" applyBorder="1" applyProtection="1">
      <protection locked="0"/>
    </xf>
    <xf numFmtId="3" fontId="46" fillId="4" borderId="1" xfId="15" applyNumberFormat="1" applyFont="1" applyFill="1" applyBorder="1" applyAlignment="1" applyProtection="1">
      <alignment horizontal="right"/>
      <protection locked="0"/>
    </xf>
    <xf numFmtId="3" fontId="46" fillId="4" borderId="1" xfId="0" applyNumberFormat="1" applyFont="1" applyFill="1" applyBorder="1" applyAlignment="1" applyProtection="1">
      <alignment horizontal="right"/>
      <protection locked="0"/>
    </xf>
    <xf numFmtId="0" fontId="46" fillId="4" borderId="1" xfId="0" applyFont="1" applyFill="1" applyBorder="1" applyAlignment="1" applyProtection="1">
      <alignment horizontal="right"/>
      <protection locked="0"/>
    </xf>
    <xf numFmtId="0" fontId="46" fillId="0" borderId="7" xfId="0" applyFont="1" applyBorder="1" applyAlignment="1" applyProtection="1">
      <alignment horizontal="right"/>
      <protection locked="0"/>
    </xf>
    <xf numFmtId="0" fontId="31" fillId="2" borderId="3" xfId="0" applyFont="1" applyFill="1" applyBorder="1" applyProtection="1">
      <protection locked="0"/>
    </xf>
    <xf numFmtId="0" fontId="31" fillId="2" borderId="6" xfId="0" applyFont="1" applyFill="1" applyBorder="1" applyProtection="1">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3" fontId="31" fillId="0" borderId="4" xfId="847" applyNumberFormat="1" applyFont="1" applyFill="1" applyBorder="1" applyAlignment="1" applyProtection="1">
      <alignment horizontal="right"/>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0" fontId="20" fillId="0" borderId="3" xfId="0" applyFont="1" applyBorder="1" applyProtection="1">
      <protection locked="0"/>
    </xf>
    <xf numFmtId="3" fontId="46"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3" fillId="0" borderId="0" xfId="0" applyNumberFormat="1" applyFont="1" applyProtection="1">
      <protection locked="0"/>
    </xf>
    <xf numFmtId="0" fontId="18" fillId="0" borderId="0" xfId="0" applyFont="1" applyFill="1" applyBorder="1" applyProtection="1">
      <protection locked="0"/>
    </xf>
    <xf numFmtId="0" fontId="46" fillId="0" borderId="0" xfId="0" applyNumberFormat="1" applyFont="1" applyFill="1" applyBorder="1" applyAlignment="1" applyProtection="1">
      <protection locked="0"/>
    </xf>
    <xf numFmtId="0" fontId="46" fillId="0" borderId="0" xfId="0" applyNumberFormat="1" applyFont="1" applyFill="1" applyBorder="1" applyAlignment="1" applyProtection="1">
      <alignment horizontal="center"/>
      <protection locked="0"/>
    </xf>
    <xf numFmtId="0" fontId="18" fillId="0" borderId="10" xfId="0" applyFont="1" applyFill="1" applyBorder="1" applyProtection="1">
      <protection locked="0"/>
    </xf>
    <xf numFmtId="0" fontId="18" fillId="0" borderId="8" xfId="0" applyFont="1" applyFill="1" applyBorder="1" applyProtection="1">
      <protection locked="0"/>
    </xf>
    <xf numFmtId="0" fontId="18" fillId="0" borderId="9" xfId="0" applyFont="1" applyFill="1" applyBorder="1" applyProtection="1">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4" fontId="31" fillId="4" borderId="4" xfId="7" applyNumberFormat="1" applyFont="1" applyFill="1" applyBorder="1" applyAlignment="1">
      <alignment horizontal="right"/>
    </xf>
    <xf numFmtId="3" fontId="31" fillId="4" borderId="4" xfId="7" applyNumberFormat="1" applyFont="1" applyFill="1" applyBorder="1" applyAlignment="1">
      <alignment horizontal="right"/>
    </xf>
    <xf numFmtId="3" fontId="31" fillId="4" borderId="11" xfId="7" applyNumberFormat="1" applyFont="1" applyFill="1" applyBorder="1" applyAlignment="1">
      <alignment horizontal="right"/>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4" fontId="31" fillId="4" borderId="3" xfId="7" applyNumberFormat="1" applyFont="1" applyFill="1" applyBorder="1" applyAlignment="1">
      <alignment horizontal="right"/>
    </xf>
    <xf numFmtId="164" fontId="31" fillId="4" borderId="3" xfId="847" applyFont="1" applyFill="1" applyBorder="1" applyAlignment="1">
      <alignment horizontal="right"/>
    </xf>
    <xf numFmtId="3" fontId="31" fillId="4" borderId="3" xfId="7" applyNumberFormat="1" applyFont="1" applyFill="1" applyBorder="1" applyAlignment="1">
      <alignment horizontal="right"/>
    </xf>
    <xf numFmtId="3" fontId="31" fillId="4" borderId="6" xfId="7" applyNumberFormat="1" applyFont="1" applyFill="1" applyBorder="1" applyAlignment="1">
      <alignment horizontal="right"/>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165" fontId="31" fillId="4" borderId="6" xfId="7" applyNumberFormat="1" applyFont="1" applyFill="1" applyBorder="1" applyAlignment="1">
      <alignment horizontal="right"/>
    </xf>
    <xf numFmtId="4" fontId="31" fillId="0" borderId="4" xfId="7" applyNumberFormat="1" applyFont="1" applyBorder="1" applyAlignment="1">
      <alignment horizontal="right"/>
    </xf>
    <xf numFmtId="3" fontId="31" fillId="0" borderId="4" xfId="7" applyNumberFormat="1" applyFont="1" applyBorder="1" applyAlignment="1">
      <alignment horizontal="right"/>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3" fontId="31" fillId="0" borderId="3" xfId="0" applyNumberFormat="1" applyFont="1" applyFill="1" applyBorder="1" applyAlignment="1" applyProtection="1">
      <alignment horizontal="right"/>
      <protection locked="0"/>
    </xf>
    <xf numFmtId="2" fontId="18" fillId="3" borderId="2" xfId="846" applyNumberFormat="1" applyFont="1" applyFill="1" applyBorder="1" applyAlignment="1">
      <alignment horizontal="right"/>
    </xf>
    <xf numFmtId="2" fontId="16" fillId="3" borderId="2" xfId="846" applyNumberFormat="1" applyFont="1" applyFill="1" applyBorder="1" applyAlignment="1">
      <alignment horizontal="right"/>
    </xf>
    <xf numFmtId="171" fontId="16" fillId="3" borderId="3" xfId="846" applyFont="1" applyFill="1" applyBorder="1" applyAlignment="1">
      <alignment horizontal="right"/>
    </xf>
    <xf numFmtId="3" fontId="18" fillId="0" borderId="8" xfId="1" applyNumberFormat="1" applyFont="1" applyFill="1" applyBorder="1"/>
    <xf numFmtId="3" fontId="16" fillId="0" borderId="6" xfId="1" applyNumberFormat="1" applyFont="1" applyFill="1" applyBorder="1"/>
    <xf numFmtId="3" fontId="16" fillId="0" borderId="11" xfId="1" applyNumberFormat="1" applyFont="1" applyFill="1" applyBorder="1"/>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46" fillId="0" borderId="3" xfId="0" quotePrefix="1" applyNumberFormat="1" applyFont="1" applyBorder="1" applyAlignment="1">
      <alignment horizontal="right"/>
    </xf>
    <xf numFmtId="3" fontId="46" fillId="0" borderId="2" xfId="0" quotePrefix="1" applyNumberFormat="1" applyFont="1" applyBorder="1" applyAlignment="1">
      <alignment horizontal="right"/>
    </xf>
    <xf numFmtId="4" fontId="31" fillId="0" borderId="3" xfId="7" applyNumberFormat="1" applyFont="1" applyFill="1" applyBorder="1" applyAlignment="1" applyProtection="1">
      <alignment horizontal="right"/>
      <protection locked="0"/>
    </xf>
    <xf numFmtId="3" fontId="31" fillId="0" borderId="3" xfId="7" applyNumberFormat="1" applyFont="1" applyFill="1" applyBorder="1" applyAlignment="1" applyProtection="1">
      <alignment horizontal="right"/>
      <protection locked="0"/>
    </xf>
    <xf numFmtId="3" fontId="31" fillId="0" borderId="6" xfId="7" applyNumberFormat="1" applyFont="1" applyFill="1" applyBorder="1" applyAlignment="1" applyProtection="1">
      <alignment horizontal="right"/>
      <protection locked="0"/>
    </xf>
    <xf numFmtId="3" fontId="31" fillId="0" borderId="1" xfId="15" applyNumberFormat="1" applyFont="1" applyFill="1" applyBorder="1" applyAlignment="1" applyProtection="1">
      <alignment horizontal="right"/>
    </xf>
    <xf numFmtId="3" fontId="31" fillId="0" borderId="4" xfId="15" applyNumberFormat="1" applyFont="1" applyFill="1" applyBorder="1" applyAlignment="1" applyProtection="1">
      <alignment horizontal="right"/>
    </xf>
    <xf numFmtId="3" fontId="46" fillId="0" borderId="11" xfId="0" applyNumberFormat="1" applyFont="1" applyBorder="1" applyAlignment="1" applyProtection="1">
      <alignment horizontal="right"/>
      <protection locked="0"/>
    </xf>
    <xf numFmtId="3" fontId="31" fillId="4" borderId="6" xfId="0" applyNumberFormat="1" applyFont="1" applyFill="1" applyBorder="1" applyAlignment="1" applyProtection="1">
      <alignment horizontal="right"/>
      <protection locked="0"/>
    </xf>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12"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0" fontId="46" fillId="0" borderId="1" xfId="0" applyFont="1" applyFill="1" applyBorder="1" applyAlignment="1" applyProtection="1">
      <alignment horizontal="center"/>
      <protection locked="0"/>
    </xf>
    <xf numFmtId="0" fontId="46" fillId="0" borderId="14" xfId="0" applyFont="1" applyFill="1" applyBorder="1" applyAlignment="1" applyProtection="1">
      <alignment horizontal="center"/>
      <protection locked="0"/>
    </xf>
    <xf numFmtId="0" fontId="46" fillId="0" borderId="15" xfId="0" applyFont="1" applyFill="1" applyBorder="1" applyAlignment="1" applyProtection="1">
      <alignment horizontal="center"/>
      <protection locked="0"/>
    </xf>
    <xf numFmtId="0" fontId="46" fillId="0" borderId="11" xfId="0" applyFont="1" applyFill="1" applyBorder="1" applyAlignment="1" applyProtection="1">
      <alignment horizontal="center"/>
      <protection locked="0"/>
    </xf>
    <xf numFmtId="0" fontId="46" fillId="0" borderId="12" xfId="0" applyFont="1" applyFill="1" applyBorder="1" applyAlignment="1" applyProtection="1">
      <alignment horizontal="center"/>
      <protection locked="0"/>
    </xf>
    <xf numFmtId="0" fontId="46" fillId="0" borderId="5" xfId="0" applyFont="1" applyFill="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73" fillId="0" borderId="1" xfId="0" applyNumberFormat="1" applyFont="1" applyFill="1" applyBorder="1" applyAlignment="1" applyProtection="1">
      <alignment horizontal="center"/>
      <protection locked="0"/>
    </xf>
    <xf numFmtId="0" fontId="73" fillId="0" borderId="14" xfId="0" applyNumberFormat="1" applyFont="1" applyFill="1" applyBorder="1" applyAlignment="1" applyProtection="1">
      <alignment horizontal="center"/>
      <protection locked="0"/>
    </xf>
    <xf numFmtId="0" fontId="73" fillId="0" borderId="15" xfId="0" applyNumberFormat="1" applyFont="1" applyFill="1" applyBorder="1" applyAlignment="1" applyProtection="1">
      <alignment horizontal="center"/>
      <protection locked="0"/>
    </xf>
    <xf numFmtId="0" fontId="73" fillId="0" borderId="11" xfId="0" applyNumberFormat="1" applyFont="1" applyFill="1" applyBorder="1" applyAlignment="1" applyProtection="1">
      <alignment horizontal="center"/>
      <protection locked="0"/>
    </xf>
    <xf numFmtId="0" fontId="73" fillId="0" borderId="12" xfId="0" applyNumberFormat="1" applyFont="1" applyFill="1" applyBorder="1" applyAlignment="1" applyProtection="1">
      <alignment horizontal="center"/>
      <protection locked="0"/>
    </xf>
    <xf numFmtId="0" fontId="73" fillId="0" borderId="5" xfId="0" applyNumberFormat="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1" xfId="7" applyFont="1" applyFill="1" applyBorder="1" applyAlignment="1" applyProtection="1">
      <alignment horizontal="center"/>
      <protection locked="0"/>
    </xf>
    <xf numFmtId="0" fontId="46" fillId="0" borderId="12" xfId="7" applyFont="1" applyFill="1" applyBorder="1" applyAlignment="1" applyProtection="1">
      <alignment horizontal="center"/>
      <protection locked="0"/>
    </xf>
    <xf numFmtId="0" fontId="46" fillId="0" borderId="5" xfId="7" applyFont="1" applyFill="1" applyBorder="1" applyAlignment="1" applyProtection="1">
      <alignment horizontal="center"/>
      <protection locked="0"/>
    </xf>
    <xf numFmtId="0" fontId="46" fillId="4" borderId="0" xfId="7" applyFont="1" applyFill="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69" fillId="0" borderId="0" xfId="0" applyFont="1" applyAlignment="1">
      <alignment horizontal="left" vertical="top" wrapText="1" readingOrder="1"/>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7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2022</c:v>
                </c:pt>
              </c:strCache>
            </c:strRef>
          </c:tx>
          <c:invertIfNegative val="0"/>
          <c:cat>
            <c:strRef>
              <c:f>Figurer!$L$8:$L$32</c:f>
              <c:strCache>
                <c:ptCount val="25"/>
                <c:pt idx="0">
                  <c:v>Codan Forsikring</c:v>
                </c:pt>
                <c:pt idx="1">
                  <c:v>Danica Pensjon</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Ly Forsikring</c:v>
                </c:pt>
                <c:pt idx="16">
                  <c:v>Nordea Liv</c:v>
                </c:pt>
                <c:pt idx="17">
                  <c:v>OPF</c:v>
                </c:pt>
                <c:pt idx="18">
                  <c:v>Protector Fors</c:v>
                </c:pt>
                <c:pt idx="19">
                  <c:v>SpareBank 1</c:v>
                </c:pt>
                <c:pt idx="20">
                  <c:v>Storebrand </c:v>
                </c:pt>
                <c:pt idx="21">
                  <c:v>Telenor Fors</c:v>
                </c:pt>
                <c:pt idx="22">
                  <c:v>Tryg Fors</c:v>
                </c:pt>
                <c:pt idx="23">
                  <c:v>WaterCircles Fors.</c:v>
                </c:pt>
                <c:pt idx="24">
                  <c:v>Youplus Livsf</c:v>
                </c:pt>
              </c:strCache>
            </c:strRef>
          </c:cat>
          <c:val>
            <c:numRef>
              <c:f>Figurer!$M$8:$M$32</c:f>
              <c:numCache>
                <c:formatCode>#,##0</c:formatCode>
                <c:ptCount val="25"/>
                <c:pt idx="0">
                  <c:v>49378</c:v>
                </c:pt>
                <c:pt idx="1">
                  <c:v>112892.864</c:v>
                </c:pt>
                <c:pt idx="2">
                  <c:v>1241691.2704</c:v>
                </c:pt>
                <c:pt idx="3">
                  <c:v>116603</c:v>
                </c:pt>
                <c:pt idx="4">
                  <c:v>22472</c:v>
                </c:pt>
                <c:pt idx="5">
                  <c:v>867620.14841999998</c:v>
                </c:pt>
                <c:pt idx="6">
                  <c:v>509672</c:v>
                </c:pt>
                <c:pt idx="7">
                  <c:v>6055.442</c:v>
                </c:pt>
                <c:pt idx="8">
                  <c:v>1381871.2850000001</c:v>
                </c:pt>
                <c:pt idx="9">
                  <c:v>254783</c:v>
                </c:pt>
                <c:pt idx="10">
                  <c:v>8764.5190000000002</c:v>
                </c:pt>
                <c:pt idx="11">
                  <c:v>195617.65438259998</c:v>
                </c:pt>
                <c:pt idx="12">
                  <c:v>7118708.5350500001</c:v>
                </c:pt>
                <c:pt idx="13">
                  <c:v>182893.26199999999</c:v>
                </c:pt>
                <c:pt idx="14">
                  <c:v>18594</c:v>
                </c:pt>
                <c:pt idx="15">
                  <c:v>0</c:v>
                </c:pt>
                <c:pt idx="16">
                  <c:v>636134.2522279151</c:v>
                </c:pt>
                <c:pt idx="17">
                  <c:v>1184750</c:v>
                </c:pt>
                <c:pt idx="18">
                  <c:v>216669.42148958714</c:v>
                </c:pt>
                <c:pt idx="19">
                  <c:v>264029.16310000001</c:v>
                </c:pt>
                <c:pt idx="20">
                  <c:v>2162321.1750000003</c:v>
                </c:pt>
                <c:pt idx="21">
                  <c:v>319</c:v>
                </c:pt>
                <c:pt idx="22">
                  <c:v>546669.5</c:v>
                </c:pt>
                <c:pt idx="23">
                  <c:v>2114</c:v>
                </c:pt>
                <c:pt idx="24">
                  <c:v>868</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2023</c:v>
                </c:pt>
              </c:strCache>
            </c:strRef>
          </c:tx>
          <c:invertIfNegative val="0"/>
          <c:cat>
            <c:strRef>
              <c:f>Figurer!$L$8:$L$32</c:f>
              <c:strCache>
                <c:ptCount val="25"/>
                <c:pt idx="0">
                  <c:v>Codan Forsikring</c:v>
                </c:pt>
                <c:pt idx="1">
                  <c:v>Danica Pensjon</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Ly Forsikring</c:v>
                </c:pt>
                <c:pt idx="16">
                  <c:v>Nordea Liv</c:v>
                </c:pt>
                <c:pt idx="17">
                  <c:v>OPF</c:v>
                </c:pt>
                <c:pt idx="18">
                  <c:v>Protector Fors</c:v>
                </c:pt>
                <c:pt idx="19">
                  <c:v>SpareBank 1</c:v>
                </c:pt>
                <c:pt idx="20">
                  <c:v>Storebrand </c:v>
                </c:pt>
                <c:pt idx="21">
                  <c:v>Telenor Fors</c:v>
                </c:pt>
                <c:pt idx="22">
                  <c:v>Tryg Fors</c:v>
                </c:pt>
                <c:pt idx="23">
                  <c:v>WaterCircles Fors.</c:v>
                </c:pt>
                <c:pt idx="24">
                  <c:v>Youplus Livsf</c:v>
                </c:pt>
              </c:strCache>
            </c:strRef>
          </c:cat>
          <c:val>
            <c:numRef>
              <c:f>Figurer!$N$8:$N$32</c:f>
              <c:numCache>
                <c:formatCode>#,##0</c:formatCode>
                <c:ptCount val="25"/>
                <c:pt idx="0">
                  <c:v>0</c:v>
                </c:pt>
                <c:pt idx="1">
                  <c:v>0</c:v>
                </c:pt>
                <c:pt idx="2">
                  <c:v>1174839.7120000001</c:v>
                </c:pt>
                <c:pt idx="3">
                  <c:v>189579</c:v>
                </c:pt>
                <c:pt idx="4">
                  <c:v>36616</c:v>
                </c:pt>
                <c:pt idx="5">
                  <c:v>931757.56291999994</c:v>
                </c:pt>
                <c:pt idx="6">
                  <c:v>561739</c:v>
                </c:pt>
                <c:pt idx="7">
                  <c:v>6113.049</c:v>
                </c:pt>
                <c:pt idx="8">
                  <c:v>1505481.132</c:v>
                </c:pt>
                <c:pt idx="9">
                  <c:v>291293</c:v>
                </c:pt>
                <c:pt idx="10">
                  <c:v>0</c:v>
                </c:pt>
                <c:pt idx="11">
                  <c:v>224595.87164857</c:v>
                </c:pt>
                <c:pt idx="12">
                  <c:v>7553784.4308399996</c:v>
                </c:pt>
                <c:pt idx="13">
                  <c:v>193468.31199999998</c:v>
                </c:pt>
                <c:pt idx="14">
                  <c:v>20027</c:v>
                </c:pt>
                <c:pt idx="15">
                  <c:v>12079</c:v>
                </c:pt>
                <c:pt idx="16">
                  <c:v>690329.4997849986</c:v>
                </c:pt>
                <c:pt idx="17">
                  <c:v>1068666.4779999999</c:v>
                </c:pt>
                <c:pt idx="18">
                  <c:v>255125.81038457406</c:v>
                </c:pt>
                <c:pt idx="19">
                  <c:v>269626.87029000005</c:v>
                </c:pt>
                <c:pt idx="20">
                  <c:v>2787293.2384699997</c:v>
                </c:pt>
                <c:pt idx="21">
                  <c:v>1972</c:v>
                </c:pt>
                <c:pt idx="22">
                  <c:v>685373.375</c:v>
                </c:pt>
                <c:pt idx="23">
                  <c:v>2003</c:v>
                </c:pt>
                <c:pt idx="24">
                  <c:v>1558</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2022</c:v>
                </c:pt>
              </c:strCache>
            </c:strRef>
          </c:tx>
          <c:invertIfNegative val="0"/>
          <c:cat>
            <c:strRef>
              <c:extLst>
                <c:ext xmlns:c15="http://schemas.microsoft.com/office/drawing/2012/chart" uri="{02D57815-91ED-43cb-92C2-25804820EDAC}">
                  <c15:fullRef>
                    <c15:sqref>Figurer!$L$37:$L$45</c15:sqref>
                  </c15:fullRef>
                </c:ext>
              </c:extLst>
              <c:f>(Figurer!$L$37:$L$38,Figurer!$L$40:$L$45)</c:f>
              <c:strCache>
                <c:ptCount val="8"/>
                <c:pt idx="0">
                  <c:v>Danica Pensjon</c:v>
                </c:pt>
                <c:pt idx="1">
                  <c:v>DNB Liv</c:v>
                </c:pt>
                <c:pt idx="2">
                  <c:v>Gjensidige Pensj</c:v>
                </c:pt>
                <c:pt idx="3">
                  <c:v>KLP</c:v>
                </c:pt>
                <c:pt idx="4">
                  <c:v>Nordea Liv</c:v>
                </c:pt>
                <c:pt idx="5">
                  <c:v>SHB Liv</c:v>
                </c:pt>
                <c:pt idx="6">
                  <c:v>SpareBank 1</c:v>
                </c:pt>
                <c:pt idx="7">
                  <c:v>Storebrand</c:v>
                </c:pt>
              </c:strCache>
            </c:strRef>
          </c:cat>
          <c:val>
            <c:numRef>
              <c:extLst>
                <c:ext xmlns:c15="http://schemas.microsoft.com/office/drawing/2012/chart" uri="{02D57815-91ED-43cb-92C2-25804820EDAC}">
                  <c15:fullRef>
                    <c15:sqref>Figurer!$M$37:$M$45</c15:sqref>
                  </c15:fullRef>
                </c:ext>
              </c:extLst>
              <c:f>(Figurer!$M$37:$M$38,Figurer!$M$40:$M$45)</c:f>
              <c:numCache>
                <c:formatCode>#,##0</c:formatCode>
                <c:ptCount val="8"/>
                <c:pt idx="0">
                  <c:v>614205.69200000004</c:v>
                </c:pt>
                <c:pt idx="1">
                  <c:v>2905848.0100999996</c:v>
                </c:pt>
                <c:pt idx="2">
                  <c:v>1002999</c:v>
                </c:pt>
                <c:pt idx="3">
                  <c:v>7778.8180000000002</c:v>
                </c:pt>
                <c:pt idx="4">
                  <c:v>4270850.2935300004</c:v>
                </c:pt>
                <c:pt idx="5">
                  <c:v>31910.574619999999</c:v>
                </c:pt>
                <c:pt idx="6">
                  <c:v>1509638.1021500002</c:v>
                </c:pt>
                <c:pt idx="7">
                  <c:v>3267123.5039999997</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2023</c:v>
                </c:pt>
              </c:strCache>
            </c:strRef>
          </c:tx>
          <c:invertIfNegative val="0"/>
          <c:cat>
            <c:strRef>
              <c:extLst>
                <c:ext xmlns:c15="http://schemas.microsoft.com/office/drawing/2012/chart" uri="{02D57815-91ED-43cb-92C2-25804820EDAC}">
                  <c15:fullRef>
                    <c15:sqref>Figurer!$L$37:$L$45</c15:sqref>
                  </c15:fullRef>
                </c:ext>
              </c:extLst>
              <c:f>(Figurer!$L$37:$L$38,Figurer!$L$40:$L$45)</c:f>
              <c:strCache>
                <c:ptCount val="8"/>
                <c:pt idx="0">
                  <c:v>Danica Pensjon</c:v>
                </c:pt>
                <c:pt idx="1">
                  <c:v>DNB Liv</c:v>
                </c:pt>
                <c:pt idx="2">
                  <c:v>Gjensidige Pensj</c:v>
                </c:pt>
                <c:pt idx="3">
                  <c:v>KLP</c:v>
                </c:pt>
                <c:pt idx="4">
                  <c:v>Nordea Liv</c:v>
                </c:pt>
                <c:pt idx="5">
                  <c:v>SHB Liv</c:v>
                </c:pt>
                <c:pt idx="6">
                  <c:v>SpareBank 1</c:v>
                </c:pt>
                <c:pt idx="7">
                  <c:v>Storebrand</c:v>
                </c:pt>
              </c:strCache>
            </c:strRef>
          </c:cat>
          <c:val>
            <c:numRef>
              <c:extLst>
                <c:ext xmlns:c15="http://schemas.microsoft.com/office/drawing/2012/chart" uri="{02D57815-91ED-43cb-92C2-25804820EDAC}">
                  <c15:fullRef>
                    <c15:sqref>Figurer!$N$37:$N$45</c15:sqref>
                  </c15:fullRef>
                </c:ext>
              </c:extLst>
              <c:f>(Figurer!$N$37:$N$38,Figurer!$N$40:$N$45)</c:f>
              <c:numCache>
                <c:formatCode>#,##0</c:formatCode>
                <c:ptCount val="8"/>
                <c:pt idx="0">
                  <c:v>0</c:v>
                </c:pt>
                <c:pt idx="1">
                  <c:v>3430435.716</c:v>
                </c:pt>
                <c:pt idx="2">
                  <c:v>1416253</c:v>
                </c:pt>
                <c:pt idx="3">
                  <c:v>18550.222000000002</c:v>
                </c:pt>
                <c:pt idx="4">
                  <c:v>4065856.8543600002</c:v>
                </c:pt>
                <c:pt idx="5">
                  <c:v>0</c:v>
                </c:pt>
                <c:pt idx="6">
                  <c:v>1726963.1864399998</c:v>
                </c:pt>
                <c:pt idx="7">
                  <c:v>4395415.7059800001</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Figurer!$M$56</c:f>
              <c:strCache>
                <c:ptCount val="1"/>
                <c:pt idx="0">
                  <c:v>2022</c:v>
                </c:pt>
              </c:strCache>
            </c:strRef>
          </c:tx>
          <c:invertIfNegative val="0"/>
          <c:cat>
            <c:strRef>
              <c:f>Figurer!$L$57:$L$79</c:f>
              <c:strCache>
                <c:ptCount val="23"/>
                <c:pt idx="0">
                  <c:v>Codan Forsikring</c:v>
                </c:pt>
                <c:pt idx="1">
                  <c:v>Danica Pensjon</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SpareBank 1</c:v>
                </c:pt>
                <c:pt idx="18">
                  <c:v>Storebrand </c:v>
                </c:pt>
                <c:pt idx="19">
                  <c:v>Telenor Forsikring</c:v>
                </c:pt>
                <c:pt idx="20">
                  <c:v>Tryg Forsikring</c:v>
                </c:pt>
                <c:pt idx="21">
                  <c:v>WaterCicles Fors.</c:v>
                </c:pt>
                <c:pt idx="22">
                  <c:v>Youplus Livsf</c:v>
                </c:pt>
              </c:strCache>
            </c:strRef>
          </c:cat>
          <c:val>
            <c:numRef>
              <c:f>Figurer!$M$57:$M$79</c:f>
              <c:numCache>
                <c:formatCode>#,##0</c:formatCode>
                <c:ptCount val="23"/>
                <c:pt idx="0">
                  <c:v>0</c:v>
                </c:pt>
                <c:pt idx="1">
                  <c:v>1381543.8390000002</c:v>
                </c:pt>
                <c:pt idx="2">
                  <c:v>192614629.3415657</c:v>
                </c:pt>
                <c:pt idx="3">
                  <c:v>0</c:v>
                </c:pt>
                <c:pt idx="4">
                  <c:v>0</c:v>
                </c:pt>
                <c:pt idx="5">
                  <c:v>4438692.9528400004</c:v>
                </c:pt>
                <c:pt idx="6">
                  <c:v>1439347</c:v>
                </c:pt>
                <c:pt idx="7">
                  <c:v>0</c:v>
                </c:pt>
                <c:pt idx="8">
                  <c:v>8469814</c:v>
                </c:pt>
                <c:pt idx="9">
                  <c:v>22760.624</c:v>
                </c:pt>
                <c:pt idx="10">
                  <c:v>0</c:v>
                </c:pt>
                <c:pt idx="11">
                  <c:v>641185711.48478997</c:v>
                </c:pt>
                <c:pt idx="12">
                  <c:v>84130.56700000001</c:v>
                </c:pt>
                <c:pt idx="13">
                  <c:v>0</c:v>
                </c:pt>
                <c:pt idx="14">
                  <c:v>0</c:v>
                </c:pt>
                <c:pt idx="15">
                  <c:v>56075290.000025906</c:v>
                </c:pt>
                <c:pt idx="16">
                  <c:v>82039593</c:v>
                </c:pt>
                <c:pt idx="17">
                  <c:v>20731745.61747</c:v>
                </c:pt>
                <c:pt idx="18">
                  <c:v>200579203.15599999</c:v>
                </c:pt>
                <c:pt idx="19">
                  <c:v>0</c:v>
                </c:pt>
                <c:pt idx="20">
                  <c:v>0</c:v>
                </c:pt>
                <c:pt idx="21">
                  <c:v>0</c:v>
                </c:pt>
                <c:pt idx="22">
                  <c:v>837</c:v>
                </c:pt>
              </c:numCache>
            </c:numRef>
          </c:val>
          <c:extLst>
            <c:ext xmlns:c16="http://schemas.microsoft.com/office/drawing/2014/chart" uri="{C3380CC4-5D6E-409C-BE32-E72D297353CC}">
              <c16:uniqueId val="{00000000-F5D7-4882-A9B6-45C2F0317A05}"/>
            </c:ext>
          </c:extLst>
        </c:ser>
        <c:ser>
          <c:idx val="1"/>
          <c:order val="1"/>
          <c:tx>
            <c:strRef>
              <c:f>Figurer!$N$56</c:f>
              <c:strCache>
                <c:ptCount val="1"/>
                <c:pt idx="0">
                  <c:v>2023</c:v>
                </c:pt>
              </c:strCache>
            </c:strRef>
          </c:tx>
          <c:invertIfNegative val="0"/>
          <c:cat>
            <c:strRef>
              <c:f>Figurer!$L$57:$L$79</c:f>
              <c:strCache>
                <c:ptCount val="23"/>
                <c:pt idx="0">
                  <c:v>Codan Forsikring</c:v>
                </c:pt>
                <c:pt idx="1">
                  <c:v>Danica Pensjon</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SpareBank 1</c:v>
                </c:pt>
                <c:pt idx="18">
                  <c:v>Storebrand </c:v>
                </c:pt>
                <c:pt idx="19">
                  <c:v>Telenor Forsikring</c:v>
                </c:pt>
                <c:pt idx="20">
                  <c:v>Tryg Forsikring</c:v>
                </c:pt>
                <c:pt idx="21">
                  <c:v>WaterCicles Fors.</c:v>
                </c:pt>
                <c:pt idx="22">
                  <c:v>Youplus Livsf</c:v>
                </c:pt>
              </c:strCache>
            </c:strRef>
          </c:cat>
          <c:val>
            <c:numRef>
              <c:f>Figurer!$N$57:$N$79</c:f>
              <c:numCache>
                <c:formatCode>#,##0</c:formatCode>
                <c:ptCount val="23"/>
                <c:pt idx="0">
                  <c:v>0</c:v>
                </c:pt>
                <c:pt idx="1">
                  <c:v>0</c:v>
                </c:pt>
                <c:pt idx="2">
                  <c:v>185707519.94522351</c:v>
                </c:pt>
                <c:pt idx="3">
                  <c:v>0</c:v>
                </c:pt>
                <c:pt idx="4">
                  <c:v>0</c:v>
                </c:pt>
                <c:pt idx="5">
                  <c:v>4951045.9075499997</c:v>
                </c:pt>
                <c:pt idx="6">
                  <c:v>1734604</c:v>
                </c:pt>
                <c:pt idx="7">
                  <c:v>0</c:v>
                </c:pt>
                <c:pt idx="8">
                  <c:v>9094615</c:v>
                </c:pt>
                <c:pt idx="9">
                  <c:v>0</c:v>
                </c:pt>
                <c:pt idx="10">
                  <c:v>0</c:v>
                </c:pt>
                <c:pt idx="11">
                  <c:v>665564510.55555999</c:v>
                </c:pt>
                <c:pt idx="12">
                  <c:v>114338.397</c:v>
                </c:pt>
                <c:pt idx="13">
                  <c:v>0</c:v>
                </c:pt>
                <c:pt idx="14">
                  <c:v>0</c:v>
                </c:pt>
                <c:pt idx="15">
                  <c:v>54987610.000009887</c:v>
                </c:pt>
                <c:pt idx="16">
                  <c:v>88090907</c:v>
                </c:pt>
                <c:pt idx="17">
                  <c:v>19424412.876610003</c:v>
                </c:pt>
                <c:pt idx="18">
                  <c:v>201474818.16530001</c:v>
                </c:pt>
                <c:pt idx="19">
                  <c:v>0</c:v>
                </c:pt>
                <c:pt idx="20">
                  <c:v>0</c:v>
                </c:pt>
                <c:pt idx="21">
                  <c:v>0</c:v>
                </c:pt>
                <c:pt idx="22">
                  <c:v>7107</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Figurer!$M$83</c:f>
              <c:strCache>
                <c:ptCount val="1"/>
                <c:pt idx="0">
                  <c:v>2022</c:v>
                </c:pt>
              </c:strCache>
            </c:strRef>
          </c:tx>
          <c:invertIfNegative val="0"/>
          <c:cat>
            <c:strRef>
              <c:extLst>
                <c:ext xmlns:c15="http://schemas.microsoft.com/office/drawing/2012/chart" uri="{02D57815-91ED-43cb-92C2-25804820EDAC}">
                  <c15:fullRef>
                    <c15:sqref>Figurer!$L$84:$L$92</c15:sqref>
                  </c15:fullRef>
                </c:ext>
              </c:extLst>
              <c:f>(Figurer!$L$84:$L$85,Figurer!$L$87:$L$92)</c:f>
              <c:strCache>
                <c:ptCount val="8"/>
                <c:pt idx="0">
                  <c:v>Danica Pensjon</c:v>
                </c:pt>
                <c:pt idx="1">
                  <c:v>DNB Liv</c:v>
                </c:pt>
                <c:pt idx="2">
                  <c:v>Gjensidige Pensj</c:v>
                </c:pt>
                <c:pt idx="3">
                  <c:v>KLP</c:v>
                </c:pt>
                <c:pt idx="4">
                  <c:v>Nordea Liv</c:v>
                </c:pt>
                <c:pt idx="5">
                  <c:v>SHB Liv</c:v>
                </c:pt>
                <c:pt idx="6">
                  <c:v>SpareBank 1</c:v>
                </c:pt>
                <c:pt idx="7">
                  <c:v>Storebrand</c:v>
                </c:pt>
              </c:strCache>
            </c:strRef>
          </c:cat>
          <c:val>
            <c:numRef>
              <c:extLst>
                <c:ext xmlns:c15="http://schemas.microsoft.com/office/drawing/2012/chart" uri="{02D57815-91ED-43cb-92C2-25804820EDAC}">
                  <c15:fullRef>
                    <c15:sqref>Figurer!$M$84:$M$92</c15:sqref>
                  </c15:fullRef>
                </c:ext>
              </c:extLst>
              <c:f>(Figurer!$M$84:$M$85,Figurer!$M$87:$M$92)</c:f>
              <c:numCache>
                <c:formatCode>#,##0</c:formatCode>
                <c:ptCount val="8"/>
                <c:pt idx="0">
                  <c:v>28240109.531000003</c:v>
                </c:pt>
                <c:pt idx="1">
                  <c:v>137360760.34</c:v>
                </c:pt>
                <c:pt idx="2">
                  <c:v>42719338</c:v>
                </c:pt>
                <c:pt idx="3">
                  <c:v>2847329.1389299999</c:v>
                </c:pt>
                <c:pt idx="4">
                  <c:v>122540880</c:v>
                </c:pt>
                <c:pt idx="5">
                  <c:v>2929926.8749500001</c:v>
                </c:pt>
                <c:pt idx="6">
                  <c:v>55349782.673019998</c:v>
                </c:pt>
                <c:pt idx="7">
                  <c:v>154175707.56736001</c:v>
                </c:pt>
              </c:numCache>
            </c:numRef>
          </c:val>
          <c:extLst>
            <c:ext xmlns:c16="http://schemas.microsoft.com/office/drawing/2014/chart" uri="{C3380CC4-5D6E-409C-BE32-E72D297353CC}">
              <c16:uniqueId val="{00000000-62B1-4395-80F9-424B1553CC96}"/>
            </c:ext>
          </c:extLst>
        </c:ser>
        <c:ser>
          <c:idx val="1"/>
          <c:order val="1"/>
          <c:tx>
            <c:strRef>
              <c:f>Figurer!$N$83</c:f>
              <c:strCache>
                <c:ptCount val="1"/>
                <c:pt idx="0">
                  <c:v>2023</c:v>
                </c:pt>
              </c:strCache>
            </c:strRef>
          </c:tx>
          <c:invertIfNegative val="0"/>
          <c:cat>
            <c:strRef>
              <c:extLst>
                <c:ext xmlns:c15="http://schemas.microsoft.com/office/drawing/2012/chart" uri="{02D57815-91ED-43cb-92C2-25804820EDAC}">
                  <c15:fullRef>
                    <c15:sqref>Figurer!$L$84:$L$92</c15:sqref>
                  </c15:fullRef>
                </c:ext>
              </c:extLst>
              <c:f>(Figurer!$L$84:$L$85,Figurer!$L$87:$L$92)</c:f>
              <c:strCache>
                <c:ptCount val="8"/>
                <c:pt idx="0">
                  <c:v>Danica Pensjon</c:v>
                </c:pt>
                <c:pt idx="1">
                  <c:v>DNB Liv</c:v>
                </c:pt>
                <c:pt idx="2">
                  <c:v>Gjensidige Pensj</c:v>
                </c:pt>
                <c:pt idx="3">
                  <c:v>KLP</c:v>
                </c:pt>
                <c:pt idx="4">
                  <c:v>Nordea Liv</c:v>
                </c:pt>
                <c:pt idx="5">
                  <c:v>SHB Liv</c:v>
                </c:pt>
                <c:pt idx="6">
                  <c:v>SpareBank 1</c:v>
                </c:pt>
                <c:pt idx="7">
                  <c:v>Storebrand</c:v>
                </c:pt>
              </c:strCache>
            </c:strRef>
          </c:cat>
          <c:val>
            <c:numRef>
              <c:extLst>
                <c:ext xmlns:c15="http://schemas.microsoft.com/office/drawing/2012/chart" uri="{02D57815-91ED-43cb-92C2-25804820EDAC}">
                  <c15:fullRef>
                    <c15:sqref>Figurer!$N$84:$N$92</c15:sqref>
                  </c15:fullRef>
                </c:ext>
              </c:extLst>
              <c:f>(Figurer!$N$84:$N$85,Figurer!$N$87:$N$92)</c:f>
              <c:numCache>
                <c:formatCode>#,##0</c:formatCode>
                <c:ptCount val="8"/>
                <c:pt idx="0">
                  <c:v>0</c:v>
                </c:pt>
                <c:pt idx="1">
                  <c:v>146459867.64199999</c:v>
                </c:pt>
                <c:pt idx="2">
                  <c:v>51422836</c:v>
                </c:pt>
                <c:pt idx="3">
                  <c:v>2609059.09693</c:v>
                </c:pt>
                <c:pt idx="4">
                  <c:v>126457560</c:v>
                </c:pt>
                <c:pt idx="5">
                  <c:v>0</c:v>
                </c:pt>
                <c:pt idx="6">
                  <c:v>60413574.038189903</c:v>
                </c:pt>
                <c:pt idx="7">
                  <c:v>191251233.176</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Figurer!$M$108</c:f>
              <c:strCache>
                <c:ptCount val="1"/>
                <c:pt idx="0">
                  <c:v>2022</c:v>
                </c:pt>
              </c:strCache>
            </c:strRef>
          </c:tx>
          <c:invertIfNegative val="0"/>
          <c:cat>
            <c:strRef>
              <c:f>Figurer!$L$109:$L$115</c:f>
              <c:strCache>
                <c:ptCount val="7"/>
                <c:pt idx="0">
                  <c:v>Danica Pensjon</c:v>
                </c:pt>
                <c:pt idx="1">
                  <c:v>DNB Liv</c:v>
                </c:pt>
                <c:pt idx="2">
                  <c:v>Gjensidige Pensj</c:v>
                </c:pt>
                <c:pt idx="3">
                  <c:v>KLP</c:v>
                </c:pt>
                <c:pt idx="4">
                  <c:v>Nordea Liv</c:v>
                </c:pt>
                <c:pt idx="5">
                  <c:v>SpareBank 1</c:v>
                </c:pt>
                <c:pt idx="6">
                  <c:v>Storebrand </c:v>
                </c:pt>
              </c:strCache>
            </c:strRef>
          </c:cat>
          <c:val>
            <c:numRef>
              <c:f>Figurer!$M$109:$M$115</c:f>
              <c:numCache>
                <c:formatCode>#,##0</c:formatCode>
                <c:ptCount val="7"/>
                <c:pt idx="0">
                  <c:v>-3752.9429999999998</c:v>
                </c:pt>
                <c:pt idx="1">
                  <c:v>47572.901669999992</c:v>
                </c:pt>
                <c:pt idx="2">
                  <c:v>24480</c:v>
                </c:pt>
                <c:pt idx="3">
                  <c:v>-4875400.2249999996</c:v>
                </c:pt>
                <c:pt idx="4">
                  <c:v>-700.25171000010005</c:v>
                </c:pt>
                <c:pt idx="5">
                  <c:v>-188515.81315</c:v>
                </c:pt>
                <c:pt idx="6">
                  <c:v>3263672.068</c:v>
                </c:pt>
              </c:numCache>
            </c:numRef>
          </c:val>
          <c:extLst>
            <c:ext xmlns:c16="http://schemas.microsoft.com/office/drawing/2014/chart" uri="{C3380CC4-5D6E-409C-BE32-E72D297353CC}">
              <c16:uniqueId val="{00000000-2BF8-4278-857F-91A0E7196849}"/>
            </c:ext>
          </c:extLst>
        </c:ser>
        <c:ser>
          <c:idx val="1"/>
          <c:order val="1"/>
          <c:tx>
            <c:strRef>
              <c:f>Figurer!$N$108</c:f>
              <c:strCache>
                <c:ptCount val="1"/>
                <c:pt idx="0">
                  <c:v>2023</c:v>
                </c:pt>
              </c:strCache>
            </c:strRef>
          </c:tx>
          <c:invertIfNegative val="0"/>
          <c:cat>
            <c:strRef>
              <c:f>Figurer!$L$109:$L$115</c:f>
              <c:strCache>
                <c:ptCount val="7"/>
                <c:pt idx="0">
                  <c:v>Danica Pensjon</c:v>
                </c:pt>
                <c:pt idx="1">
                  <c:v>DNB Liv</c:v>
                </c:pt>
                <c:pt idx="2">
                  <c:v>Gjensidige Pensj</c:v>
                </c:pt>
                <c:pt idx="3">
                  <c:v>KLP</c:v>
                </c:pt>
                <c:pt idx="4">
                  <c:v>Nordea Liv</c:v>
                </c:pt>
                <c:pt idx="5">
                  <c:v>SpareBank 1</c:v>
                </c:pt>
                <c:pt idx="6">
                  <c:v>Storebrand </c:v>
                </c:pt>
              </c:strCache>
            </c:strRef>
          </c:cat>
          <c:val>
            <c:numRef>
              <c:f>Figurer!$N$109:$N$115</c:f>
              <c:numCache>
                <c:formatCode>#,##0</c:formatCode>
                <c:ptCount val="7"/>
                <c:pt idx="0">
                  <c:v>0</c:v>
                </c:pt>
                <c:pt idx="1">
                  <c:v>46187</c:v>
                </c:pt>
                <c:pt idx="2">
                  <c:v>36306</c:v>
                </c:pt>
                <c:pt idx="3">
                  <c:v>-2034368.132</c:v>
                </c:pt>
                <c:pt idx="4">
                  <c:v>-1911.31200000015</c:v>
                </c:pt>
                <c:pt idx="5">
                  <c:v>-25785.912479999999</c:v>
                </c:pt>
                <c:pt idx="6">
                  <c:v>819261.93400000001</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Figurer!$M$131</c:f>
              <c:strCache>
                <c:ptCount val="1"/>
                <c:pt idx="0">
                  <c:v>2022</c:v>
                </c:pt>
              </c:strCache>
            </c:strRef>
          </c:tx>
          <c:invertIfNegative val="0"/>
          <c:cat>
            <c:strRef>
              <c:extLst>
                <c:ext xmlns:c15="http://schemas.microsoft.com/office/drawing/2012/chart" uri="{02D57815-91ED-43cb-92C2-25804820EDAC}">
                  <c15:fullRef>
                    <c15:sqref>Figurer!$L$132:$L$140</c15:sqref>
                  </c15:fullRef>
                </c:ext>
              </c:extLst>
              <c:f>(Figurer!$L$132:$L$133,Figurer!$L$135:$L$140)</c:f>
              <c:strCache>
                <c:ptCount val="8"/>
                <c:pt idx="0">
                  <c:v>Danica Pensjon</c:v>
                </c:pt>
                <c:pt idx="1">
                  <c:v>DNB Liv</c:v>
                </c:pt>
                <c:pt idx="2">
                  <c:v>Gjensidige Pensj</c:v>
                </c:pt>
                <c:pt idx="3">
                  <c:v>KLP</c:v>
                </c:pt>
                <c:pt idx="4">
                  <c:v>Nordea Liv</c:v>
                </c:pt>
                <c:pt idx="5">
                  <c:v>SHB Liv</c:v>
                </c:pt>
                <c:pt idx="6">
                  <c:v>SpareBank 1</c:v>
                </c:pt>
                <c:pt idx="7">
                  <c:v>Storebrand</c:v>
                </c:pt>
              </c:strCache>
            </c:strRef>
          </c:cat>
          <c:val>
            <c:numRef>
              <c:extLst>
                <c:ext xmlns:c15="http://schemas.microsoft.com/office/drawing/2012/chart" uri="{02D57815-91ED-43cb-92C2-25804820EDAC}">
                  <c15:fullRef>
                    <c15:sqref>Figurer!$M$132:$M$140</c15:sqref>
                  </c15:fullRef>
                </c:ext>
              </c:extLst>
              <c:f>(Figurer!$M$132:$M$133,Figurer!$M$135:$M$140)</c:f>
              <c:numCache>
                <c:formatCode>#,##0</c:formatCode>
                <c:ptCount val="8"/>
                <c:pt idx="0">
                  <c:v>-126546.37900000007</c:v>
                </c:pt>
                <c:pt idx="1">
                  <c:v>102521.86899999995</c:v>
                </c:pt>
                <c:pt idx="2">
                  <c:v>455446</c:v>
                </c:pt>
                <c:pt idx="3">
                  <c:v>376440.52899999998</c:v>
                </c:pt>
                <c:pt idx="4">
                  <c:v>571331.03287999984</c:v>
                </c:pt>
                <c:pt idx="5">
                  <c:v>-13926.680469999999</c:v>
                </c:pt>
                <c:pt idx="6">
                  <c:v>219966.44219000009</c:v>
                </c:pt>
                <c:pt idx="7">
                  <c:v>-1778807.6339999996</c:v>
                </c:pt>
              </c:numCache>
            </c:numRef>
          </c:val>
          <c:extLst>
            <c:ext xmlns:c16="http://schemas.microsoft.com/office/drawing/2014/chart" uri="{C3380CC4-5D6E-409C-BE32-E72D297353CC}">
              <c16:uniqueId val="{00000000-B400-4C26-965B-0553A4A37873}"/>
            </c:ext>
          </c:extLst>
        </c:ser>
        <c:ser>
          <c:idx val="1"/>
          <c:order val="1"/>
          <c:tx>
            <c:strRef>
              <c:f>Figurer!$N$131</c:f>
              <c:strCache>
                <c:ptCount val="1"/>
                <c:pt idx="0">
                  <c:v>2023</c:v>
                </c:pt>
              </c:strCache>
            </c:strRef>
          </c:tx>
          <c:invertIfNegative val="0"/>
          <c:cat>
            <c:strRef>
              <c:extLst>
                <c:ext xmlns:c15="http://schemas.microsoft.com/office/drawing/2012/chart" uri="{02D57815-91ED-43cb-92C2-25804820EDAC}">
                  <c15:fullRef>
                    <c15:sqref>Figurer!$L$132:$L$140</c15:sqref>
                  </c15:fullRef>
                </c:ext>
              </c:extLst>
              <c:f>(Figurer!$L$132:$L$133,Figurer!$L$135:$L$140)</c:f>
              <c:strCache>
                <c:ptCount val="8"/>
                <c:pt idx="0">
                  <c:v>Danica Pensjon</c:v>
                </c:pt>
                <c:pt idx="1">
                  <c:v>DNB Liv</c:v>
                </c:pt>
                <c:pt idx="2">
                  <c:v>Gjensidige Pensj</c:v>
                </c:pt>
                <c:pt idx="3">
                  <c:v>KLP</c:v>
                </c:pt>
                <c:pt idx="4">
                  <c:v>Nordea Liv</c:v>
                </c:pt>
                <c:pt idx="5">
                  <c:v>SHB Liv</c:v>
                </c:pt>
                <c:pt idx="6">
                  <c:v>SpareBank 1</c:v>
                </c:pt>
                <c:pt idx="7">
                  <c:v>Storebrand</c:v>
                </c:pt>
              </c:strCache>
            </c:strRef>
          </c:cat>
          <c:val>
            <c:numRef>
              <c:extLst>
                <c:ext xmlns:c15="http://schemas.microsoft.com/office/drawing/2012/chart" uri="{02D57815-91ED-43cb-92C2-25804820EDAC}">
                  <c15:fullRef>
                    <c15:sqref>Figurer!$N$132:$N$140</c15:sqref>
                  </c15:fullRef>
                </c:ext>
              </c:extLst>
              <c:f>(Figurer!$N$132:$N$133,Figurer!$N$135:$N$140)</c:f>
              <c:numCache>
                <c:formatCode>#,##0</c:formatCode>
                <c:ptCount val="8"/>
                <c:pt idx="0">
                  <c:v>0</c:v>
                </c:pt>
                <c:pt idx="1">
                  <c:v>-951646</c:v>
                </c:pt>
                <c:pt idx="2">
                  <c:v>1621849</c:v>
                </c:pt>
                <c:pt idx="3">
                  <c:v>0</c:v>
                </c:pt>
                <c:pt idx="4">
                  <c:v>-618652.85990000004</c:v>
                </c:pt>
                <c:pt idx="5">
                  <c:v>0</c:v>
                </c:pt>
                <c:pt idx="6">
                  <c:v>-493333.32088000001</c:v>
                </c:pt>
                <c:pt idx="7">
                  <c:v>-297882.16838000016</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2023 </a:t>
          </a:r>
          <a:r>
            <a:rPr lang="nb-NO" sz="1100" b="0">
              <a:effectLst/>
              <a:latin typeface="Arial"/>
              <a:ea typeface="ＭＳ 明朝"/>
              <a:cs typeface="Times New Roman"/>
            </a:rPr>
            <a:t>(06.06.2023)</a:t>
          </a:r>
          <a:r>
            <a:rPr lang="nb-NO" sz="1600" b="1">
              <a:effectLst/>
              <a:latin typeface="Arial"/>
              <a:ea typeface="ＭＳ 明朝"/>
              <a:cs typeface="Times New Roman"/>
            </a:rPr>
            <a:t> </a:t>
          </a:r>
        </a:p>
        <a:p>
          <a:pPr>
            <a:spcAft>
              <a:spcPts val="0"/>
            </a:spcAft>
          </a:pPr>
          <a:endParaRPr lang="nb-NO" sz="1600" b="1">
            <a:effectLst/>
            <a:latin typeface="Arial"/>
            <a:ea typeface="ＭＳ 明朝"/>
            <a:cs typeface="Times New Roman"/>
          </a:endParaRPr>
        </a:p>
        <a:p>
          <a:pPr>
            <a:spcAft>
              <a:spcPts val="0"/>
            </a:spcAft>
          </a:pPr>
          <a:r>
            <a:rPr lang="nb-NO" sz="900" b="0">
              <a:effectLst/>
              <a:latin typeface="Arial"/>
              <a:ea typeface="ＭＳ 明朝"/>
              <a:cs typeface="Times New Roman"/>
            </a:rPr>
            <a:t>senest revidert 25.08.2023</a:t>
          </a:r>
          <a:endParaRPr lang="nb-NO" sz="9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Codan Forsikring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(skadeselskap)</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Storebrand Danica Pensjonsforsikring</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Storebrand 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Codan Forsikring:</a:t>
          </a:r>
          <a:endParaRPr lang="nb-NO">
            <a:effectLst/>
          </a:endParaRPr>
        </a:p>
        <a:p>
          <a:pPr rtl="0" eaLnBrk="1" fontAlgn="auto" latinLnBrk="0" hangingPunct="1"/>
          <a:r>
            <a:rPr lang="nb-NO" sz="1100">
              <a:solidFill>
                <a:schemeClr val="dk1"/>
              </a:solidFill>
              <a:effectLst/>
              <a:latin typeface="+mn-lt"/>
              <a:ea typeface="+mn-ea"/>
              <a:cs typeface="+mn-cs"/>
            </a:rPr>
            <a:t>I</a:t>
          </a:r>
          <a:r>
            <a:rPr lang="nb-NO" sz="1100" baseline="0">
              <a:solidFill>
                <a:schemeClr val="dk1"/>
              </a:solidFill>
              <a:effectLst/>
              <a:latin typeface="+mn-lt"/>
              <a:ea typeface="+mn-ea"/>
              <a:cs typeface="+mn-cs"/>
            </a:rPr>
            <a:t> statistikken inngår s</a:t>
          </a:r>
          <a:r>
            <a:rPr lang="nb-NO" sz="1100">
              <a:solidFill>
                <a:schemeClr val="dk1"/>
              </a:solidFill>
              <a:effectLst/>
              <a:latin typeface="+mn-lt"/>
              <a:ea typeface="+mn-ea"/>
              <a:cs typeface="+mn-cs"/>
            </a:rPr>
            <a:t>elskapet i Tryg Forsikring fra 2.kvartal 2022</a:t>
          </a:r>
          <a:r>
            <a:rPr lang="nb-NO" sz="1100" baseline="0">
              <a:solidFill>
                <a:schemeClr val="dk1"/>
              </a:solidFill>
              <a:effectLst/>
              <a:latin typeface="+mn-lt"/>
              <a:ea typeface="+mn-ea"/>
              <a:cs typeface="+mn-cs"/>
            </a:rPr>
            <a:t>.</a:t>
          </a:r>
          <a:br>
            <a:rPr lang="nb-NO" sz="1100" baseline="0">
              <a:solidFill>
                <a:schemeClr val="dk1"/>
              </a:solidFill>
              <a:effectLst/>
              <a:latin typeface="+mn-lt"/>
              <a:ea typeface="+mn-ea"/>
              <a:cs typeface="+mn-cs"/>
            </a:rPr>
          </a:br>
          <a:endParaRPr lang="nb-NO" sz="1100" baseline="0">
            <a:solidFill>
              <a:schemeClr val="dk1"/>
            </a:solidFill>
            <a:effectLst/>
            <a:latin typeface="+mn-lt"/>
            <a:ea typeface="+mn-ea"/>
            <a:cs typeface="+mn-cs"/>
          </a:endParaRPr>
        </a:p>
        <a:p>
          <a:pPr rtl="0" eaLnBrk="1" fontAlgn="auto" latinLnBrk="0" hangingPunct="1"/>
          <a:r>
            <a:rPr lang="nb-NO" sz="1100" u="sng" baseline="0">
              <a:solidFill>
                <a:schemeClr val="dk1"/>
              </a:solidFill>
              <a:effectLst/>
              <a:latin typeface="+mn-lt"/>
              <a:ea typeface="+mn-ea"/>
              <a:cs typeface="+mn-cs"/>
            </a:rPr>
            <a:t>Storebrand Danica Pensjonsforsikring</a:t>
          </a:r>
          <a:br>
            <a:rPr lang="nb-NO" sz="1100" baseline="0">
              <a:solidFill>
                <a:schemeClr val="dk1"/>
              </a:solidFill>
              <a:effectLst/>
              <a:latin typeface="+mn-lt"/>
              <a:ea typeface="+mn-ea"/>
              <a:cs typeface="+mn-cs"/>
            </a:rPr>
          </a:br>
          <a:r>
            <a:rPr lang="nb-NO" sz="1100" baseline="0">
              <a:solidFill>
                <a:schemeClr val="dk1"/>
              </a:solidFill>
              <a:effectLst/>
              <a:latin typeface="+mn-lt"/>
              <a:ea typeface="+mn-ea"/>
              <a:cs typeface="+mn-cs"/>
            </a:rPr>
            <a:t>I statistikken inngår selskapet i Storebrand Livsforsikring fra 1.kvartal 2023.</a:t>
          </a:r>
          <a:br>
            <a:rPr lang="nb-NO" sz="1100" baseline="0">
              <a:solidFill>
                <a:schemeClr val="dk1"/>
              </a:solidFill>
              <a:effectLst/>
              <a:latin typeface="+mn-lt"/>
              <a:ea typeface="+mn-ea"/>
              <a:cs typeface="+mn-cs"/>
            </a:rPr>
          </a:br>
          <a:endParaRPr lang="nb-NO">
            <a:effectLst/>
          </a:endParaRPr>
        </a:p>
        <a:p>
          <a:r>
            <a:rPr lang="nb-NO" sz="1100" u="sng">
              <a:solidFill>
                <a:schemeClr val="dk1"/>
              </a:solidFill>
              <a:effectLst/>
              <a:latin typeface="+mn-lt"/>
              <a:ea typeface="+mn-ea"/>
              <a:cs typeface="+mn-cs"/>
            </a:rPr>
            <a:t>Ly</a:t>
          </a:r>
          <a:r>
            <a:rPr lang="nb-NO" sz="1100" u="sng" baseline="0">
              <a:solidFill>
                <a:schemeClr val="dk1"/>
              </a:solidFill>
              <a:effectLst/>
              <a:latin typeface="+mn-lt"/>
              <a:ea typeface="+mn-ea"/>
              <a:cs typeface="+mn-cs"/>
            </a:rPr>
            <a:t> Forsikring</a:t>
          </a:r>
          <a:endParaRPr lang="nb-NO">
            <a:effectLst/>
          </a:endParaRPr>
        </a:p>
        <a:p>
          <a:r>
            <a:rPr lang="nb-NO" sz="1100" baseline="0">
              <a:solidFill>
                <a:schemeClr val="dk1"/>
              </a:solidFill>
              <a:effectLst/>
              <a:latin typeface="+mn-lt"/>
              <a:ea typeface="+mn-ea"/>
              <a:cs typeface="+mn-cs"/>
            </a:rPr>
            <a:t>Selskapet inngår i statistikken fra 2.kvartal 2022.</a:t>
          </a:r>
          <a:endParaRPr lang="nb-NO">
            <a:effectLst/>
          </a:endParaRPr>
        </a:p>
        <a:p>
          <a:br>
            <a:rPr lang="nb-NO" sz="1100" u="sng">
              <a:solidFill>
                <a:schemeClr val="dk1"/>
              </a:solidFill>
              <a:effectLst/>
              <a:latin typeface="+mn-lt"/>
              <a:ea typeface="+mn-ea"/>
              <a:cs typeface="+mn-cs"/>
            </a:rPr>
          </a:br>
          <a:r>
            <a:rPr lang="nb-NO" sz="1100" u="sng">
              <a:solidFill>
                <a:schemeClr val="dk1"/>
              </a:solidFill>
              <a:effectLst/>
              <a:latin typeface="+mn-lt"/>
              <a:ea typeface="+mn-ea"/>
              <a:cs typeface="+mn-cs"/>
            </a:rPr>
            <a:t>Handelsbanken Liv</a:t>
          </a:r>
          <a:endParaRPr lang="nb-NO">
            <a:effectLst/>
          </a:endParaRPr>
        </a:p>
        <a:p>
          <a:r>
            <a:rPr lang="nb-NO" sz="1100">
              <a:solidFill>
                <a:schemeClr val="dk1"/>
              </a:solidFill>
              <a:effectLst/>
              <a:latin typeface="+mn-lt"/>
              <a:ea typeface="+mn-ea"/>
              <a:cs typeface="+mn-cs"/>
            </a:rPr>
            <a:t>Selskapet er</a:t>
          </a:r>
          <a:r>
            <a:rPr lang="nb-NO" sz="1100" baseline="0">
              <a:solidFill>
                <a:schemeClr val="dk1"/>
              </a:solidFill>
              <a:effectLst/>
              <a:latin typeface="+mn-lt"/>
              <a:ea typeface="+mn-ea"/>
              <a:cs typeface="+mn-cs"/>
            </a:rPr>
            <a:t> i prosess med å avvikle sin portefølje i det norske markedet og det alt vesentligste av denne ble solgt i 2022. Selskapet har for 1.kvartal 2023 ikke rapportert tall til livstatistikken.</a:t>
          </a:r>
          <a:br>
            <a:rPr lang="nb-NO" sz="1100" u="sng">
              <a:solidFill>
                <a:schemeClr val="dk1"/>
              </a:solidFill>
              <a:effectLst/>
              <a:latin typeface="+mn-lt"/>
              <a:ea typeface="+mn-ea"/>
              <a:cs typeface="+mn-cs"/>
            </a:rPr>
          </a:br>
          <a:br>
            <a:rPr lang="nb-NO" sz="1100" u="sng">
              <a:solidFill>
                <a:schemeClr val="dk1"/>
              </a:solidFill>
              <a:effectLst/>
              <a:latin typeface="+mn-lt"/>
              <a:ea typeface="+mn-ea"/>
              <a:cs typeface="+mn-cs"/>
            </a:rPr>
          </a:br>
          <a:r>
            <a:rPr lang="nb-NO" sz="1100" u="sng">
              <a:solidFill>
                <a:schemeClr val="dk1"/>
              </a:solidFill>
              <a:effectLst/>
              <a:latin typeface="+mn-lt"/>
              <a:ea typeface="+mn-ea"/>
              <a:cs typeface="+mn-cs"/>
            </a:rPr>
            <a:t>SHB Liv</a:t>
          </a:r>
          <a:endParaRPr lang="nb-NO">
            <a:effectLst/>
          </a:endParaRPr>
        </a:p>
        <a:p>
          <a:r>
            <a:rPr lang="nb-NO" sz="1100">
              <a:solidFill>
                <a:schemeClr val="dk1"/>
              </a:solidFill>
              <a:effectLst/>
              <a:latin typeface="+mn-lt"/>
              <a:ea typeface="+mn-ea"/>
              <a:cs typeface="+mn-cs"/>
            </a:rPr>
            <a:t>Selskapet er</a:t>
          </a:r>
          <a:r>
            <a:rPr lang="nb-NO" sz="1100" baseline="0">
              <a:solidFill>
                <a:schemeClr val="dk1"/>
              </a:solidFill>
              <a:effectLst/>
              <a:latin typeface="+mn-lt"/>
              <a:ea typeface="+mn-ea"/>
              <a:cs typeface="+mn-cs"/>
            </a:rPr>
            <a:t> i prosess med å avvikle sin portefølje i det norske markedet og det alt vesentligste av denne ble solgt i 2022. Selskapet har for 1.kvartal 2023 ikke rapportert tall til livstatistikken.</a:t>
          </a:r>
          <a:br>
            <a:rPr lang="nb-NO" sz="1100" u="sng">
              <a:solidFill>
                <a:schemeClr val="dk1"/>
              </a:solidFill>
              <a:effectLst/>
              <a:latin typeface="+mn-lt"/>
              <a:ea typeface="+mn-ea"/>
              <a:cs typeface="+mn-cs"/>
            </a:rPr>
          </a:br>
          <a:br>
            <a:rPr lang="nb-NO" sz="1100" u="sng">
              <a:solidFill>
                <a:schemeClr val="dk1"/>
              </a:solidFill>
              <a:effectLst/>
              <a:latin typeface="+mn-lt"/>
              <a:ea typeface="+mn-ea"/>
              <a:cs typeface="+mn-cs"/>
            </a:rPr>
          </a:br>
          <a:r>
            <a:rPr lang="nb-NO" sz="1100" u="sng">
              <a:solidFill>
                <a:schemeClr val="dk1"/>
              </a:solidFill>
              <a:effectLst/>
              <a:latin typeface="+mn-lt"/>
              <a:ea typeface="+mn-ea"/>
              <a:cs typeface="+mn-cs"/>
            </a:rPr>
            <a:t>Youplus Livsforsikring</a:t>
          </a:r>
          <a:endParaRPr lang="nb-NO">
            <a:effectLst/>
          </a:endParaRPr>
        </a:p>
        <a:p>
          <a:r>
            <a:rPr lang="nb-NO" sz="1100">
              <a:solidFill>
                <a:schemeClr val="dk1"/>
              </a:solidFill>
              <a:effectLst/>
              <a:latin typeface="+mn-lt"/>
              <a:ea typeface="+mn-ea"/>
              <a:cs typeface="+mn-cs"/>
            </a:rPr>
            <a:t>Selskapet inngår i statistikken fra 1. kvartal 2022.</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3/Q1-2023/Mottatte/SpareBank%201%20Forsik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G68">
            <v>4972.6959999999999</v>
          </cell>
        </row>
        <row r="71">
          <cell r="AG71">
            <v>0</v>
          </cell>
        </row>
        <row r="74">
          <cell r="AG74">
            <v>1057.0050000000001</v>
          </cell>
        </row>
        <row r="75">
          <cell r="AG75">
            <v>2376.3110000000001</v>
          </cell>
        </row>
        <row r="80">
          <cell r="AG80">
            <v>23072.705988610003</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J45" sqref="J45"/>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96"/>
      <c r="C43" s="696"/>
      <c r="D43" s="696"/>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C21" sqref="C21"/>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80"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9"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326</v>
      </c>
      <c r="C18" s="70" t="s">
        <v>327</v>
      </c>
      <c r="D18" s="69"/>
      <c r="E18" s="69"/>
      <c r="F18" s="69"/>
      <c r="G18" s="69"/>
      <c r="H18" s="69"/>
      <c r="I18" s="69"/>
      <c r="J18" s="69"/>
      <c r="K18" s="69"/>
      <c r="L18" s="69"/>
      <c r="M18" s="69"/>
      <c r="N18" s="69"/>
    </row>
    <row r="19" spans="1:14" ht="20.100000000000001" customHeight="1" x14ac:dyDescent="0.35">
      <c r="A19" s="70"/>
      <c r="B19" s="70" t="s">
        <v>328</v>
      </c>
      <c r="C19" s="70" t="s">
        <v>264</v>
      </c>
      <c r="D19" s="69"/>
      <c r="E19" s="69"/>
      <c r="F19" s="69"/>
      <c r="G19" s="69"/>
      <c r="H19" s="69"/>
      <c r="I19" s="69"/>
      <c r="J19" s="69"/>
      <c r="K19" s="69"/>
      <c r="L19" s="69"/>
      <c r="M19" s="69"/>
      <c r="N19" s="69"/>
    </row>
    <row r="20" spans="1:14" s="350" customFormat="1" ht="20.100000000000001" customHeight="1" x14ac:dyDescent="0.35">
      <c r="A20" s="348"/>
      <c r="B20" s="348" t="s">
        <v>330</v>
      </c>
      <c r="C20" s="348" t="s">
        <v>329</v>
      </c>
      <c r="D20" s="349"/>
      <c r="E20" s="349"/>
      <c r="F20" s="349"/>
      <c r="G20" s="349"/>
      <c r="H20" s="349"/>
      <c r="I20" s="349"/>
      <c r="J20" s="349"/>
      <c r="K20" s="349"/>
      <c r="L20" s="349"/>
      <c r="M20" s="349"/>
      <c r="N20" s="349"/>
    </row>
    <row r="21" spans="1:14" ht="20.100000000000001" customHeight="1" x14ac:dyDescent="0.35">
      <c r="A21" s="70"/>
      <c r="B21" s="70"/>
      <c r="C21" s="70"/>
    </row>
    <row r="22" spans="1:14" ht="18.75" customHeight="1" x14ac:dyDescent="0.35">
      <c r="A22" s="70"/>
      <c r="B22" s="348" t="s">
        <v>248</v>
      </c>
      <c r="C22" s="348"/>
    </row>
    <row r="23" spans="1:14" ht="20.100000000000001" customHeight="1" x14ac:dyDescent="0.35">
      <c r="A23" s="70"/>
      <c r="B23" s="351" t="s">
        <v>249</v>
      </c>
      <c r="C23" s="348" t="s">
        <v>250</v>
      </c>
    </row>
    <row r="24" spans="1:14" ht="20.100000000000001" hidden="1" customHeight="1" x14ac:dyDescent="0.35">
      <c r="A24" s="70"/>
      <c r="B24" s="351" t="s">
        <v>251</v>
      </c>
      <c r="C24" s="348" t="s">
        <v>252</v>
      </c>
    </row>
    <row r="25" spans="1:14" ht="20.100000000000001" hidden="1" customHeight="1" x14ac:dyDescent="0.35">
      <c r="A25" s="70"/>
      <c r="B25" s="351" t="s">
        <v>253</v>
      </c>
      <c r="C25" s="348" t="s">
        <v>254</v>
      </c>
    </row>
    <row r="26" spans="1:14" ht="20.100000000000001" hidden="1" customHeight="1" x14ac:dyDescent="0.35">
      <c r="A26" s="70"/>
      <c r="B26" s="351" t="s">
        <v>255</v>
      </c>
      <c r="C26" s="348" t="s">
        <v>256</v>
      </c>
    </row>
    <row r="27" spans="1:14" ht="20.100000000000001" customHeight="1" x14ac:dyDescent="0.35">
      <c r="A27" s="70"/>
      <c r="B27" s="351" t="s">
        <v>168</v>
      </c>
      <c r="C27" s="348" t="s">
        <v>257</v>
      </c>
    </row>
    <row r="28" spans="1:14" ht="20.100000000000001" hidden="1" customHeight="1" x14ac:dyDescent="0.35">
      <c r="A28" s="70"/>
      <c r="B28" s="345" t="s">
        <v>258</v>
      </c>
      <c r="C28" s="278" t="s">
        <v>259</v>
      </c>
    </row>
    <row r="29" spans="1:14" ht="20.100000000000001" hidden="1" customHeight="1" x14ac:dyDescent="0.35">
      <c r="A29" s="70"/>
      <c r="B29" s="345" t="s">
        <v>260</v>
      </c>
      <c r="C29" s="278" t="s">
        <v>261</v>
      </c>
    </row>
    <row r="30" spans="1:14" ht="18.75" customHeight="1" x14ac:dyDescent="0.35">
      <c r="A30" s="70"/>
      <c r="B30" s="351" t="s">
        <v>262</v>
      </c>
      <c r="C30" s="348" t="s">
        <v>263</v>
      </c>
    </row>
    <row r="31" spans="1:14" ht="18.75" customHeight="1" x14ac:dyDescent="0.35">
      <c r="A31" s="70"/>
      <c r="B31" s="351"/>
      <c r="C31" s="348"/>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6"/>
      <c r="D36" s="347"/>
    </row>
    <row r="37" spans="1:14" ht="26.25" x14ac:dyDescent="0.4">
      <c r="C37" s="72"/>
    </row>
    <row r="38" spans="1:14" ht="26.25" x14ac:dyDescent="0.4">
      <c r="C38" s="72"/>
    </row>
    <row r="39" spans="1:14" ht="26.25" x14ac:dyDescent="0.4">
      <c r="C39" s="346"/>
      <c r="D39" s="350"/>
      <c r="E39" s="350"/>
      <c r="F39" s="350"/>
      <c r="G39" s="350"/>
      <c r="H39" s="350"/>
      <c r="I39" s="350"/>
      <c r="J39" s="350"/>
      <c r="K39" s="350"/>
      <c r="L39" s="350"/>
      <c r="M39" s="350"/>
      <c r="N39" s="350"/>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E3" sqref="E3"/>
    </sheetView>
  </sheetViews>
  <sheetFormatPr baseColWidth="10" defaultColWidth="11.42578125" defaultRowHeight="18.75" x14ac:dyDescent="0.3"/>
  <cols>
    <col min="10" max="11" width="16.7109375" customWidth="1"/>
    <col min="12" max="12" width="20.7109375" style="74" customWidth="1"/>
    <col min="13" max="14" width="15.7109375" style="74" bestFit="1" customWidth="1"/>
    <col min="15" max="15" width="22.7109375" customWidth="1"/>
    <col min="16" max="16" width="13.42578125" customWidth="1"/>
    <col min="17" max="17" width="13.71093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426</v>
      </c>
      <c r="B5" s="74"/>
      <c r="C5" s="74"/>
      <c r="D5" s="74"/>
      <c r="E5" s="74"/>
      <c r="F5" s="74"/>
      <c r="G5" s="74"/>
      <c r="H5" s="74"/>
      <c r="I5" s="79"/>
      <c r="J5" s="74"/>
      <c r="K5" s="74"/>
      <c r="L5" s="74" t="s">
        <v>53</v>
      </c>
      <c r="O5" s="74"/>
    </row>
    <row r="6" spans="1:15" x14ac:dyDescent="0.3">
      <c r="A6" s="74"/>
      <c r="B6" s="74"/>
      <c r="C6" s="74"/>
      <c r="D6" s="74"/>
      <c r="E6" s="74"/>
      <c r="F6" s="74"/>
      <c r="G6" s="74"/>
      <c r="H6" s="74"/>
      <c r="I6" s="74"/>
      <c r="J6" s="74"/>
      <c r="K6" s="74"/>
      <c r="L6" s="74" t="s">
        <v>0</v>
      </c>
      <c r="O6" s="74"/>
    </row>
    <row r="7" spans="1:15" x14ac:dyDescent="0.3">
      <c r="A7" s="74"/>
      <c r="B7" s="74"/>
      <c r="C7" s="74"/>
      <c r="D7" s="74"/>
      <c r="E7" s="74"/>
      <c r="F7" s="74"/>
      <c r="G7" s="74"/>
      <c r="H7" s="74"/>
      <c r="I7" s="74"/>
      <c r="J7" s="74"/>
      <c r="K7" s="74"/>
      <c r="M7" s="74">
        <v>2022</v>
      </c>
      <c r="N7" s="74">
        <v>2023</v>
      </c>
      <c r="O7" s="74"/>
    </row>
    <row r="8" spans="1:15" x14ac:dyDescent="0.3">
      <c r="A8" s="74"/>
      <c r="B8" s="74"/>
      <c r="C8" s="74"/>
      <c r="D8" s="74"/>
      <c r="E8" s="74"/>
      <c r="F8" s="74"/>
      <c r="G8" s="74"/>
      <c r="H8" s="74"/>
      <c r="I8" s="74"/>
      <c r="J8" s="74"/>
      <c r="K8" s="74"/>
      <c r="L8" s="74" t="s">
        <v>397</v>
      </c>
      <c r="M8" s="77">
        <f>'Tabel 1.1'!B9</f>
        <v>49378</v>
      </c>
      <c r="N8" s="77">
        <f>'Tabel 1.1'!C9</f>
        <v>0</v>
      </c>
      <c r="O8" s="74"/>
    </row>
    <row r="9" spans="1:15" x14ac:dyDescent="0.3">
      <c r="A9" s="74"/>
      <c r="B9" s="74"/>
      <c r="C9" s="74"/>
      <c r="D9" s="74"/>
      <c r="E9" s="74"/>
      <c r="F9" s="74"/>
      <c r="G9" s="74"/>
      <c r="H9" s="74"/>
      <c r="I9" s="74"/>
      <c r="J9" s="74"/>
      <c r="K9" s="74"/>
      <c r="L9" s="74" t="s">
        <v>54</v>
      </c>
      <c r="M9" s="77">
        <f>'Tabel 1.1'!B10</f>
        <v>112892.864</v>
      </c>
      <c r="N9" s="77">
        <f>'Tabel 1.1'!C10</f>
        <v>0</v>
      </c>
      <c r="O9" s="74"/>
    </row>
    <row r="10" spans="1:15" x14ac:dyDescent="0.3">
      <c r="A10" s="74"/>
      <c r="B10" s="74"/>
      <c r="C10" s="74"/>
      <c r="D10" s="74"/>
      <c r="E10" s="74"/>
      <c r="F10" s="74"/>
      <c r="G10" s="74"/>
      <c r="H10" s="74"/>
      <c r="I10" s="74"/>
      <c r="J10" s="74"/>
      <c r="K10" s="74"/>
      <c r="L10" s="74" t="s">
        <v>55</v>
      </c>
      <c r="M10" s="77">
        <f>'Tabel 1.1'!B11</f>
        <v>1241691.2704</v>
      </c>
      <c r="N10" s="77">
        <f>'Tabel 1.1'!C11</f>
        <v>1174839.7120000001</v>
      </c>
      <c r="O10" s="74"/>
    </row>
    <row r="11" spans="1:15" x14ac:dyDescent="0.3">
      <c r="A11" s="74"/>
      <c r="B11" s="74"/>
      <c r="C11" s="74"/>
      <c r="D11" s="74"/>
      <c r="E11" s="74"/>
      <c r="F11" s="74"/>
      <c r="G11" s="74"/>
      <c r="H11" s="74"/>
      <c r="I11" s="74"/>
      <c r="J11" s="74"/>
      <c r="K11" s="74"/>
      <c r="L11" s="74" t="s">
        <v>56</v>
      </c>
      <c r="M11" s="77">
        <f>'Tabel 1.1'!B12</f>
        <v>116603</v>
      </c>
      <c r="N11" s="77">
        <f>'Tabel 1.1'!C12</f>
        <v>189579</v>
      </c>
      <c r="O11" s="74"/>
    </row>
    <row r="12" spans="1:15" x14ac:dyDescent="0.3">
      <c r="A12" s="74"/>
      <c r="B12" s="74"/>
      <c r="C12" s="74"/>
      <c r="D12" s="74"/>
      <c r="E12" s="74"/>
      <c r="F12" s="74"/>
      <c r="G12" s="74"/>
      <c r="H12" s="74"/>
      <c r="I12" s="74"/>
      <c r="J12" s="74"/>
      <c r="K12" s="74"/>
      <c r="L12" s="74" t="s">
        <v>398</v>
      </c>
      <c r="M12" s="77">
        <f>'Tabel 1.1'!B13</f>
        <v>22472</v>
      </c>
      <c r="N12" s="77">
        <f>'Tabel 1.1'!C13</f>
        <v>36616</v>
      </c>
      <c r="O12" s="74"/>
    </row>
    <row r="13" spans="1:15" x14ac:dyDescent="0.3">
      <c r="A13" s="74"/>
      <c r="B13" s="74"/>
      <c r="C13" s="74"/>
      <c r="D13" s="74"/>
      <c r="E13" s="74"/>
      <c r="F13" s="74"/>
      <c r="G13" s="74"/>
      <c r="H13" s="74"/>
      <c r="I13" s="74"/>
      <c r="J13" s="74"/>
      <c r="K13" s="74"/>
      <c r="L13" s="74" t="s">
        <v>384</v>
      </c>
      <c r="M13" s="77">
        <f>'Tabel 1.1'!B14</f>
        <v>867620.14841999998</v>
      </c>
      <c r="N13" s="77">
        <f>'Tabel 1.1'!C14</f>
        <v>931757.56291999994</v>
      </c>
      <c r="O13" s="74"/>
    </row>
    <row r="14" spans="1:15" x14ac:dyDescent="0.3">
      <c r="A14" s="74"/>
      <c r="B14" s="74"/>
      <c r="C14" s="74"/>
      <c r="D14" s="74"/>
      <c r="E14" s="74"/>
      <c r="F14" s="74"/>
      <c r="G14" s="74"/>
      <c r="H14" s="74"/>
      <c r="I14" s="74"/>
      <c r="J14" s="74"/>
      <c r="K14" s="74"/>
      <c r="L14" s="74" t="s">
        <v>57</v>
      </c>
      <c r="M14" s="77">
        <f>'Tabel 1.1'!B15</f>
        <v>509672</v>
      </c>
      <c r="N14" s="77">
        <f>'Tabel 1.1'!C15</f>
        <v>561739</v>
      </c>
      <c r="O14" s="74"/>
    </row>
    <row r="15" spans="1:15" x14ac:dyDescent="0.3">
      <c r="A15" s="74"/>
      <c r="B15" s="74"/>
      <c r="C15" s="74"/>
      <c r="D15" s="74"/>
      <c r="E15" s="74"/>
      <c r="F15" s="74"/>
      <c r="G15" s="74"/>
      <c r="H15" s="74"/>
      <c r="I15" s="74"/>
      <c r="J15" s="74"/>
      <c r="K15" s="74"/>
      <c r="L15" s="74" t="s">
        <v>58</v>
      </c>
      <c r="M15" s="77">
        <f>'Tabel 1.1'!B16</f>
        <v>6055.442</v>
      </c>
      <c r="N15" s="77">
        <f>'Tabel 1.1'!C16</f>
        <v>6113.049</v>
      </c>
      <c r="O15" s="74"/>
    </row>
    <row r="16" spans="1:15" x14ac:dyDescent="0.3">
      <c r="A16" s="74"/>
      <c r="B16" s="74"/>
      <c r="C16" s="74"/>
      <c r="D16" s="74"/>
      <c r="E16" s="74"/>
      <c r="F16" s="74"/>
      <c r="G16" s="74"/>
      <c r="H16" s="74"/>
      <c r="I16" s="74"/>
      <c r="J16" s="74"/>
      <c r="K16" s="74"/>
      <c r="L16" s="74" t="s">
        <v>59</v>
      </c>
      <c r="M16" s="77">
        <f>'Tabel 1.1'!B17</f>
        <v>1381871.2850000001</v>
      </c>
      <c r="N16" s="77">
        <f>'Tabel 1.1'!C17</f>
        <v>1505481.132</v>
      </c>
      <c r="O16" s="74"/>
    </row>
    <row r="17" spans="1:15" x14ac:dyDescent="0.3">
      <c r="A17" s="74"/>
      <c r="B17" s="74"/>
      <c r="C17" s="74"/>
      <c r="D17" s="74"/>
      <c r="E17" s="74"/>
      <c r="F17" s="74"/>
      <c r="G17" s="74"/>
      <c r="H17" s="74"/>
      <c r="I17" s="74"/>
      <c r="J17" s="74"/>
      <c r="K17" s="74"/>
      <c r="L17" s="74" t="s">
        <v>60</v>
      </c>
      <c r="M17" s="77">
        <f>'Tabel 1.1'!B18</f>
        <v>254783</v>
      </c>
      <c r="N17" s="77">
        <f>'Tabel 1.1'!C18</f>
        <v>291293</v>
      </c>
      <c r="O17" s="74"/>
    </row>
    <row r="18" spans="1:15" x14ac:dyDescent="0.3">
      <c r="A18" s="74"/>
      <c r="B18" s="74"/>
      <c r="C18" s="74"/>
      <c r="D18" s="74"/>
      <c r="E18" s="74"/>
      <c r="F18" s="74"/>
      <c r="G18" s="74"/>
      <c r="H18" s="74"/>
      <c r="I18" s="74"/>
      <c r="J18" s="74"/>
      <c r="K18" s="74"/>
      <c r="L18" s="74" t="s">
        <v>61</v>
      </c>
      <c r="M18" s="77">
        <f>'Tabel 1.1'!B19</f>
        <v>8764.5190000000002</v>
      </c>
      <c r="N18" s="77">
        <f>'Tabel 1.1'!C19</f>
        <v>0</v>
      </c>
      <c r="O18" s="74"/>
    </row>
    <row r="19" spans="1:15" x14ac:dyDescent="0.3">
      <c r="A19" s="74"/>
      <c r="B19" s="74"/>
      <c r="C19" s="74"/>
      <c r="D19" s="74"/>
      <c r="E19" s="74"/>
      <c r="F19" s="74"/>
      <c r="G19" s="74"/>
      <c r="H19" s="74"/>
      <c r="I19" s="74"/>
      <c r="J19" s="74"/>
      <c r="K19" s="74"/>
      <c r="L19" s="74" t="s">
        <v>62</v>
      </c>
      <c r="M19" s="77">
        <f>'Tabel 1.1'!B20</f>
        <v>195617.65438259998</v>
      </c>
      <c r="N19" s="77">
        <f>'Tabel 1.1'!C20</f>
        <v>224595.87164857</v>
      </c>
      <c r="O19" s="74"/>
    </row>
    <row r="20" spans="1:15" x14ac:dyDescent="0.3">
      <c r="A20" s="74"/>
      <c r="B20" s="74"/>
      <c r="C20" s="74"/>
      <c r="D20" s="74"/>
      <c r="E20" s="74"/>
      <c r="F20" s="74"/>
      <c r="G20" s="74"/>
      <c r="H20" s="74"/>
      <c r="I20" s="74"/>
      <c r="J20" s="74"/>
      <c r="K20" s="74"/>
      <c r="L20" s="74" t="s">
        <v>63</v>
      </c>
      <c r="M20" s="77">
        <f>'Tabel 1.1'!B21</f>
        <v>7118708.5350500001</v>
      </c>
      <c r="N20" s="77">
        <f>'Tabel 1.1'!C21</f>
        <v>7553784.4308399996</v>
      </c>
      <c r="O20" s="74"/>
    </row>
    <row r="21" spans="1:15" x14ac:dyDescent="0.3">
      <c r="A21" s="74"/>
      <c r="B21" s="74"/>
      <c r="C21" s="74"/>
      <c r="D21" s="74"/>
      <c r="E21" s="74"/>
      <c r="F21" s="74"/>
      <c r="G21" s="74"/>
      <c r="H21" s="74"/>
      <c r="I21" s="74"/>
      <c r="J21" s="74"/>
      <c r="K21" s="74"/>
      <c r="L21" s="74" t="s">
        <v>64</v>
      </c>
      <c r="M21" s="77">
        <f>'Tabel 1.1'!B22</f>
        <v>182893.26199999999</v>
      </c>
      <c r="N21" s="77">
        <f>'Tabel 1.1'!C22</f>
        <v>193468.31199999998</v>
      </c>
      <c r="O21" s="74"/>
    </row>
    <row r="22" spans="1:15" x14ac:dyDescent="0.3">
      <c r="A22" s="74"/>
      <c r="B22" s="74"/>
      <c r="C22" s="74"/>
      <c r="D22" s="74"/>
      <c r="E22" s="74"/>
      <c r="F22" s="74"/>
      <c r="G22" s="74"/>
      <c r="H22" s="74"/>
      <c r="I22" s="74"/>
      <c r="J22" s="74"/>
      <c r="K22" s="74"/>
      <c r="L22" s="74" t="s">
        <v>385</v>
      </c>
      <c r="M22" s="77">
        <f>'Tabel 1.1'!B23</f>
        <v>18594</v>
      </c>
      <c r="N22" s="77">
        <f>'Tabel 1.1'!C23</f>
        <v>20027</v>
      </c>
      <c r="O22" s="74"/>
    </row>
    <row r="23" spans="1:15" x14ac:dyDescent="0.3">
      <c r="A23" s="74"/>
      <c r="B23" s="74"/>
      <c r="C23" s="74"/>
      <c r="D23" s="74"/>
      <c r="E23" s="74"/>
      <c r="F23" s="74"/>
      <c r="G23" s="74"/>
      <c r="H23" s="74"/>
      <c r="I23" s="74"/>
      <c r="J23" s="74"/>
      <c r="K23" s="74"/>
      <c r="L23" s="74" t="s">
        <v>402</v>
      </c>
      <c r="M23" s="77">
        <f>'Tabel 1.1'!B24</f>
        <v>0</v>
      </c>
      <c r="N23" s="77">
        <f>'Tabel 1.1'!C24</f>
        <v>12079</v>
      </c>
      <c r="O23" s="74"/>
    </row>
    <row r="24" spans="1:15" x14ac:dyDescent="0.3">
      <c r="A24" s="74"/>
      <c r="B24" s="74"/>
      <c r="C24" s="74"/>
      <c r="D24" s="74"/>
      <c r="E24" s="74"/>
      <c r="F24" s="74"/>
      <c r="G24" s="74"/>
      <c r="H24" s="74"/>
      <c r="I24" s="74"/>
      <c r="J24" s="74"/>
      <c r="K24" s="74"/>
      <c r="L24" s="74" t="s">
        <v>65</v>
      </c>
      <c r="M24" s="77">
        <f>'Tabel 1.1'!B25</f>
        <v>636134.2522279151</v>
      </c>
      <c r="N24" s="77">
        <f>'Tabel 1.1'!C25</f>
        <v>690329.4997849986</v>
      </c>
      <c r="O24" s="74"/>
    </row>
    <row r="25" spans="1:15" x14ac:dyDescent="0.3">
      <c r="A25" s="74"/>
      <c r="B25" s="74"/>
      <c r="C25" s="74"/>
      <c r="D25" s="74"/>
      <c r="E25" s="74"/>
      <c r="F25" s="74"/>
      <c r="G25" s="74"/>
      <c r="H25" s="74"/>
      <c r="I25" s="74"/>
      <c r="J25" s="74"/>
      <c r="K25" s="74"/>
      <c r="L25" s="74" t="s">
        <v>66</v>
      </c>
      <c r="M25" s="77">
        <f>'Tabel 1.1'!B26</f>
        <v>1184750</v>
      </c>
      <c r="N25" s="77">
        <f>'Tabel 1.1'!C26</f>
        <v>1068666.4779999999</v>
      </c>
      <c r="O25" s="74"/>
    </row>
    <row r="26" spans="1:15" s="141" customFormat="1" x14ac:dyDescent="0.3">
      <c r="A26" s="74"/>
      <c r="B26" s="74"/>
      <c r="C26" s="74"/>
      <c r="D26" s="74"/>
      <c r="E26" s="74"/>
      <c r="F26" s="74"/>
      <c r="G26" s="74"/>
      <c r="H26" s="74"/>
      <c r="I26" s="74"/>
      <c r="J26" s="74"/>
      <c r="K26" s="74"/>
      <c r="L26" s="74" t="s">
        <v>377</v>
      </c>
      <c r="M26" s="77">
        <f>'Tabel 1.1'!B27</f>
        <v>216669.42148958714</v>
      </c>
      <c r="N26" s="77">
        <f>'Tabel 1.1'!C27</f>
        <v>255125.81038457406</v>
      </c>
      <c r="O26" s="74"/>
    </row>
    <row r="27" spans="1:15" x14ac:dyDescent="0.3">
      <c r="A27" s="74"/>
      <c r="B27" s="74"/>
      <c r="C27" s="74"/>
      <c r="D27" s="74"/>
      <c r="E27" s="74"/>
      <c r="F27" s="74"/>
      <c r="G27" s="74"/>
      <c r="H27" s="74"/>
      <c r="I27" s="74"/>
      <c r="J27" s="74"/>
      <c r="K27" s="74"/>
      <c r="L27" s="74" t="s">
        <v>67</v>
      </c>
      <c r="M27" s="77">
        <f>'Tabel 1.1'!B28</f>
        <v>264029.16310000001</v>
      </c>
      <c r="N27" s="77">
        <f>'Tabel 1.1'!C28</f>
        <v>269626.87029000005</v>
      </c>
      <c r="O27" s="74"/>
    </row>
    <row r="28" spans="1:15" x14ac:dyDescent="0.3">
      <c r="A28" s="74"/>
      <c r="B28" s="74"/>
      <c r="C28" s="74"/>
      <c r="D28" s="74"/>
      <c r="E28" s="74"/>
      <c r="F28" s="74"/>
      <c r="G28" s="74"/>
      <c r="H28" s="74"/>
      <c r="I28" s="74"/>
      <c r="J28" s="74"/>
      <c r="K28" s="74"/>
      <c r="L28" s="74" t="s">
        <v>68</v>
      </c>
      <c r="M28" s="77">
        <f>'Tabel 1.1'!B29</f>
        <v>2162321.1750000003</v>
      </c>
      <c r="N28" s="77">
        <f>'Tabel 1.1'!C29</f>
        <v>2787293.2384699997</v>
      </c>
    </row>
    <row r="29" spans="1:15" x14ac:dyDescent="0.3">
      <c r="A29" s="74"/>
      <c r="B29" s="74"/>
      <c r="C29" s="74"/>
      <c r="D29" s="74"/>
      <c r="E29" s="74"/>
      <c r="F29" s="74"/>
      <c r="G29" s="74"/>
      <c r="H29" s="74"/>
      <c r="I29" s="74"/>
      <c r="J29" s="74"/>
      <c r="K29" s="74"/>
      <c r="L29" s="74" t="s">
        <v>69</v>
      </c>
      <c r="M29" s="77">
        <f>'Tabel 1.1'!B30</f>
        <v>319</v>
      </c>
      <c r="N29" s="77">
        <f>'Tabel 1.1'!C30</f>
        <v>1972</v>
      </c>
    </row>
    <row r="30" spans="1:15" x14ac:dyDescent="0.3">
      <c r="A30" s="74"/>
      <c r="B30" s="74"/>
      <c r="C30" s="74"/>
      <c r="D30" s="74"/>
      <c r="E30" s="74"/>
      <c r="F30" s="74"/>
      <c r="G30" s="74"/>
      <c r="H30" s="74"/>
      <c r="I30" s="74"/>
      <c r="J30" s="74"/>
      <c r="K30" s="74"/>
      <c r="L30" s="74" t="s">
        <v>70</v>
      </c>
      <c r="M30" s="77">
        <f>'Tabel 1.1'!B31</f>
        <v>546669.5</v>
      </c>
      <c r="N30" s="77">
        <f>'Tabel 1.1'!C31</f>
        <v>685373.375</v>
      </c>
    </row>
    <row r="31" spans="1:15" x14ac:dyDescent="0.3">
      <c r="A31" s="75" t="s">
        <v>427</v>
      </c>
      <c r="B31" s="74"/>
      <c r="C31" s="74"/>
      <c r="D31" s="74"/>
      <c r="E31" s="74"/>
      <c r="F31" s="74"/>
      <c r="G31" s="74"/>
      <c r="H31" s="74"/>
      <c r="I31" s="79"/>
      <c r="J31" s="74"/>
      <c r="K31" s="74"/>
      <c r="L31" s="74" t="s">
        <v>393</v>
      </c>
      <c r="M31" s="77">
        <f>'Tabel 1.1'!B32</f>
        <v>2114</v>
      </c>
      <c r="N31" s="77">
        <f>'Tabel 1.1'!C32</f>
        <v>2003</v>
      </c>
    </row>
    <row r="32" spans="1:15" x14ac:dyDescent="0.3">
      <c r="B32" s="74"/>
      <c r="C32" s="74"/>
      <c r="D32" s="74"/>
      <c r="E32" s="74"/>
      <c r="F32" s="74"/>
      <c r="G32" s="74"/>
      <c r="H32" s="74"/>
      <c r="I32" s="74"/>
      <c r="J32" s="74"/>
      <c r="K32" s="74"/>
      <c r="L32" s="74" t="s">
        <v>405</v>
      </c>
      <c r="M32" s="77">
        <f>'Tabel 1.1'!B33</f>
        <v>868</v>
      </c>
      <c r="N32" s="77">
        <f>'Tabel 1.1'!C33</f>
        <v>1558</v>
      </c>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f>M7</f>
        <v>2022</v>
      </c>
      <c r="N36" s="74">
        <f>N7</f>
        <v>2023</v>
      </c>
    </row>
    <row r="37" spans="1:15" x14ac:dyDescent="0.3">
      <c r="A37" s="74"/>
      <c r="B37" s="74"/>
      <c r="C37" s="74"/>
      <c r="D37" s="74"/>
      <c r="E37" s="74"/>
      <c r="F37" s="74"/>
      <c r="G37" s="74"/>
      <c r="H37" s="74"/>
      <c r="I37" s="74"/>
      <c r="J37" s="74"/>
      <c r="K37" s="74"/>
      <c r="L37" s="79" t="s">
        <v>54</v>
      </c>
      <c r="M37" s="78">
        <f>'Tabel 1.1'!B37</f>
        <v>614205.69200000004</v>
      </c>
      <c r="N37" s="78">
        <f>'Tabel 1.1'!C37</f>
        <v>0</v>
      </c>
    </row>
    <row r="38" spans="1:15" x14ac:dyDescent="0.3">
      <c r="A38" s="74"/>
      <c r="B38" s="74"/>
      <c r="C38" s="74"/>
      <c r="D38" s="74"/>
      <c r="E38" s="74"/>
      <c r="F38" s="74"/>
      <c r="G38" s="74"/>
      <c r="H38" s="74"/>
      <c r="I38" s="74"/>
      <c r="J38" s="74"/>
      <c r="K38" s="74"/>
      <c r="L38" s="74" t="s">
        <v>55</v>
      </c>
      <c r="M38" s="78">
        <f>'Tabel 1.1'!B38</f>
        <v>2905848.0100999996</v>
      </c>
      <c r="N38" s="78">
        <f>'Tabel 1.1'!C38</f>
        <v>3430435.716</v>
      </c>
    </row>
    <row r="39" spans="1:15" x14ac:dyDescent="0.3">
      <c r="A39" s="74"/>
      <c r="B39" s="74"/>
      <c r="C39" s="74"/>
      <c r="D39" s="74"/>
      <c r="E39" s="74"/>
      <c r="F39" s="74"/>
      <c r="G39" s="74"/>
      <c r="H39" s="74"/>
      <c r="I39" s="74"/>
      <c r="J39" s="74"/>
      <c r="K39" s="74"/>
      <c r="L39" s="74" t="s">
        <v>57</v>
      </c>
      <c r="M39" s="78">
        <f>'Tabel 1.1'!B39</f>
        <v>0</v>
      </c>
      <c r="N39" s="78">
        <f>'Tabel 1.1'!C39</f>
        <v>0</v>
      </c>
    </row>
    <row r="40" spans="1:15" x14ac:dyDescent="0.3">
      <c r="A40" s="74"/>
      <c r="B40" s="74"/>
      <c r="C40" s="74"/>
      <c r="D40" s="74"/>
      <c r="E40" s="74"/>
      <c r="F40" s="74"/>
      <c r="G40" s="74"/>
      <c r="H40" s="74"/>
      <c r="I40" s="74"/>
      <c r="J40" s="74"/>
      <c r="K40" s="74"/>
      <c r="L40" s="79" t="s">
        <v>60</v>
      </c>
      <c r="M40" s="78">
        <f>'Tabel 1.1'!B40</f>
        <v>1002999</v>
      </c>
      <c r="N40" s="78">
        <f>'Tabel 1.1'!C40</f>
        <v>1416253</v>
      </c>
    </row>
    <row r="41" spans="1:15" x14ac:dyDescent="0.3">
      <c r="A41" s="74"/>
      <c r="B41" s="74"/>
      <c r="C41" s="74"/>
      <c r="D41" s="74"/>
      <c r="E41" s="74"/>
      <c r="F41" s="74"/>
      <c r="G41" s="74"/>
      <c r="H41" s="74"/>
      <c r="I41" s="74"/>
      <c r="J41" s="74"/>
      <c r="K41" s="74"/>
      <c r="L41" s="74" t="s">
        <v>63</v>
      </c>
      <c r="M41" s="78">
        <f>'Tabel 1.1'!B41</f>
        <v>7778.8180000000002</v>
      </c>
      <c r="N41" s="78">
        <f>'Tabel 1.1'!C41</f>
        <v>18550.222000000002</v>
      </c>
      <c r="O41" s="74"/>
    </row>
    <row r="42" spans="1:15" x14ac:dyDescent="0.3">
      <c r="A42" s="74"/>
      <c r="B42" s="74"/>
      <c r="C42" s="74"/>
      <c r="D42" s="74"/>
      <c r="E42" s="74"/>
      <c r="F42" s="74"/>
      <c r="G42" s="74"/>
      <c r="H42" s="74"/>
      <c r="I42" s="74"/>
      <c r="J42" s="74"/>
      <c r="K42" s="74"/>
      <c r="L42" s="79" t="s">
        <v>65</v>
      </c>
      <c r="M42" s="78">
        <f>'Tabel 1.1'!B42</f>
        <v>4270850.2935300004</v>
      </c>
      <c r="N42" s="78">
        <f>'Tabel 1.1'!C42</f>
        <v>4065856.8543600002</v>
      </c>
      <c r="O42" s="74"/>
    </row>
    <row r="43" spans="1:15" x14ac:dyDescent="0.3">
      <c r="A43" s="74"/>
      <c r="B43" s="74"/>
      <c r="C43" s="74"/>
      <c r="D43" s="74"/>
      <c r="E43" s="74"/>
      <c r="F43" s="74"/>
      <c r="G43" s="74"/>
      <c r="H43" s="74"/>
      <c r="I43" s="74"/>
      <c r="J43" s="74"/>
      <c r="K43" s="74"/>
      <c r="L43" s="79" t="s">
        <v>71</v>
      </c>
      <c r="M43" s="78">
        <f>'Tabel 1.1'!B43</f>
        <v>31910.574619999999</v>
      </c>
      <c r="N43" s="78">
        <f>'Tabel 1.1'!C43</f>
        <v>0</v>
      </c>
      <c r="O43" s="74"/>
    </row>
    <row r="44" spans="1:15" x14ac:dyDescent="0.3">
      <c r="A44" s="74"/>
      <c r="B44" s="74"/>
      <c r="C44" s="74"/>
      <c r="D44" s="74"/>
      <c r="E44" s="74"/>
      <c r="F44" s="74"/>
      <c r="G44" s="74"/>
      <c r="H44" s="74"/>
      <c r="I44" s="74"/>
      <c r="J44" s="74"/>
      <c r="K44" s="74"/>
      <c r="L44" s="79" t="s">
        <v>67</v>
      </c>
      <c r="M44" s="78">
        <f>'Tabel 1.1'!B44</f>
        <v>1509638.1021500002</v>
      </c>
      <c r="N44" s="78">
        <f>'Tabel 1.1'!C44</f>
        <v>1726963.1864399998</v>
      </c>
      <c r="O44" s="74"/>
    </row>
    <row r="45" spans="1:15" x14ac:dyDescent="0.3">
      <c r="A45" s="74"/>
      <c r="B45" s="74"/>
      <c r="C45" s="74"/>
      <c r="D45" s="74"/>
      <c r="E45" s="74"/>
      <c r="F45" s="74"/>
      <c r="G45" s="74"/>
      <c r="H45" s="74"/>
      <c r="I45" s="74"/>
      <c r="J45" s="74"/>
      <c r="K45" s="74"/>
      <c r="L45" s="79" t="s">
        <v>72</v>
      </c>
      <c r="M45" s="78">
        <f>'Tabel 1.1'!B45</f>
        <v>3267123.5039999997</v>
      </c>
      <c r="N45" s="78">
        <f>'Tabel 1.1'!C45</f>
        <v>4395415.7059800001</v>
      </c>
      <c r="O45" s="74"/>
    </row>
    <row r="46" spans="1:15" x14ac:dyDescent="0.3">
      <c r="A46" s="74"/>
      <c r="B46" s="74"/>
      <c r="C46" s="74"/>
      <c r="D46" s="74"/>
      <c r="E46" s="74"/>
      <c r="F46" s="74"/>
      <c r="G46" s="74"/>
      <c r="H46" s="74"/>
      <c r="I46" s="74"/>
      <c r="J46" s="74"/>
      <c r="K46" s="74"/>
      <c r="L46" s="79"/>
      <c r="M46" s="78"/>
      <c r="N46" s="78"/>
      <c r="O46" s="74"/>
    </row>
    <row r="47" spans="1:15" x14ac:dyDescent="0.3">
      <c r="A47" s="74"/>
      <c r="B47" s="74"/>
      <c r="C47" s="74"/>
      <c r="D47" s="74"/>
      <c r="E47" s="74"/>
      <c r="F47" s="74"/>
      <c r="G47" s="74"/>
      <c r="H47" s="74"/>
      <c r="I47" s="74"/>
      <c r="J47" s="74"/>
      <c r="K47" s="74"/>
      <c r="M47" s="77"/>
      <c r="N47" s="77"/>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L54" s="74" t="s">
        <v>73</v>
      </c>
      <c r="O54" s="74"/>
    </row>
    <row r="55" spans="1:15" x14ac:dyDescent="0.3">
      <c r="A55" s="74"/>
      <c r="B55" s="74"/>
      <c r="C55" s="74"/>
      <c r="D55" s="74"/>
      <c r="E55" s="74"/>
      <c r="F55" s="74"/>
      <c r="G55" s="74"/>
      <c r="H55" s="74"/>
      <c r="I55" s="74"/>
      <c r="J55" s="74"/>
      <c r="K55" s="74"/>
      <c r="L55" s="74" t="s">
        <v>0</v>
      </c>
      <c r="O55" s="74"/>
    </row>
    <row r="56" spans="1:15" x14ac:dyDescent="0.3">
      <c r="A56" s="75" t="s">
        <v>428</v>
      </c>
      <c r="B56" s="74"/>
      <c r="C56" s="74"/>
      <c r="D56" s="74"/>
      <c r="E56" s="74"/>
      <c r="F56" s="74"/>
      <c r="G56" s="74"/>
      <c r="H56" s="74"/>
      <c r="I56" s="79"/>
      <c r="J56" s="74"/>
      <c r="K56" s="74"/>
      <c r="M56" s="74">
        <f>M7</f>
        <v>2022</v>
      </c>
      <c r="N56" s="74">
        <f>N7</f>
        <v>2023</v>
      </c>
      <c r="O56" s="74"/>
    </row>
    <row r="57" spans="1:15" x14ac:dyDescent="0.3">
      <c r="A57" s="74"/>
      <c r="B57" s="74"/>
      <c r="C57" s="74"/>
      <c r="D57" s="74"/>
      <c r="E57" s="74"/>
      <c r="F57" s="74"/>
      <c r="G57" s="74"/>
      <c r="H57" s="74"/>
      <c r="I57" s="74"/>
      <c r="J57" s="74"/>
      <c r="K57" s="74"/>
      <c r="L57" s="74" t="s">
        <v>397</v>
      </c>
      <c r="M57" s="77">
        <f>'Tabel 1.1'!G9</f>
        <v>0</v>
      </c>
      <c r="N57" s="77">
        <f>'Tabel 1.1'!H9</f>
        <v>0</v>
      </c>
      <c r="O57" s="74"/>
    </row>
    <row r="58" spans="1:15" x14ac:dyDescent="0.3">
      <c r="A58" s="74"/>
      <c r="B58" s="74"/>
      <c r="C58" s="74"/>
      <c r="D58" s="74"/>
      <c r="E58" s="74"/>
      <c r="F58" s="74"/>
      <c r="G58" s="74"/>
      <c r="H58" s="74"/>
      <c r="I58" s="74"/>
      <c r="J58" s="74"/>
      <c r="K58" s="74"/>
      <c r="L58" s="74" t="s">
        <v>54</v>
      </c>
      <c r="M58" s="77">
        <f>'Tabel 1.1'!G10</f>
        <v>1381543.8390000002</v>
      </c>
      <c r="N58" s="77">
        <f>'Tabel 1.1'!H10</f>
        <v>0</v>
      </c>
      <c r="O58" s="74"/>
    </row>
    <row r="59" spans="1:15" x14ac:dyDescent="0.3">
      <c r="A59" s="74"/>
      <c r="B59" s="74"/>
      <c r="C59" s="74"/>
      <c r="D59" s="74"/>
      <c r="E59" s="74"/>
      <c r="F59" s="74"/>
      <c r="G59" s="74"/>
      <c r="H59" s="74"/>
      <c r="I59" s="74"/>
      <c r="J59" s="74"/>
      <c r="K59" s="74"/>
      <c r="L59" s="74" t="s">
        <v>55</v>
      </c>
      <c r="M59" s="77">
        <f>'Tabel 1.1'!G11</f>
        <v>192614629.3415657</v>
      </c>
      <c r="N59" s="77">
        <f>'Tabel 1.1'!H11</f>
        <v>185707519.94522351</v>
      </c>
      <c r="O59" s="74"/>
    </row>
    <row r="60" spans="1:15" x14ac:dyDescent="0.3">
      <c r="A60" s="74"/>
      <c r="B60" s="74"/>
      <c r="C60" s="74"/>
      <c r="D60" s="74"/>
      <c r="E60" s="74"/>
      <c r="F60" s="74"/>
      <c r="G60" s="74"/>
      <c r="H60" s="74"/>
      <c r="I60" s="74"/>
      <c r="J60" s="74"/>
      <c r="K60" s="74"/>
      <c r="L60" s="74" t="s">
        <v>56</v>
      </c>
      <c r="M60" s="77">
        <f>'Tabel 1.1'!G12</f>
        <v>0</v>
      </c>
      <c r="N60" s="77">
        <f>'Tabel 1.1'!H12</f>
        <v>0</v>
      </c>
      <c r="O60" s="74"/>
    </row>
    <row r="61" spans="1:15" x14ac:dyDescent="0.3">
      <c r="A61" s="74"/>
      <c r="B61" s="74"/>
      <c r="C61" s="74"/>
      <c r="D61" s="74"/>
      <c r="E61" s="74"/>
      <c r="F61" s="74"/>
      <c r="G61" s="74"/>
      <c r="H61" s="74"/>
      <c r="I61" s="74"/>
      <c r="J61" s="74"/>
      <c r="K61" s="74"/>
      <c r="L61" s="74" t="s">
        <v>398</v>
      </c>
      <c r="M61" s="77">
        <f>'Tabel 1.1'!G13</f>
        <v>0</v>
      </c>
      <c r="N61" s="77">
        <f>'Tabel 1.1'!H13</f>
        <v>0</v>
      </c>
      <c r="O61" s="74"/>
    </row>
    <row r="62" spans="1:15" x14ac:dyDescent="0.3">
      <c r="A62" s="74"/>
      <c r="B62" s="74"/>
      <c r="C62" s="74"/>
      <c r="D62" s="74"/>
      <c r="E62" s="74"/>
      <c r="F62" s="74"/>
      <c r="G62" s="74"/>
      <c r="H62" s="74"/>
      <c r="I62" s="74"/>
      <c r="J62" s="74"/>
      <c r="K62" s="74"/>
      <c r="L62" s="74" t="s">
        <v>384</v>
      </c>
      <c r="M62" s="77">
        <f>'Tabel 1.1'!G14</f>
        <v>4438692.9528400004</v>
      </c>
      <c r="N62" s="77">
        <f>'Tabel 1.1'!H14</f>
        <v>4951045.9075499997</v>
      </c>
      <c r="O62" s="74"/>
    </row>
    <row r="63" spans="1:15" x14ac:dyDescent="0.3">
      <c r="A63" s="74"/>
      <c r="B63" s="74"/>
      <c r="C63" s="74"/>
      <c r="D63" s="74"/>
      <c r="E63" s="74"/>
      <c r="F63" s="74"/>
      <c r="G63" s="74"/>
      <c r="H63" s="74"/>
      <c r="I63" s="74"/>
      <c r="J63" s="74"/>
      <c r="K63" s="74"/>
      <c r="L63" s="74" t="s">
        <v>57</v>
      </c>
      <c r="M63" s="77">
        <f>'Tabel 1.1'!G15</f>
        <v>1439347</v>
      </c>
      <c r="N63" s="77">
        <f>'Tabel 1.1'!H15</f>
        <v>1734604</v>
      </c>
      <c r="O63" s="74"/>
    </row>
    <row r="64" spans="1:15" x14ac:dyDescent="0.3">
      <c r="A64" s="74"/>
      <c r="B64" s="74"/>
      <c r="C64" s="74"/>
      <c r="D64" s="74"/>
      <c r="E64" s="74"/>
      <c r="F64" s="74"/>
      <c r="G64" s="74"/>
      <c r="H64" s="74"/>
      <c r="I64" s="74"/>
      <c r="J64" s="74"/>
      <c r="K64" s="74"/>
      <c r="L64" s="74" t="s">
        <v>59</v>
      </c>
      <c r="M64" s="77">
        <f>'Tabel 1.1'!G16</f>
        <v>0</v>
      </c>
      <c r="N64" s="77">
        <f>'Tabel 1.1'!H16</f>
        <v>0</v>
      </c>
      <c r="O64" s="74"/>
    </row>
    <row r="65" spans="1:15" x14ac:dyDescent="0.3">
      <c r="A65" s="74"/>
      <c r="B65" s="74"/>
      <c r="C65" s="74"/>
      <c r="D65" s="74"/>
      <c r="E65" s="74"/>
      <c r="F65" s="74"/>
      <c r="G65" s="74"/>
      <c r="H65" s="74"/>
      <c r="I65" s="74"/>
      <c r="J65" s="74"/>
      <c r="K65" s="74"/>
      <c r="L65" s="74" t="s">
        <v>60</v>
      </c>
      <c r="M65" s="77">
        <f>'Tabel 1.1'!G18</f>
        <v>8469814</v>
      </c>
      <c r="N65" s="77">
        <f>'Tabel 1.1'!H18</f>
        <v>9094615</v>
      </c>
      <c r="O65" s="74"/>
    </row>
    <row r="66" spans="1:15" x14ac:dyDescent="0.3">
      <c r="A66" s="74"/>
      <c r="B66" s="74"/>
      <c r="C66" s="74"/>
      <c r="D66" s="74"/>
      <c r="E66" s="74"/>
      <c r="F66" s="74"/>
      <c r="G66" s="74"/>
      <c r="H66" s="74"/>
      <c r="I66" s="74"/>
      <c r="J66" s="74"/>
      <c r="K66" s="74"/>
      <c r="L66" s="74" t="s">
        <v>61</v>
      </c>
      <c r="M66" s="77">
        <f>'Tabel 1.1'!G19</f>
        <v>22760.624</v>
      </c>
      <c r="N66" s="77">
        <f>'Tabel 1.1'!H19</f>
        <v>0</v>
      </c>
      <c r="O66" s="74"/>
    </row>
    <row r="67" spans="1:15" x14ac:dyDescent="0.3">
      <c r="A67" s="74"/>
      <c r="B67" s="74"/>
      <c r="C67" s="74"/>
      <c r="D67" s="74"/>
      <c r="E67" s="74"/>
      <c r="F67" s="74"/>
      <c r="G67" s="74"/>
      <c r="H67" s="74"/>
      <c r="I67" s="74"/>
      <c r="J67" s="74"/>
      <c r="K67" s="74"/>
      <c r="L67" s="74" t="s">
        <v>62</v>
      </c>
      <c r="M67" s="77">
        <f>'Tabel 1.1'!G20</f>
        <v>0</v>
      </c>
      <c r="N67" s="77">
        <f>'Tabel 1.1'!H20</f>
        <v>0</v>
      </c>
      <c r="O67" s="74"/>
    </row>
    <row r="68" spans="1:15" x14ac:dyDescent="0.3">
      <c r="A68" s="74"/>
      <c r="B68" s="74"/>
      <c r="C68" s="74"/>
      <c r="D68" s="74"/>
      <c r="E68" s="74"/>
      <c r="F68" s="74"/>
      <c r="G68" s="74"/>
      <c r="H68" s="74"/>
      <c r="I68" s="74"/>
      <c r="J68" s="74"/>
      <c r="K68" s="74"/>
      <c r="L68" s="74" t="s">
        <v>63</v>
      </c>
      <c r="M68" s="77">
        <f>'Tabel 1.1'!G21</f>
        <v>641185711.48478997</v>
      </c>
      <c r="N68" s="77">
        <f>'Tabel 1.1'!H21</f>
        <v>665564510.55555999</v>
      </c>
      <c r="O68" s="74"/>
    </row>
    <row r="69" spans="1:15" x14ac:dyDescent="0.3">
      <c r="A69" s="74"/>
      <c r="B69" s="74"/>
      <c r="C69" s="74"/>
      <c r="D69" s="74"/>
      <c r="E69" s="74"/>
      <c r="F69" s="74"/>
      <c r="G69" s="74"/>
      <c r="H69" s="74"/>
      <c r="I69" s="74"/>
      <c r="J69" s="74"/>
      <c r="K69" s="74"/>
      <c r="L69" s="74" t="s">
        <v>64</v>
      </c>
      <c r="M69" s="77">
        <f>'Tabel 1.1'!G22</f>
        <v>84130.56700000001</v>
      </c>
      <c r="N69" s="77">
        <f>'Tabel 1.1'!H22</f>
        <v>114338.397</v>
      </c>
      <c r="O69" s="74"/>
    </row>
    <row r="70" spans="1:15" x14ac:dyDescent="0.3">
      <c r="A70" s="74"/>
      <c r="B70" s="74"/>
      <c r="C70" s="74"/>
      <c r="D70" s="74"/>
      <c r="E70" s="74"/>
      <c r="F70" s="74"/>
      <c r="G70" s="74"/>
      <c r="H70" s="74"/>
      <c r="I70" s="74"/>
      <c r="J70" s="74"/>
      <c r="K70" s="74"/>
      <c r="L70" s="74" t="s">
        <v>396</v>
      </c>
      <c r="M70" s="77">
        <f>'Tabel 1.1'!G23</f>
        <v>0</v>
      </c>
      <c r="N70" s="77">
        <f>'Tabel 1.1'!H23</f>
        <v>0</v>
      </c>
      <c r="O70" s="74"/>
    </row>
    <row r="71" spans="1:15" x14ac:dyDescent="0.3">
      <c r="A71" s="74"/>
      <c r="B71" s="74"/>
      <c r="C71" s="74"/>
      <c r="D71" s="74"/>
      <c r="E71" s="74"/>
      <c r="F71" s="74"/>
      <c r="G71" s="74"/>
      <c r="H71" s="74"/>
      <c r="I71" s="74"/>
      <c r="J71" s="74"/>
      <c r="K71" s="74"/>
      <c r="L71" s="74" t="s">
        <v>402</v>
      </c>
      <c r="M71" s="77">
        <f>'Tabel 1.1'!G24</f>
        <v>0</v>
      </c>
      <c r="N71" s="77">
        <f>'Tabel 1.1'!H24</f>
        <v>0</v>
      </c>
      <c r="O71" s="74"/>
    </row>
    <row r="72" spans="1:15" x14ac:dyDescent="0.3">
      <c r="A72" s="74"/>
      <c r="B72" s="74"/>
      <c r="C72" s="74"/>
      <c r="D72" s="74"/>
      <c r="E72" s="74"/>
      <c r="F72" s="74"/>
      <c r="G72" s="74"/>
      <c r="H72" s="74"/>
      <c r="I72" s="74"/>
      <c r="J72" s="74"/>
      <c r="K72" s="74"/>
      <c r="L72" s="74" t="s">
        <v>65</v>
      </c>
      <c r="M72" s="77">
        <f>'Tabel 1.1'!G25</f>
        <v>56075290.000025906</v>
      </c>
      <c r="N72" s="77">
        <f>'Tabel 1.1'!H25</f>
        <v>54987610.000009887</v>
      </c>
      <c r="O72" s="74"/>
    </row>
    <row r="73" spans="1:15" x14ac:dyDescent="0.3">
      <c r="A73" s="74"/>
      <c r="B73" s="74"/>
      <c r="C73" s="74"/>
      <c r="D73" s="74"/>
      <c r="E73" s="74"/>
      <c r="F73" s="74"/>
      <c r="G73" s="74"/>
      <c r="H73" s="74"/>
      <c r="I73" s="74"/>
      <c r="J73" s="74"/>
      <c r="K73" s="74"/>
      <c r="L73" s="74" t="s">
        <v>66</v>
      </c>
      <c r="M73" s="77">
        <f>'Tabel 1.1'!G26</f>
        <v>82039593</v>
      </c>
      <c r="N73" s="77">
        <f>'Tabel 1.1'!H26</f>
        <v>88090907</v>
      </c>
      <c r="O73" s="74"/>
    </row>
    <row r="74" spans="1:15" x14ac:dyDescent="0.3">
      <c r="A74" s="74"/>
      <c r="B74" s="74"/>
      <c r="C74" s="74"/>
      <c r="D74" s="74"/>
      <c r="E74" s="74"/>
      <c r="F74" s="74"/>
      <c r="G74" s="74"/>
      <c r="H74" s="74"/>
      <c r="I74" s="74"/>
      <c r="J74" s="74"/>
      <c r="K74" s="74"/>
      <c r="L74" s="74" t="s">
        <v>67</v>
      </c>
      <c r="M74" s="77">
        <f>'Tabel 1.1'!G28</f>
        <v>20731745.61747</v>
      </c>
      <c r="N74" s="77">
        <f>'Tabel 1.1'!H28</f>
        <v>19424412.876610003</v>
      </c>
      <c r="O74" s="74"/>
    </row>
    <row r="75" spans="1:15" x14ac:dyDescent="0.3">
      <c r="A75" s="74"/>
      <c r="B75" s="74"/>
      <c r="C75" s="74"/>
      <c r="D75" s="74"/>
      <c r="E75" s="74"/>
      <c r="F75" s="74"/>
      <c r="G75" s="74"/>
      <c r="H75" s="74"/>
      <c r="I75" s="74"/>
      <c r="J75" s="74"/>
      <c r="K75" s="74"/>
      <c r="L75" s="74" t="s">
        <v>68</v>
      </c>
      <c r="M75" s="77">
        <f>'Tabel 1.1'!G29</f>
        <v>200579203.15599999</v>
      </c>
      <c r="N75" s="77">
        <f>'Tabel 1.1'!H29</f>
        <v>201474818.16530001</v>
      </c>
      <c r="O75" s="74"/>
    </row>
    <row r="76" spans="1:15" x14ac:dyDescent="0.3">
      <c r="A76" s="74"/>
      <c r="B76" s="74"/>
      <c r="C76" s="74"/>
      <c r="D76" s="74"/>
      <c r="E76" s="74"/>
      <c r="F76" s="74"/>
      <c r="G76" s="74"/>
      <c r="H76" s="74"/>
      <c r="I76" s="74"/>
      <c r="J76" s="74"/>
      <c r="K76" s="74"/>
      <c r="L76" s="74" t="s">
        <v>95</v>
      </c>
      <c r="M76" s="77">
        <f>'Tabel 1.1'!G30</f>
        <v>0</v>
      </c>
      <c r="N76" s="77">
        <f>'Tabel 1.1'!H30</f>
        <v>0</v>
      </c>
      <c r="O76" s="74"/>
    </row>
    <row r="77" spans="1:15" x14ac:dyDescent="0.3">
      <c r="A77" s="74"/>
      <c r="B77" s="74"/>
      <c r="C77" s="74"/>
      <c r="D77" s="74"/>
      <c r="E77" s="74"/>
      <c r="F77" s="74"/>
      <c r="G77" s="74"/>
      <c r="H77" s="74"/>
      <c r="I77" s="74"/>
      <c r="J77" s="74"/>
      <c r="K77" s="74"/>
      <c r="L77" s="74" t="s">
        <v>96</v>
      </c>
      <c r="M77" s="77">
        <f>'Tabel 1.1'!G31</f>
        <v>0</v>
      </c>
      <c r="N77" s="77">
        <f>'Tabel 1.1'!H31</f>
        <v>0</v>
      </c>
      <c r="O77" s="74"/>
    </row>
    <row r="78" spans="1:15" x14ac:dyDescent="0.3">
      <c r="A78" s="74"/>
      <c r="B78" s="74"/>
      <c r="C78" s="74"/>
      <c r="D78" s="74"/>
      <c r="E78" s="74"/>
      <c r="F78" s="74"/>
      <c r="G78" s="74"/>
      <c r="H78" s="74"/>
      <c r="I78" s="74"/>
      <c r="J78" s="74"/>
      <c r="K78" s="74"/>
      <c r="L78" s="74" t="s">
        <v>394</v>
      </c>
      <c r="M78" s="77">
        <f>'Tabel 1.1'!G32</f>
        <v>0</v>
      </c>
      <c r="N78" s="77">
        <f>'Tabel 1.1'!H32</f>
        <v>0</v>
      </c>
      <c r="O78" s="74"/>
    </row>
    <row r="79" spans="1:15" x14ac:dyDescent="0.3">
      <c r="A79" s="74"/>
      <c r="B79" s="74"/>
      <c r="C79" s="74"/>
      <c r="D79" s="74"/>
      <c r="E79" s="74"/>
      <c r="F79" s="74"/>
      <c r="G79" s="74"/>
      <c r="H79" s="74"/>
      <c r="I79" s="74"/>
      <c r="J79" s="74"/>
      <c r="K79" s="74"/>
      <c r="L79" s="74" t="s">
        <v>405</v>
      </c>
      <c r="M79" s="77">
        <f>'Tabel 1.1'!G33</f>
        <v>837</v>
      </c>
      <c r="N79" s="77">
        <f>'Tabel 1.1'!H33</f>
        <v>7107</v>
      </c>
      <c r="O79" s="74"/>
    </row>
    <row r="80" spans="1:15" x14ac:dyDescent="0.3">
      <c r="A80" s="75" t="s">
        <v>429</v>
      </c>
      <c r="B80" s="74"/>
      <c r="C80" s="74"/>
      <c r="D80" s="74"/>
      <c r="E80" s="74"/>
      <c r="F80" s="74"/>
      <c r="G80" s="74"/>
      <c r="H80" s="74"/>
      <c r="I80" s="79"/>
      <c r="J80" s="74"/>
      <c r="K80" s="74"/>
      <c r="O80" s="74"/>
    </row>
    <row r="81" spans="1:15" x14ac:dyDescent="0.3">
      <c r="B81" s="74"/>
      <c r="C81" s="74"/>
      <c r="D81" s="74"/>
      <c r="E81" s="74"/>
      <c r="F81" s="74"/>
      <c r="G81" s="74"/>
      <c r="H81" s="74"/>
      <c r="I81" s="74"/>
      <c r="J81" s="74"/>
      <c r="K81" s="74"/>
      <c r="L81" s="74" t="s">
        <v>73</v>
      </c>
      <c r="O81" s="74"/>
    </row>
    <row r="82" spans="1:15" x14ac:dyDescent="0.3">
      <c r="A82" s="74"/>
      <c r="B82" s="74"/>
      <c r="C82" s="74"/>
      <c r="D82" s="74"/>
      <c r="E82" s="74"/>
      <c r="F82" s="74"/>
      <c r="G82" s="74"/>
      <c r="H82" s="74"/>
      <c r="I82" s="74"/>
      <c r="J82" s="74"/>
      <c r="K82" s="74"/>
      <c r="L82" s="74" t="s">
        <v>1</v>
      </c>
      <c r="O82" s="74"/>
    </row>
    <row r="83" spans="1:15" x14ac:dyDescent="0.3">
      <c r="A83" s="74"/>
      <c r="B83" s="74"/>
      <c r="C83" s="74"/>
      <c r="D83" s="74"/>
      <c r="E83" s="74"/>
      <c r="F83" s="74"/>
      <c r="G83" s="74"/>
      <c r="H83" s="74"/>
      <c r="I83" s="74"/>
      <c r="J83" s="74"/>
      <c r="K83" s="74"/>
      <c r="M83" s="74">
        <f>M7</f>
        <v>2022</v>
      </c>
      <c r="N83" s="74">
        <f>N7</f>
        <v>2023</v>
      </c>
      <c r="O83" s="74"/>
    </row>
    <row r="84" spans="1:15" x14ac:dyDescent="0.3">
      <c r="A84" s="74"/>
      <c r="B84" s="74"/>
      <c r="C84" s="74"/>
      <c r="D84" s="74"/>
      <c r="E84" s="74"/>
      <c r="F84" s="74"/>
      <c r="G84" s="74"/>
      <c r="H84" s="74"/>
      <c r="I84" s="74"/>
      <c r="J84" s="74"/>
      <c r="K84" s="74"/>
      <c r="L84" s="74" t="s">
        <v>54</v>
      </c>
      <c r="M84" s="77">
        <f>'Tabel 1.1'!G37</f>
        <v>28240109.531000003</v>
      </c>
      <c r="N84" s="77">
        <f>'Tabel 1.1'!H37</f>
        <v>0</v>
      </c>
      <c r="O84" s="74"/>
    </row>
    <row r="85" spans="1:15" x14ac:dyDescent="0.3">
      <c r="B85" s="74"/>
      <c r="C85" s="74"/>
      <c r="D85" s="74"/>
      <c r="E85" s="74"/>
      <c r="F85" s="74"/>
      <c r="G85" s="74"/>
      <c r="H85" s="74"/>
      <c r="I85" s="74"/>
      <c r="J85" s="74"/>
      <c r="K85" s="74"/>
      <c r="L85" s="74" t="s">
        <v>55</v>
      </c>
      <c r="M85" s="77">
        <f>'Tabel 1.1'!G38</f>
        <v>137360760.34</v>
      </c>
      <c r="N85" s="77">
        <f>'Tabel 1.1'!H38</f>
        <v>146459867.64199999</v>
      </c>
      <c r="O85" s="74"/>
    </row>
    <row r="86" spans="1:15" x14ac:dyDescent="0.3">
      <c r="B86" s="74"/>
      <c r="C86" s="74"/>
      <c r="D86" s="74"/>
      <c r="E86" s="74"/>
      <c r="F86" s="74"/>
      <c r="G86" s="74"/>
      <c r="H86" s="74"/>
      <c r="I86" s="74"/>
      <c r="J86" s="74"/>
      <c r="K86" s="74"/>
      <c r="L86" s="74" t="s">
        <v>57</v>
      </c>
      <c r="M86" s="77">
        <f>'Tabel 1.1'!G39</f>
        <v>0</v>
      </c>
      <c r="N86" s="77">
        <f>'Tabel 1.1'!H39</f>
        <v>0</v>
      </c>
      <c r="O86" s="74"/>
    </row>
    <row r="87" spans="1:15" x14ac:dyDescent="0.3">
      <c r="B87" s="74"/>
      <c r="C87" s="74"/>
      <c r="D87" s="74"/>
      <c r="E87" s="74"/>
      <c r="F87" s="74"/>
      <c r="G87" s="74"/>
      <c r="H87" s="74"/>
      <c r="I87" s="74"/>
      <c r="J87" s="74"/>
      <c r="K87" s="74"/>
      <c r="L87" s="79" t="s">
        <v>60</v>
      </c>
      <c r="M87" s="78">
        <f>'Tabel 1.1'!G40</f>
        <v>42719338</v>
      </c>
      <c r="N87" s="78">
        <f>'Tabel 1.1'!H40</f>
        <v>51422836</v>
      </c>
      <c r="O87" s="74"/>
    </row>
    <row r="88" spans="1:15" x14ac:dyDescent="0.3">
      <c r="B88" s="74"/>
      <c r="C88" s="74"/>
      <c r="D88" s="74"/>
      <c r="E88" s="74"/>
      <c r="F88" s="74"/>
      <c r="G88" s="74"/>
      <c r="H88" s="74"/>
      <c r="I88" s="74"/>
      <c r="J88" s="74"/>
      <c r="K88" s="74"/>
      <c r="L88" s="79" t="s">
        <v>63</v>
      </c>
      <c r="M88" s="78">
        <f>'Tabel 1.1'!G41</f>
        <v>2847329.1389299999</v>
      </c>
      <c r="N88" s="78">
        <f>'Tabel 1.1'!H41</f>
        <v>2609059.09693</v>
      </c>
      <c r="O88" s="74"/>
    </row>
    <row r="89" spans="1:15" x14ac:dyDescent="0.3">
      <c r="B89" s="74"/>
      <c r="C89" s="74"/>
      <c r="D89" s="74"/>
      <c r="E89" s="74"/>
      <c r="F89" s="74"/>
      <c r="G89" s="74"/>
      <c r="H89" s="74"/>
      <c r="I89" s="74"/>
      <c r="J89" s="74"/>
      <c r="K89" s="74"/>
      <c r="L89" s="79" t="s">
        <v>65</v>
      </c>
      <c r="M89" s="78">
        <f>'Tabel 1.1'!G42</f>
        <v>122540880</v>
      </c>
      <c r="N89" s="78">
        <f>'Tabel 1.1'!H42</f>
        <v>126457560</v>
      </c>
      <c r="O89" s="74"/>
    </row>
    <row r="90" spans="1:15" x14ac:dyDescent="0.3">
      <c r="B90" s="74"/>
      <c r="C90" s="74"/>
      <c r="D90" s="74"/>
      <c r="E90" s="74"/>
      <c r="F90" s="74"/>
      <c r="G90" s="74"/>
      <c r="H90" s="74"/>
      <c r="I90" s="74"/>
      <c r="J90" s="74"/>
      <c r="K90" s="74"/>
      <c r="L90" s="74" t="s">
        <v>71</v>
      </c>
      <c r="M90" s="77">
        <f>'Tabel 1.1'!G43</f>
        <v>2929926.8749500001</v>
      </c>
      <c r="N90" s="77">
        <f>'Tabel 1.1'!H43</f>
        <v>0</v>
      </c>
      <c r="O90" s="74"/>
    </row>
    <row r="91" spans="1:15" x14ac:dyDescent="0.3">
      <c r="A91" s="74"/>
      <c r="B91" s="74"/>
      <c r="C91" s="74"/>
      <c r="D91" s="74"/>
      <c r="E91" s="74"/>
      <c r="F91" s="74"/>
      <c r="G91" s="74"/>
      <c r="H91" s="74"/>
      <c r="I91" s="74"/>
      <c r="J91" s="74"/>
      <c r="K91" s="74"/>
      <c r="L91" s="74" t="s">
        <v>67</v>
      </c>
      <c r="M91" s="77">
        <f>'Tabel 1.1'!G44</f>
        <v>55349782.673019998</v>
      </c>
      <c r="N91" s="77">
        <f>'Tabel 1.1'!H44</f>
        <v>60413574.038189903</v>
      </c>
      <c r="O91" s="74"/>
    </row>
    <row r="92" spans="1:15" ht="18.75" customHeight="1" x14ac:dyDescent="0.3">
      <c r="A92" s="74"/>
      <c r="B92" s="74"/>
      <c r="C92" s="74"/>
      <c r="D92" s="74"/>
      <c r="E92" s="74"/>
      <c r="F92" s="74"/>
      <c r="G92" s="74"/>
      <c r="H92" s="74"/>
      <c r="I92" s="74"/>
      <c r="J92" s="74"/>
      <c r="K92" s="74"/>
      <c r="L92" s="74" t="s">
        <v>72</v>
      </c>
      <c r="M92" s="77">
        <f>'Tabel 1.1'!G45</f>
        <v>154175707.56736001</v>
      </c>
      <c r="N92" s="77">
        <f>'Tabel 1.1'!H45</f>
        <v>191251233.176</v>
      </c>
      <c r="O92" s="74"/>
    </row>
    <row r="93" spans="1:15" ht="18.75" customHeight="1" x14ac:dyDescent="0.3">
      <c r="A93" s="74"/>
      <c r="B93" s="74"/>
      <c r="C93" s="74"/>
      <c r="D93" s="74"/>
      <c r="E93" s="74"/>
      <c r="F93" s="74"/>
      <c r="G93" s="74"/>
      <c r="H93" s="74"/>
      <c r="I93" s="74"/>
      <c r="J93" s="74"/>
      <c r="K93" s="74"/>
      <c r="M93" s="77"/>
      <c r="O93" s="74"/>
    </row>
    <row r="94" spans="1:15" ht="18.75" customHeight="1" x14ac:dyDescent="0.3">
      <c r="A94" s="74"/>
      <c r="B94" s="74"/>
      <c r="C94" s="74"/>
      <c r="D94" s="74"/>
      <c r="E94" s="74"/>
      <c r="F94" s="74"/>
      <c r="G94" s="74"/>
      <c r="H94" s="74"/>
      <c r="I94" s="74"/>
      <c r="J94" s="74"/>
      <c r="K94" s="74"/>
      <c r="O94" s="74"/>
    </row>
    <row r="95" spans="1:15" ht="18.75" customHeight="1" x14ac:dyDescent="0.3">
      <c r="A95" s="74"/>
      <c r="B95" s="74"/>
      <c r="C95" s="74"/>
      <c r="D95" s="74"/>
      <c r="E95" s="74"/>
      <c r="F95" s="74"/>
      <c r="G95" s="74"/>
      <c r="H95" s="74"/>
      <c r="I95" s="74"/>
      <c r="J95" s="74"/>
      <c r="K95" s="74"/>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430</v>
      </c>
      <c r="B106" s="74"/>
      <c r="C106" s="74"/>
      <c r="D106" s="74"/>
      <c r="E106" s="74"/>
      <c r="F106" s="74"/>
      <c r="G106" s="74"/>
      <c r="H106" s="79"/>
      <c r="I106" s="74"/>
      <c r="J106" s="74"/>
      <c r="K106" s="74"/>
      <c r="L106" s="79" t="s">
        <v>74</v>
      </c>
      <c r="O106" s="74"/>
      <c r="Q106" s="74"/>
    </row>
    <row r="107" spans="1:17" ht="18.75" customHeight="1" x14ac:dyDescent="0.3">
      <c r="A107" s="74"/>
      <c r="B107" s="74"/>
      <c r="C107" s="74"/>
      <c r="D107" s="74"/>
      <c r="E107" s="74"/>
      <c r="F107" s="74"/>
      <c r="G107" s="74"/>
      <c r="H107" s="74"/>
      <c r="I107" s="74"/>
      <c r="J107" s="74"/>
      <c r="K107" s="74"/>
      <c r="L107" s="74" t="s">
        <v>0</v>
      </c>
      <c r="O107" s="74"/>
      <c r="Q107" s="74"/>
    </row>
    <row r="108" spans="1:17" ht="18.75" customHeight="1" x14ac:dyDescent="0.3">
      <c r="A108" s="74"/>
      <c r="B108" s="74"/>
      <c r="C108" s="74"/>
      <c r="D108" s="74"/>
      <c r="E108" s="74"/>
      <c r="F108" s="74"/>
      <c r="G108" s="74"/>
      <c r="H108" s="74"/>
      <c r="I108" s="74"/>
      <c r="J108" s="74"/>
      <c r="K108" s="74"/>
      <c r="M108" s="74">
        <f>M7</f>
        <v>2022</v>
      </c>
      <c r="N108" s="74">
        <f>N7</f>
        <v>2023</v>
      </c>
      <c r="O108" s="74"/>
      <c r="Q108" s="74"/>
    </row>
    <row r="109" spans="1:17" ht="18.75" customHeight="1" x14ac:dyDescent="0.3">
      <c r="A109" s="74"/>
      <c r="B109" s="74"/>
      <c r="C109" s="74"/>
      <c r="D109" s="74"/>
      <c r="E109" s="74"/>
      <c r="F109" s="74"/>
      <c r="G109" s="74"/>
      <c r="H109" s="74"/>
      <c r="I109" s="74"/>
      <c r="J109" s="74"/>
      <c r="K109" s="74"/>
      <c r="L109" s="74" t="s">
        <v>54</v>
      </c>
      <c r="M109" s="77">
        <f>'Storebrand Danica Pensjon'!B11-'Storebrand Danica Pensjon'!B12+'Storebrand Danica Pensjon'!B34-'Storebrand Danica Pensjon'!B35+'Storebrand Danica Pensjon'!B38-'Storebrand Danica Pensjon'!B39+'Storebrand Danica Pensjon'!B111-'Storebrand Danica Pensjon'!B119+'Storebrand Danica Pensjon'!B136-'Storebrand Danica Pensjon'!B137</f>
        <v>-3752.9429999999998</v>
      </c>
      <c r="N109" s="77">
        <f>'Storebrand Danica Pensjon'!C11-'Storebrand Danica Pensjon'!C12+'Storebrand Danica Pensjon'!C34-'Storebrand Danica Pensjon'!C35+'Storebrand Danica Pensjon'!C38-'Storebrand Danica Pensjon'!C39+'Storebrand Danica Pensjon'!C111-'Storebrand Danica Pensjon'!C119+'Storebrand Danica Pensjon'!C136-'Storebrand Danica Pensjon'!C137</f>
        <v>0</v>
      </c>
      <c r="O109" s="74"/>
      <c r="Q109" s="74"/>
    </row>
    <row r="110" spans="1:17" ht="18.75" customHeight="1" x14ac:dyDescent="0.3">
      <c r="A110" s="74"/>
      <c r="B110" s="74"/>
      <c r="C110" s="74"/>
      <c r="D110" s="74"/>
      <c r="E110" s="74"/>
      <c r="F110" s="74"/>
      <c r="G110" s="74"/>
      <c r="H110" s="74"/>
      <c r="I110" s="74"/>
      <c r="J110" s="74"/>
      <c r="K110" s="74"/>
      <c r="L110" s="74" t="s">
        <v>55</v>
      </c>
      <c r="M110" s="77">
        <f>'DNB Livsforsikring'!B11-'DNB Livsforsikring'!B12+'DNB Livsforsikring'!B34-'DNB Livsforsikring'!B35+'DNB Livsforsikring'!B38-'DNB Livsforsikring'!B39+'DNB Livsforsikring'!B111-'DNB Livsforsikring'!B119+'DNB Livsforsikring'!B136-'DNB Livsforsikring'!B137</f>
        <v>47572.901669999992</v>
      </c>
      <c r="N110" s="77">
        <f>'DNB Livsforsikring'!C11-'DNB Livsforsikring'!C12+'DNB Livsforsikring'!C34-'DNB Livsforsikring'!C35+'DNB Livsforsikring'!C38-'DNB Livsforsikring'!C39+'DNB Livsforsikring'!C111-'DNB Livsforsikring'!C119+'DNB Livsforsikring'!C136-'DNB Livsforsikring'!C137</f>
        <v>46187</v>
      </c>
      <c r="O110" s="74"/>
      <c r="Q110" s="74"/>
    </row>
    <row r="111" spans="1:17" ht="18.75" customHeight="1" x14ac:dyDescent="0.3">
      <c r="A111" s="74"/>
      <c r="B111" s="74"/>
      <c r="C111" s="74"/>
      <c r="D111" s="74"/>
      <c r="E111" s="74"/>
      <c r="F111" s="74"/>
      <c r="G111" s="74"/>
      <c r="H111" s="74"/>
      <c r="I111" s="74"/>
      <c r="J111" s="74"/>
      <c r="K111" s="74"/>
      <c r="L111" s="79" t="s">
        <v>60</v>
      </c>
      <c r="M111" s="77">
        <f>'Gjensidige Pensjon'!B11-'Gjensidige Pensjon'!B12+'Gjensidige Pensjon'!B34-'Gjensidige Pensjon'!B35+'Gjensidige Pensjon'!B38-'Gjensidige Pensjon'!B39+'Gjensidige Pensjon'!B111-'Gjensidige Pensjon'!B119+'Gjensidige Pensjon'!B136-'Gjensidige Pensjon'!B137</f>
        <v>24480</v>
      </c>
      <c r="N111" s="77">
        <f>'Gjensidige Pensjon'!C11-'Gjensidige Pensjon'!C12+'Gjensidige Pensjon'!C34-'Gjensidige Pensjon'!C35+'Gjensidige Pensjon'!C38-'Gjensidige Pensjon'!C39+'Gjensidige Pensjon'!C111-'Gjensidige Pensjon'!C119+'Gjensidige Pensjon'!C136-'Gjensidige Pensjon'!C137</f>
        <v>36306</v>
      </c>
      <c r="O111" s="74"/>
      <c r="Q111" s="74"/>
    </row>
    <row r="112" spans="1:17" ht="18.75" customHeight="1" x14ac:dyDescent="0.3">
      <c r="A112" s="74"/>
      <c r="B112" s="74"/>
      <c r="C112" s="74"/>
      <c r="D112" s="74"/>
      <c r="E112" s="74"/>
      <c r="F112" s="74"/>
      <c r="G112" s="74"/>
      <c r="H112" s="74"/>
      <c r="I112" s="74"/>
      <c r="J112" s="74"/>
      <c r="K112" s="74"/>
      <c r="L112" s="79" t="s">
        <v>63</v>
      </c>
      <c r="M112" s="77">
        <f>KLP!B11-KLP!B12+KLP!B34-KLP!B35+KLP!B38-KLP!B39+KLP!B111-KLP!B119+KLP!B136-KLP!B137</f>
        <v>-4875400.2249999996</v>
      </c>
      <c r="N112" s="77">
        <f>KLP!C11-KLP!C12+KLP!C34-KLP!C35+KLP!C38-KLP!C39+KLP!C111-KLP!C119+KLP!C136-KLP!C137</f>
        <v>-2034368.132</v>
      </c>
      <c r="O112" s="74"/>
      <c r="Q112" s="74"/>
    </row>
    <row r="113" spans="1:17" ht="18.75" customHeight="1" x14ac:dyDescent="0.3">
      <c r="A113" s="74"/>
      <c r="B113" s="74"/>
      <c r="C113" s="74"/>
      <c r="D113" s="74"/>
      <c r="E113" s="74"/>
      <c r="F113" s="74"/>
      <c r="G113" s="74"/>
      <c r="H113" s="74"/>
      <c r="I113" s="74"/>
      <c r="J113" s="74"/>
      <c r="K113" s="74"/>
      <c r="L113" s="74" t="s">
        <v>65</v>
      </c>
      <c r="M113" s="77">
        <f>'Nordea Liv '!B11-'Nordea Liv '!B12+'Nordea Liv '!B34-'Nordea Liv '!B35+'Nordea Liv '!B38-'Nordea Liv '!B39+'Nordea Liv '!B111-'Nordea Liv '!B119+'Nordea Liv '!B136-'Nordea Liv '!B137</f>
        <v>-700.25171000010005</v>
      </c>
      <c r="N113" s="77">
        <f>'Nordea Liv '!C11-'Nordea Liv '!C12+'Nordea Liv '!C34-'Nordea Liv '!C35+'Nordea Liv '!C38-'Nordea Liv '!C39+'Nordea Liv '!C111-'Nordea Liv '!C119+'Nordea Liv '!C136-'Nordea Liv '!C137</f>
        <v>-1911.31200000015</v>
      </c>
      <c r="O113" s="74"/>
      <c r="Q113" s="74"/>
    </row>
    <row r="114" spans="1:17" ht="18.75" customHeight="1" x14ac:dyDescent="0.3">
      <c r="A114" s="74"/>
      <c r="B114" s="74"/>
      <c r="C114" s="74"/>
      <c r="D114" s="74"/>
      <c r="E114" s="74"/>
      <c r="F114" s="74"/>
      <c r="G114" s="74"/>
      <c r="H114" s="74"/>
      <c r="I114" s="74"/>
      <c r="J114" s="74"/>
      <c r="K114" s="74"/>
      <c r="L114" s="74" t="s">
        <v>67</v>
      </c>
      <c r="M114" s="77">
        <f>'Sparebank 1 Forsikring'!B11-'Sparebank 1 Forsikring'!B12+'Sparebank 1 Forsikring'!B34-'Sparebank 1 Forsikring'!B35+'Sparebank 1 Forsikring'!B38-'Sparebank 1 Forsikring'!B39+'Sparebank 1 Forsikring'!B111-'Sparebank 1 Forsikring'!B119+'Sparebank 1 Forsikring'!B136-'Sparebank 1 Forsikring'!B137</f>
        <v>-188515.81315</v>
      </c>
      <c r="N114" s="77">
        <f>'Sparebank 1 Forsikring'!C11-'Sparebank 1 Forsikring'!C12+'Sparebank 1 Forsikring'!C34-'Sparebank 1 Forsikring'!C35+'Sparebank 1 Forsikring'!C38-'Sparebank 1 Forsikring'!C39+'Sparebank 1 Forsikring'!C111-'Sparebank 1 Forsikring'!C119+'Sparebank 1 Forsikring'!C136-'Sparebank 1 Forsikring'!C137</f>
        <v>-25785.912479999999</v>
      </c>
      <c r="O114" s="74"/>
      <c r="Q114" s="74"/>
    </row>
    <row r="115" spans="1:17" ht="18.75" customHeight="1" x14ac:dyDescent="0.3">
      <c r="A115" s="74"/>
      <c r="B115" s="74"/>
      <c r="C115" s="74"/>
      <c r="D115" s="74"/>
      <c r="E115" s="74"/>
      <c r="F115" s="74"/>
      <c r="G115" s="74"/>
      <c r="H115" s="74"/>
      <c r="I115" s="74"/>
      <c r="J115" s="74"/>
      <c r="K115" s="74"/>
      <c r="L115" s="74" t="s">
        <v>68</v>
      </c>
      <c r="M115"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3263672.068</v>
      </c>
      <c r="N115"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819261.93400000001</v>
      </c>
      <c r="O115" s="74"/>
      <c r="Q115" s="74"/>
    </row>
    <row r="116" spans="1:17" ht="18.75" customHeight="1" x14ac:dyDescent="0.3">
      <c r="A116" s="74"/>
      <c r="B116" s="74"/>
      <c r="C116" s="74"/>
      <c r="D116" s="74"/>
      <c r="E116" s="74"/>
      <c r="F116" s="74"/>
      <c r="G116" s="74"/>
      <c r="H116" s="74"/>
      <c r="I116" s="74"/>
      <c r="J116" s="74"/>
      <c r="K116" s="74"/>
      <c r="M116" s="77"/>
      <c r="N116" s="77"/>
      <c r="O116" s="74"/>
      <c r="Q116" s="74"/>
    </row>
    <row r="117" spans="1:17" ht="18.75" customHeight="1" x14ac:dyDescent="0.3">
      <c r="A117" s="74"/>
      <c r="B117" s="74"/>
      <c r="C117" s="74"/>
      <c r="D117" s="74"/>
      <c r="E117" s="74"/>
      <c r="F117" s="74"/>
      <c r="G117" s="74"/>
      <c r="H117" s="74"/>
      <c r="I117" s="74"/>
      <c r="J117" s="74"/>
      <c r="K117" s="74"/>
      <c r="M117" s="77"/>
      <c r="N117" s="77"/>
      <c r="O117" s="74"/>
    </row>
    <row r="118" spans="1:17" ht="18.75" customHeight="1" x14ac:dyDescent="0.3">
      <c r="A118" s="74"/>
      <c r="B118" s="74"/>
      <c r="C118" s="74"/>
      <c r="D118" s="74"/>
      <c r="E118" s="74"/>
      <c r="F118" s="74"/>
      <c r="G118" s="74"/>
      <c r="H118" s="74"/>
      <c r="I118" s="74"/>
      <c r="J118" s="74"/>
      <c r="K118" s="74"/>
      <c r="M118" s="77"/>
      <c r="N118" s="77"/>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O123" s="74"/>
    </row>
    <row r="124" spans="1:17" x14ac:dyDescent="0.3">
      <c r="A124" s="74"/>
      <c r="B124" s="74"/>
      <c r="C124" s="74"/>
      <c r="D124" s="74"/>
      <c r="E124" s="74"/>
      <c r="F124" s="74"/>
      <c r="G124" s="74"/>
      <c r="H124" s="74"/>
      <c r="I124" s="74"/>
      <c r="J124" s="74"/>
      <c r="K124" s="74"/>
      <c r="O124" s="74"/>
    </row>
    <row r="125" spans="1:17" x14ac:dyDescent="0.3">
      <c r="A125" s="74"/>
      <c r="B125" s="74"/>
      <c r="C125" s="74"/>
      <c r="D125" s="74"/>
      <c r="E125" s="74"/>
      <c r="F125" s="74"/>
      <c r="G125" s="74"/>
      <c r="H125" s="74"/>
      <c r="I125" s="74"/>
      <c r="J125" s="74"/>
      <c r="K125" s="74"/>
      <c r="O125" s="74"/>
    </row>
    <row r="126" spans="1:17" x14ac:dyDescent="0.3">
      <c r="A126" s="74"/>
      <c r="B126" s="74"/>
      <c r="C126" s="74"/>
      <c r="D126" s="74"/>
      <c r="E126" s="74"/>
      <c r="F126" s="74"/>
      <c r="G126" s="74"/>
      <c r="H126" s="74"/>
      <c r="I126" s="74"/>
      <c r="J126" s="74"/>
      <c r="K126" s="74"/>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L129" s="79" t="s">
        <v>75</v>
      </c>
      <c r="O129" s="74"/>
    </row>
    <row r="130" spans="1:15" x14ac:dyDescent="0.3">
      <c r="A130" s="75" t="s">
        <v>431</v>
      </c>
      <c r="B130" s="74"/>
      <c r="C130" s="74"/>
      <c r="D130" s="74"/>
      <c r="E130" s="74"/>
      <c r="F130" s="74"/>
      <c r="G130" s="74"/>
      <c r="H130" s="79"/>
      <c r="I130" s="74"/>
      <c r="J130" s="74"/>
      <c r="K130" s="74"/>
      <c r="L130" s="74" t="s">
        <v>1</v>
      </c>
      <c r="O130" s="74"/>
    </row>
    <row r="131" spans="1:15" x14ac:dyDescent="0.3">
      <c r="B131" s="74"/>
      <c r="C131" s="74"/>
      <c r="D131" s="74"/>
      <c r="E131" s="74"/>
      <c r="F131" s="74"/>
      <c r="G131" s="74"/>
      <c r="H131" s="74"/>
      <c r="I131" s="74"/>
      <c r="J131" s="74"/>
      <c r="K131" s="74"/>
      <c r="M131" s="74">
        <f>M7</f>
        <v>2022</v>
      </c>
      <c r="N131" s="74">
        <f>N7</f>
        <v>2023</v>
      </c>
      <c r="O131" s="74"/>
    </row>
    <row r="132" spans="1:15" x14ac:dyDescent="0.3">
      <c r="A132" s="74"/>
      <c r="B132" s="74"/>
      <c r="C132" s="74"/>
      <c r="D132" s="74"/>
      <c r="E132" s="74"/>
      <c r="F132" s="74"/>
      <c r="G132" s="74"/>
      <c r="H132" s="74"/>
      <c r="I132" s="74"/>
      <c r="J132" s="74"/>
      <c r="K132" s="74"/>
      <c r="L132" s="74" t="s">
        <v>54</v>
      </c>
      <c r="M132" s="77">
        <f>'Storebrand Danica Pensjon'!F11-'Storebrand Danica Pensjon'!F12+'Storebrand Danica Pensjon'!F34-'Storebrand Danica Pensjon'!F35+'Storebrand Danica Pensjon'!F38-'Storebrand Danica Pensjon'!F39+'Storebrand Danica Pensjon'!F111-'Storebrand Danica Pensjon'!F119+'Storebrand Danica Pensjon'!F136-'Storebrand Danica Pensjon'!F137</f>
        <v>-126546.37900000007</v>
      </c>
      <c r="N132" s="77">
        <f>'Storebrand Danica Pensjon'!G11-'Storebrand Danica Pensjon'!G12+'Storebrand Danica Pensjon'!G34-'Storebrand Danica Pensjon'!G35+'Storebrand Danica Pensjon'!G38-'Storebrand Danica Pensjon'!G39+'Storebrand Danica Pensjon'!G111-'Storebrand Danica Pensjon'!G119+'Storebrand Danica Pensjon'!G136-'Storebrand Danica Pensjon'!G137</f>
        <v>0</v>
      </c>
      <c r="O132" s="74"/>
    </row>
    <row r="133" spans="1:15" x14ac:dyDescent="0.3">
      <c r="A133" s="74"/>
      <c r="B133" s="74"/>
      <c r="C133" s="74"/>
      <c r="D133" s="74"/>
      <c r="E133" s="74"/>
      <c r="F133" s="74"/>
      <c r="G133" s="74"/>
      <c r="H133" s="74"/>
      <c r="I133" s="74"/>
      <c r="J133" s="74"/>
      <c r="K133" s="74"/>
      <c r="L133" s="74" t="s">
        <v>55</v>
      </c>
      <c r="M133" s="77">
        <f>'DNB Livsforsikring'!F11-'DNB Livsforsikring'!F12+'DNB Livsforsikring'!F34-'DNB Livsforsikring'!F35+'DNB Livsforsikring'!F38-'DNB Livsforsikring'!F39+'DNB Livsforsikring'!F111-'DNB Livsforsikring'!F119+'DNB Livsforsikring'!F136-'DNB Livsforsikring'!F137</f>
        <v>102521.86899999995</v>
      </c>
      <c r="N133" s="77">
        <f>'DNB Livsforsikring'!G11-'DNB Livsforsikring'!G12+'DNB Livsforsikring'!G34-'DNB Livsforsikring'!G35+'DNB Livsforsikring'!G38-'DNB Livsforsikring'!G39+'DNB Livsforsikring'!G111-'DNB Livsforsikring'!G119+'DNB Livsforsikring'!G136-'DNB Livsforsikring'!G137</f>
        <v>-951646</v>
      </c>
      <c r="O133" s="74"/>
    </row>
    <row r="134" spans="1:15" x14ac:dyDescent="0.3">
      <c r="A134" s="74"/>
      <c r="B134" s="74"/>
      <c r="C134" s="74"/>
      <c r="D134" s="74"/>
      <c r="E134" s="74"/>
      <c r="F134" s="74"/>
      <c r="G134" s="74"/>
      <c r="H134" s="74"/>
      <c r="I134" s="74"/>
      <c r="J134" s="74"/>
      <c r="K134" s="74"/>
      <c r="L134" s="74" t="s">
        <v>57</v>
      </c>
      <c r="M134" s="77">
        <f>'Frende Livsforsikring'!F11-'Frende Livsforsikring'!F12+'Frende Livsforsikring'!F34-'Frende Livsforsikring'!F35+'Frende Livsforsikring'!F38-'Frende Livsforsikring'!F39+'Frende Livsforsikring'!F111-'Frende Livsforsikring'!F119+'Frende Livsforsikring'!F136-'Frende Livsforsikring'!F137</f>
        <v>0</v>
      </c>
      <c r="N134" s="77">
        <f>'Frende Livsforsikring'!G11-'Frende Livsforsikring'!G12+'Frende Livsforsikring'!G34-'Frende Livsforsikring'!G35+'Frende Livsforsikring'!G38-'Frende Livsforsikring'!G39+'Frende Livsforsikring'!G111-'Frende Livsforsikring'!G119+'Frende Livsforsikring'!G136-'Frende Livsforsikring'!G137</f>
        <v>0</v>
      </c>
      <c r="O134" s="74"/>
    </row>
    <row r="135" spans="1:15" x14ac:dyDescent="0.3">
      <c r="A135" s="74"/>
      <c r="B135" s="74"/>
      <c r="C135" s="74"/>
      <c r="D135" s="74"/>
      <c r="E135" s="74"/>
      <c r="F135" s="74"/>
      <c r="G135" s="74"/>
      <c r="H135" s="74"/>
      <c r="I135" s="74"/>
      <c r="J135" s="74"/>
      <c r="K135" s="74"/>
      <c r="L135" s="79" t="s">
        <v>60</v>
      </c>
      <c r="M135" s="77">
        <f>'Gjensidige Pensjon'!F11-'Gjensidige Pensjon'!F12+'Gjensidige Pensjon'!F34-'Gjensidige Pensjon'!F35+'Gjensidige Pensjon'!F38-'Gjensidige Pensjon'!F39+'Gjensidige Pensjon'!F111-'Gjensidige Pensjon'!F119+'Gjensidige Pensjon'!F136-'Gjensidige Pensjon'!F137</f>
        <v>455446</v>
      </c>
      <c r="N135" s="77">
        <f>'Gjensidige Pensjon'!G11-'Gjensidige Pensjon'!G12+'Gjensidige Pensjon'!G34-'Gjensidige Pensjon'!G35+'Gjensidige Pensjon'!G38-'Gjensidige Pensjon'!G39+'Gjensidige Pensjon'!G111-'Gjensidige Pensjon'!G119+'Gjensidige Pensjon'!G136-'Gjensidige Pensjon'!G137</f>
        <v>1621849</v>
      </c>
      <c r="O135" s="74"/>
    </row>
    <row r="136" spans="1:15" x14ac:dyDescent="0.3">
      <c r="A136" s="74"/>
      <c r="B136" s="74"/>
      <c r="C136" s="74"/>
      <c r="D136" s="74"/>
      <c r="E136" s="74"/>
      <c r="F136" s="74"/>
      <c r="G136" s="74"/>
      <c r="H136" s="74"/>
      <c r="I136" s="74"/>
      <c r="J136" s="74"/>
      <c r="K136" s="74"/>
      <c r="L136" s="74" t="s">
        <v>63</v>
      </c>
      <c r="M136" s="77">
        <f>KLP!F11-KLP!F12+KLP!F34-KLP!F35+KLP!F38-KLP!F39+KLP!F111-KLP!F119+KLP!F136-KLP!F137</f>
        <v>376440.52899999998</v>
      </c>
      <c r="N136" s="77">
        <f>KLP!G11-KLP!G12+KLP!G34-KLP!G35+KLP!G38-KLP!G39+KLP!G111-KLP!G119+KLP!G136-KLP!G137</f>
        <v>0</v>
      </c>
      <c r="O136" s="74"/>
    </row>
    <row r="137" spans="1:15" x14ac:dyDescent="0.3">
      <c r="A137" s="74"/>
      <c r="B137" s="74"/>
      <c r="C137" s="74"/>
      <c r="D137" s="74"/>
      <c r="E137" s="74"/>
      <c r="F137" s="74"/>
      <c r="G137" s="74"/>
      <c r="H137" s="74"/>
      <c r="I137" s="74"/>
      <c r="J137" s="74"/>
      <c r="K137" s="74"/>
      <c r="L137" s="74" t="s">
        <v>65</v>
      </c>
      <c r="M137" s="77">
        <f>'Nordea Liv '!F11-'Nordea Liv '!F12+'Nordea Liv '!F34-'Nordea Liv '!F35+'Nordea Liv '!F38-'Nordea Liv '!F39+'Nordea Liv '!F111-'Nordea Liv '!F119+'Nordea Liv '!F136-'Nordea Liv '!F137</f>
        <v>571331.03287999984</v>
      </c>
      <c r="N137" s="77">
        <f>'Nordea Liv '!G11-'Nordea Liv '!G12+'Nordea Liv '!G34-'Nordea Liv '!G35+'Nordea Liv '!G38-'Nordea Liv '!G39+'Nordea Liv '!G111-'Nordea Liv '!G119+'Nordea Liv '!G136-'Nordea Liv '!G137</f>
        <v>-618652.85990000004</v>
      </c>
      <c r="O137" s="74"/>
    </row>
    <row r="138" spans="1:15" x14ac:dyDescent="0.3">
      <c r="A138" s="74"/>
      <c r="B138" s="74"/>
      <c r="C138" s="74"/>
      <c r="D138" s="74"/>
      <c r="E138" s="74"/>
      <c r="F138" s="74"/>
      <c r="G138" s="74"/>
      <c r="H138" s="74"/>
      <c r="I138" s="74"/>
      <c r="J138" s="74"/>
      <c r="K138" s="74"/>
      <c r="L138" s="74" t="s">
        <v>71</v>
      </c>
      <c r="M138" s="77">
        <f>'SHB Liv'!F11-'SHB Liv'!F12+'SHB Liv'!F34-'SHB Liv'!F35+'SHB Liv'!F38-'SHB Liv'!F39+'SHB Liv'!F111-'SHB Liv'!F119+'SHB Liv'!F136-'SHB Liv'!F137</f>
        <v>-13926.680469999999</v>
      </c>
      <c r="N138" s="77">
        <f>'SHB Liv'!G11-'SHB Liv'!G12+'SHB Liv'!G34-'SHB Liv'!G35+'SHB Liv'!G38-'SHB Liv'!G39+'SHB Liv'!G111-'SHB Liv'!G119+'SHB Liv'!G136-'SHB Liv'!G137</f>
        <v>0</v>
      </c>
      <c r="O138" s="74"/>
    </row>
    <row r="139" spans="1:15" x14ac:dyDescent="0.3">
      <c r="A139" s="74"/>
      <c r="B139" s="74"/>
      <c r="C139" s="74"/>
      <c r="D139" s="74"/>
      <c r="E139" s="74"/>
      <c r="F139" s="74"/>
      <c r="G139" s="74"/>
      <c r="H139" s="74"/>
      <c r="I139" s="74"/>
      <c r="J139" s="74"/>
      <c r="K139" s="74"/>
      <c r="L139" s="74" t="s">
        <v>67</v>
      </c>
      <c r="M139" s="77">
        <f>'Sparebank 1 Forsikring'!F11-'Sparebank 1 Forsikring'!F12+'Sparebank 1 Forsikring'!F34-'Sparebank 1 Forsikring'!F35+'Sparebank 1 Forsikring'!F38-'Sparebank 1 Forsikring'!F39+'Sparebank 1 Forsikring'!F111-'Sparebank 1 Forsikring'!F119+'Sparebank 1 Forsikring'!F136-'Sparebank 1 Forsikring'!F137</f>
        <v>219966.44219000009</v>
      </c>
      <c r="N139" s="77">
        <f>'Sparebank 1 Forsikring'!G11-'Sparebank 1 Forsikring'!G12+'Sparebank 1 Forsikring'!G34-'Sparebank 1 Forsikring'!G35+'Sparebank 1 Forsikring'!G38-'Sparebank 1 Forsikring'!G39+'Sparebank 1 Forsikring'!G111-'Sparebank 1 Forsikring'!G119+'Sparebank 1 Forsikring'!G136-'Sparebank 1 Forsikring'!G137</f>
        <v>-493333.32088000001</v>
      </c>
      <c r="O139" s="74"/>
    </row>
    <row r="140" spans="1:15" x14ac:dyDescent="0.3">
      <c r="A140" s="74"/>
      <c r="B140" s="74"/>
      <c r="C140" s="74"/>
      <c r="D140" s="74"/>
      <c r="E140" s="74"/>
      <c r="F140" s="74"/>
      <c r="G140" s="74"/>
      <c r="H140" s="74"/>
      <c r="I140" s="74"/>
      <c r="J140" s="74"/>
      <c r="K140" s="74"/>
      <c r="L140" s="74" t="s">
        <v>72</v>
      </c>
      <c r="M140"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-1778807.6339999996</v>
      </c>
      <c r="N140"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-297882.16838000016</v>
      </c>
      <c r="O140" s="74"/>
    </row>
    <row r="141" spans="1:15" x14ac:dyDescent="0.3">
      <c r="A141" s="74"/>
      <c r="B141" s="74"/>
      <c r="C141" s="74"/>
      <c r="D141" s="74"/>
      <c r="E141" s="74"/>
      <c r="F141" s="74"/>
      <c r="G141" s="74"/>
      <c r="H141" s="74"/>
      <c r="I141" s="74"/>
      <c r="J141" s="74"/>
      <c r="K141" s="74"/>
      <c r="O141" s="74"/>
    </row>
    <row r="142" spans="1:15" x14ac:dyDescent="0.3">
      <c r="A142" s="74"/>
      <c r="B142" s="74"/>
      <c r="C142" s="74"/>
      <c r="D142" s="74"/>
      <c r="E142" s="74"/>
      <c r="F142" s="74"/>
      <c r="G142" s="74"/>
      <c r="H142" s="74"/>
      <c r="I142" s="74"/>
      <c r="J142" s="74"/>
      <c r="K142" s="74"/>
      <c r="O142" s="74"/>
    </row>
    <row r="143" spans="1:15" x14ac:dyDescent="0.3">
      <c r="A143" s="74"/>
      <c r="B143" s="74"/>
      <c r="C143" s="74"/>
      <c r="D143" s="74"/>
      <c r="E143" s="74"/>
      <c r="F143" s="74"/>
      <c r="G143" s="74"/>
      <c r="H143" s="74"/>
      <c r="I143" s="74"/>
      <c r="J143" s="74"/>
      <c r="K143" s="74"/>
      <c r="O143" s="74"/>
    </row>
    <row r="144" spans="1:15" x14ac:dyDescent="0.3">
      <c r="A144" s="74"/>
      <c r="B144" s="74"/>
      <c r="C144" s="74"/>
      <c r="D144" s="74"/>
      <c r="E144" s="74"/>
      <c r="F144" s="74"/>
      <c r="G144" s="74"/>
      <c r="H144" s="74"/>
      <c r="I144" s="74"/>
      <c r="J144" s="74"/>
      <c r="K144" s="74"/>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5"/>
  <sheetViews>
    <sheetView showGridLines="0" showZeros="0" zoomScale="70" zoomScaleNormal="70" workbookViewId="0">
      <pane xSplit="1" ySplit="7" topLeftCell="B8" activePane="bottomRight" state="frozen"/>
      <selection activeCell="K24" sqref="K24"/>
      <selection pane="topRight" activeCell="K24" sqref="K24"/>
      <selection pane="bottomLeft" activeCell="K24" sqref="K24"/>
      <selection pane="bottomRigh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12.140625" style="87" bestFit="1" customWidth="1"/>
    <col min="6" max="6" width="4.7109375" style="87" customWidth="1"/>
    <col min="7" max="7" width="18.42578125" style="87" customWidth="1"/>
    <col min="8" max="8" width="17.7109375" style="87" customWidth="1"/>
    <col min="9" max="9" width="8.7109375" style="87" customWidth="1"/>
    <col min="10" max="10" width="12.140625" style="87" bestFit="1" customWidth="1"/>
    <col min="11" max="11" width="13.42578125" style="87" hidden="1" customWidth="1"/>
    <col min="12" max="12" width="14.7109375" style="188" hidden="1" customWidth="1"/>
    <col min="13" max="13" width="13.7109375" style="188" hidden="1" customWidth="1"/>
    <col min="14" max="15" width="15.7109375" style="188" hidden="1" customWidth="1"/>
    <col min="16" max="16" width="11.42578125" style="87" hidden="1" customWidth="1"/>
    <col min="17" max="19" width="11.42578125" style="87" customWidth="1"/>
    <col min="20" max="16384" width="11.42578125" style="87"/>
  </cols>
  <sheetData>
    <row r="1" spans="1:16" ht="20.25" x14ac:dyDescent="0.3">
      <c r="A1" s="80" t="s">
        <v>76</v>
      </c>
      <c r="B1" s="73" t="s">
        <v>52</v>
      </c>
      <c r="C1" s="74"/>
      <c r="D1" s="74"/>
      <c r="E1" s="74"/>
      <c r="F1" s="74"/>
      <c r="G1" s="74"/>
      <c r="H1" s="74"/>
      <c r="I1" s="74"/>
      <c r="J1" s="74"/>
      <c r="K1" s="74"/>
    </row>
    <row r="2" spans="1:16" ht="20.25" x14ac:dyDescent="0.3">
      <c r="A2" s="80" t="s">
        <v>77</v>
      </c>
      <c r="B2" s="74"/>
      <c r="C2" s="74"/>
      <c r="D2" s="74"/>
      <c r="E2" s="74"/>
      <c r="F2" s="74"/>
      <c r="G2" s="74"/>
      <c r="H2" s="74"/>
      <c r="I2" s="74"/>
      <c r="J2" s="74"/>
      <c r="K2" s="74"/>
    </row>
    <row r="3" spans="1:16" ht="18.75" x14ac:dyDescent="0.3">
      <c r="A3" s="699" t="s">
        <v>78</v>
      </c>
      <c r="B3" s="699"/>
      <c r="C3" s="74"/>
      <c r="D3" s="74"/>
      <c r="E3" s="74"/>
      <c r="F3" s="74"/>
      <c r="G3" s="74"/>
      <c r="H3" s="74"/>
      <c r="I3" s="74"/>
      <c r="J3" s="74"/>
      <c r="K3" s="74"/>
    </row>
    <row r="4" spans="1:16" ht="18.75" x14ac:dyDescent="0.3">
      <c r="A4" s="82" t="s">
        <v>424</v>
      </c>
      <c r="B4" s="83"/>
      <c r="C4" s="84"/>
      <c r="D4" s="84"/>
      <c r="E4" s="85"/>
      <c r="F4" s="86"/>
      <c r="G4" s="83"/>
      <c r="H4" s="84"/>
      <c r="I4" s="84"/>
      <c r="J4" s="85"/>
      <c r="K4" s="112"/>
      <c r="L4" s="211"/>
      <c r="M4" s="212"/>
      <c r="N4" s="213"/>
      <c r="O4" s="212"/>
    </row>
    <row r="5" spans="1:16" ht="22.5" x14ac:dyDescent="0.3">
      <c r="A5" s="88"/>
      <c r="B5" s="700" t="s">
        <v>79</v>
      </c>
      <c r="C5" s="701"/>
      <c r="D5" s="701"/>
      <c r="E5" s="702"/>
      <c r="F5" s="90"/>
      <c r="G5" s="700" t="s">
        <v>376</v>
      </c>
      <c r="H5" s="701"/>
      <c r="I5" s="701"/>
      <c r="J5" s="702"/>
      <c r="K5" s="89"/>
      <c r="L5" s="703" t="s">
        <v>132</v>
      </c>
      <c r="M5" s="698"/>
      <c r="N5" s="697" t="s">
        <v>133</v>
      </c>
      <c r="O5" s="698"/>
    </row>
    <row r="6" spans="1:16" ht="18.75" x14ac:dyDescent="0.3">
      <c r="A6" s="91"/>
      <c r="B6" s="92"/>
      <c r="C6" s="93"/>
      <c r="D6" s="93" t="s">
        <v>80</v>
      </c>
      <c r="E6" s="94" t="s">
        <v>29</v>
      </c>
      <c r="F6" s="95"/>
      <c r="G6" s="92"/>
      <c r="H6" s="93"/>
      <c r="I6" s="93" t="s">
        <v>80</v>
      </c>
      <c r="J6" s="94" t="s">
        <v>29</v>
      </c>
      <c r="K6" s="100"/>
      <c r="L6" s="214"/>
      <c r="M6" s="215"/>
      <c r="N6" s="216"/>
      <c r="O6" s="215"/>
    </row>
    <row r="7" spans="1:16" ht="15.75" x14ac:dyDescent="0.25">
      <c r="A7" s="96" t="s">
        <v>81</v>
      </c>
      <c r="B7" s="97">
        <v>2022</v>
      </c>
      <c r="C7" s="97">
        <v>2023</v>
      </c>
      <c r="D7" s="98" t="s">
        <v>82</v>
      </c>
      <c r="E7" s="99" t="s">
        <v>30</v>
      </c>
      <c r="F7" s="95"/>
      <c r="G7" s="97">
        <v>2022</v>
      </c>
      <c r="H7" s="97">
        <v>2023</v>
      </c>
      <c r="I7" s="98" t="s">
        <v>82</v>
      </c>
      <c r="J7" s="99" t="s">
        <v>30</v>
      </c>
      <c r="K7" s="100"/>
      <c r="L7" s="217">
        <v>2015</v>
      </c>
      <c r="M7" s="218">
        <v>2016</v>
      </c>
      <c r="N7" s="219">
        <v>2015</v>
      </c>
      <c r="O7" s="218">
        <v>2016</v>
      </c>
      <c r="P7" s="87" t="s">
        <v>136</v>
      </c>
    </row>
    <row r="8" spans="1:16" ht="18.75" x14ac:dyDescent="0.3">
      <c r="A8" s="101" t="s">
        <v>0</v>
      </c>
      <c r="B8" s="129"/>
      <c r="C8" s="103"/>
      <c r="D8" s="104"/>
      <c r="E8" s="406"/>
      <c r="F8" s="177"/>
      <c r="G8" s="129"/>
      <c r="H8" s="129"/>
      <c r="I8" s="103"/>
      <c r="J8" s="406"/>
      <c r="K8" s="139"/>
      <c r="L8" s="220" t="s">
        <v>0</v>
      </c>
      <c r="M8" s="221"/>
      <c r="N8" s="222"/>
      <c r="O8" s="221"/>
      <c r="P8" s="87" t="s">
        <v>144</v>
      </c>
    </row>
    <row r="9" spans="1:16" ht="18.75" x14ac:dyDescent="0.3">
      <c r="A9" s="193" t="s">
        <v>397</v>
      </c>
      <c r="B9" s="177">
        <f>'Codan Forsikring'!B7+'Codan Forsikring'!B22+'Codan Forsikring'!B36+'Codan Forsikring'!B47+'Codan Forsikring'!B66+'Codan Forsikring'!B134</f>
        <v>49378</v>
      </c>
      <c r="C9" s="177">
        <f>'Codan Forsikring'!C7+'Codan Forsikring'!C22+'Codan Forsikring'!C36+'Codan Forsikring'!C47+'Codan Forsikring'!C66+'Codan Forsikring'!C134</f>
        <v>0</v>
      </c>
      <c r="D9" s="104">
        <f t="shared" ref="D9" si="0">IF(B9=0, "    ---- ", IF(ABS(ROUND(100/B9*C9-100,1))&lt;999,ROUND(100/B9*C9-100,1),IF(ROUND(100/B9*C9-100,1)&gt;999,999,-999)))</f>
        <v>-100</v>
      </c>
      <c r="E9" s="406">
        <f t="shared" ref="E9:E33" si="1">100/C$34*C9</f>
        <v>0</v>
      </c>
      <c r="F9" s="103"/>
      <c r="G9" s="177">
        <f>'Codan Forsikring'!B10+'Codan Forsikring'!B29+'Codan Forsikring'!B37+'Codan Forsikring'!B87+'Codan Forsikring'!B135</f>
        <v>0</v>
      </c>
      <c r="H9" s="177">
        <f>'Codan Forsikring'!C10+'Codan Forsikring'!C29+'Codan Forsikring'!C37+'Codan Forsikring'!C87+'Codan Forsikring'!C135</f>
        <v>0</v>
      </c>
      <c r="I9" s="104"/>
      <c r="J9" s="406">
        <f t="shared" ref="J9:J21" si="2">100/H$34*H9</f>
        <v>0</v>
      </c>
      <c r="K9" s="139"/>
      <c r="L9" s="220"/>
      <c r="M9" s="221"/>
      <c r="N9" s="223"/>
      <c r="O9" s="221"/>
    </row>
    <row r="10" spans="1:16" ht="18.75" x14ac:dyDescent="0.3">
      <c r="A10" s="193" t="s">
        <v>425</v>
      </c>
      <c r="B10" s="177">
        <f>'Storebrand Danica Pensjon'!B7+'Storebrand Danica Pensjon'!B22+'Storebrand Danica Pensjon'!B36+'Storebrand Danica Pensjon'!B47+'Storebrand Danica Pensjon'!B66+'Storebrand Danica Pensjon'!B134</f>
        <v>112892.864</v>
      </c>
      <c r="C10" s="177">
        <f>'Storebrand Danica Pensjon'!C7+'Storebrand Danica Pensjon'!C22+'Storebrand Danica Pensjon'!C36+'Storebrand Danica Pensjon'!C47+'Storebrand Danica Pensjon'!C66+'Storebrand Danica Pensjon'!C134</f>
        <v>0</v>
      </c>
      <c r="D10" s="104">
        <f t="shared" ref="D10:D32" si="3">IF(B10=0, "    ---- ", IF(ABS(ROUND(100/B10*C10-100,1))&lt;999,ROUND(100/B10*C10-100,1),IF(ROUND(100/B10*C10-100,1)&gt;999,999,-999)))</f>
        <v>-100</v>
      </c>
      <c r="E10" s="406">
        <f t="shared" si="1"/>
        <v>0</v>
      </c>
      <c r="F10" s="103"/>
      <c r="G10" s="177">
        <f>'Storebrand Danica Pensjon'!B10+'Storebrand Danica Pensjon'!B29+'Storebrand Danica Pensjon'!B37+'Storebrand Danica Pensjon'!B87+'Storebrand Danica Pensjon'!B135</f>
        <v>1381543.8390000002</v>
      </c>
      <c r="H10" s="177">
        <f>'Storebrand Danica Pensjon'!C10+'Storebrand Danica Pensjon'!C29+'Storebrand Danica Pensjon'!C37+'Storebrand Danica Pensjon'!C87+'Storebrand Danica Pensjon'!C135</f>
        <v>0</v>
      </c>
      <c r="I10" s="104">
        <f t="shared" ref="I10:I29" si="4">IF(G10=0, "    ---- ", IF(ABS(ROUND(100/G10*H10-100,1))&lt;999,ROUND(100/G10*H10-100,1),IF(ROUND(100/G10*H10-100,1)&gt;999,999,-999)))</f>
        <v>-100</v>
      </c>
      <c r="J10" s="406">
        <f t="shared" si="2"/>
        <v>0</v>
      </c>
      <c r="K10" s="207" t="s">
        <v>140</v>
      </c>
      <c r="L10" s="223" t="e">
        <f ca="1">INDIRECT("'" &amp;#REF! &amp; "'!" &amp; $P$7)</f>
        <v>#REF!</v>
      </c>
      <c r="M10" s="221" t="e">
        <f ca="1">INDIRECT("'" &amp;#REF! &amp; "'!" &amp; $P$8)</f>
        <v>#REF!</v>
      </c>
      <c r="N10" s="223" t="e">
        <f ca="1">INDIRECT("'" &amp;#REF! &amp; "'!" &amp; $P$10)</f>
        <v>#REF!</v>
      </c>
      <c r="O10" s="221" t="e">
        <f ca="1">INDIRECT("'" &amp;#REF! &amp; "'!" &amp; $P$11)</f>
        <v>#REF!</v>
      </c>
      <c r="P10" s="87" t="s">
        <v>147</v>
      </c>
    </row>
    <row r="11" spans="1:16" ht="18.75" x14ac:dyDescent="0.3">
      <c r="A11" s="193" t="s">
        <v>83</v>
      </c>
      <c r="B11" s="177">
        <f>'DNB Livsforsikring'!B7+'DNB Livsforsikring'!B22+'DNB Livsforsikring'!B36+'DNB Livsforsikring'!B47+'DNB Livsforsikring'!B66+'DNB Livsforsikring'!B134</f>
        <v>1241691.2704</v>
      </c>
      <c r="C11" s="177">
        <f>'DNB Livsforsikring'!C7+'DNB Livsforsikring'!C22+'DNB Livsforsikring'!C36+'DNB Livsforsikring'!C47+'DNB Livsforsikring'!C66+'DNB Livsforsikring'!C134</f>
        <v>1174839.7120000001</v>
      </c>
      <c r="D11" s="104">
        <f t="shared" si="3"/>
        <v>-5.4</v>
      </c>
      <c r="E11" s="406">
        <f t="shared" si="1"/>
        <v>6.3631006047973697</v>
      </c>
      <c r="F11" s="103"/>
      <c r="G11" s="177">
        <f>'DNB Livsforsikring'!B10+'DNB Livsforsikring'!B29+'DNB Livsforsikring'!B37+'DNB Livsforsikring'!B87+'DNB Livsforsikring'!B135</f>
        <v>192614629.3415657</v>
      </c>
      <c r="H11" s="177">
        <f>'DNB Livsforsikring'!C10+'DNB Livsforsikring'!C29+'DNB Livsforsikring'!C37+'DNB Livsforsikring'!C87+'DNB Livsforsikring'!C135</f>
        <v>185707519.94522351</v>
      </c>
      <c r="I11" s="104">
        <f t="shared" si="4"/>
        <v>-3.6</v>
      </c>
      <c r="J11" s="406">
        <f t="shared" si="2"/>
        <v>15.084051120232525</v>
      </c>
      <c r="K11" s="208" t="s">
        <v>141</v>
      </c>
      <c r="L11" s="223" t="e">
        <f ca="1">INDIRECT("'" &amp; $A10 &amp; "'!" &amp; $P$7)</f>
        <v>#REF!</v>
      </c>
      <c r="M11" s="221" t="e">
        <f ca="1">INDIRECT("'" &amp; $A10 &amp; "'!" &amp; $P$8)</f>
        <v>#REF!</v>
      </c>
      <c r="N11" s="223" t="e">
        <f ca="1">INDIRECT("'" &amp; $A10 &amp; "'!" &amp; $P$10)</f>
        <v>#REF!</v>
      </c>
      <c r="O11" s="221" t="e">
        <f ca="1">INDIRECT("'" &amp; $A10 &amp; "'!" &amp; $P$11)</f>
        <v>#REF!</v>
      </c>
      <c r="P11" s="87" t="s">
        <v>152</v>
      </c>
    </row>
    <row r="12" spans="1:16" ht="18.75" x14ac:dyDescent="0.3">
      <c r="A12" s="193" t="s">
        <v>84</v>
      </c>
      <c r="B12" s="177">
        <f>'Eika Forsikring AS'!B7+'Eika Forsikring AS'!B22+'Eika Forsikring AS'!B36+'Eika Forsikring AS'!B47+'Eika Forsikring AS'!B66+'Eika Forsikring AS'!B134</f>
        <v>116603</v>
      </c>
      <c r="C12" s="177">
        <f>'Eika Forsikring AS'!C7+'Eika Forsikring AS'!C22+'Eika Forsikring AS'!C36+'Eika Forsikring AS'!C47+'Eika Forsikring AS'!C66+'Eika Forsikring AS'!C134</f>
        <v>189579</v>
      </c>
      <c r="D12" s="104">
        <f t="shared" si="3"/>
        <v>62.6</v>
      </c>
      <c r="E12" s="406">
        <f t="shared" si="1"/>
        <v>1.026787090388106</v>
      </c>
      <c r="F12" s="103"/>
      <c r="G12" s="177">
        <f>'Eika Forsikring AS'!B10+'Eika Forsikring AS'!B29+'Eika Forsikring AS'!B37+'Eika Forsikring AS'!B87+'Eika Forsikring AS'!B135</f>
        <v>0</v>
      </c>
      <c r="H12" s="177">
        <f>'Eika Forsikring AS'!C10+'Eika Forsikring AS'!C29+'Eika Forsikring AS'!C37+'Eika Forsikring AS'!C87+'Eika Forsikring AS'!C135</f>
        <v>0</v>
      </c>
      <c r="I12" s="104"/>
      <c r="J12" s="406">
        <f t="shared" si="2"/>
        <v>0</v>
      </c>
      <c r="K12" s="87" t="s">
        <v>134</v>
      </c>
      <c r="L12" s="223">
        <f ca="1">INDIRECT("'" &amp; $A11 &amp; "'!" &amp; $P$7)</f>
        <v>0</v>
      </c>
      <c r="M12" s="221">
        <f ca="1">INDIRECT("'" &amp; $A11 &amp; "'!" &amp; $P$8)</f>
        <v>0</v>
      </c>
      <c r="N12" s="223">
        <f ca="1">INDIRECT("'" &amp; $A11 &amp; "'!" &amp; $P$10)</f>
        <v>0</v>
      </c>
      <c r="O12" s="221">
        <f ca="1">INDIRECT("'" &amp; $A11 &amp; "'!" &amp; $P$11)</f>
        <v>0</v>
      </c>
    </row>
    <row r="13" spans="1:16" ht="18.75" x14ac:dyDescent="0.3">
      <c r="A13" s="193" t="s">
        <v>398</v>
      </c>
      <c r="B13" s="177">
        <f>'Euro Accident'!B7+'Euro Accident'!B22+'Euro Accident'!B36+'Euro Accident'!B47+'Euro Accident'!B66+'Euro Accident'!B134</f>
        <v>22472</v>
      </c>
      <c r="C13" s="177">
        <f>'Euro Accident'!C7+'Euro Accident'!C22+'Euro Accident'!C36+'Euro Accident'!C47+'Euro Accident'!C66+'Euro Accident'!C134</f>
        <v>36616</v>
      </c>
      <c r="D13" s="104">
        <f t="shared" ref="D13" si="5">IF(B13=0, "    ---- ", IF(ABS(ROUND(100/B13*C13-100,1))&lt;999,ROUND(100/B13*C13-100,1),IF(ROUND(100/B13*C13-100,1)&gt;999,999,-999)))</f>
        <v>62.9</v>
      </c>
      <c r="E13" s="406">
        <f t="shared" si="1"/>
        <v>0.19831751460684408</v>
      </c>
      <c r="F13" s="103"/>
      <c r="G13" s="177">
        <f>'Euro Accident'!B10+'Euro Accident'!B29+'Euro Accident'!B37+'Euro Accident'!B87+'Euro Accident'!B135</f>
        <v>0</v>
      </c>
      <c r="H13" s="177">
        <f>'Euro Accident'!C10+'Euro Accident'!C29+'Euro Accident'!C37+'Euro Accident'!C87+'Euro Accident'!C135</f>
        <v>0</v>
      </c>
      <c r="I13" s="104"/>
      <c r="J13" s="406">
        <f t="shared" si="2"/>
        <v>0</v>
      </c>
      <c r="L13" s="223"/>
      <c r="M13" s="221"/>
      <c r="N13" s="223"/>
      <c r="O13" s="221"/>
    </row>
    <row r="14" spans="1:16" ht="18.75" x14ac:dyDescent="0.3">
      <c r="A14" s="108" t="s">
        <v>381</v>
      </c>
      <c r="B14" s="177">
        <f>'Fremtind Livsforsikring'!B7+'Fremtind Livsforsikring'!B22+'Fremtind Livsforsikring'!B36+'Fremtind Livsforsikring'!B47+'Fremtind Livsforsikring'!B66+'Fremtind Livsforsikring'!B134</f>
        <v>867620.14841999998</v>
      </c>
      <c r="C14" s="177">
        <f>'Fremtind Livsforsikring'!C7+'Fremtind Livsforsikring'!C22+'Fremtind Livsforsikring'!C36+'Fremtind Livsforsikring'!C47+'Fremtind Livsforsikring'!C66+'Fremtind Livsforsikring'!C134</f>
        <v>931757.56291999994</v>
      </c>
      <c r="D14" s="104">
        <f t="shared" si="3"/>
        <v>7.4</v>
      </c>
      <c r="E14" s="406">
        <f t="shared" si="1"/>
        <v>5.046532775137222</v>
      </c>
      <c r="F14" s="103"/>
      <c r="G14" s="177">
        <f>'Fremtind Livsforsikring'!B10+'Fremtind Livsforsikring'!B29+'Fremtind Livsforsikring'!B37+'Fremtind Livsforsikring'!B87+'Fremtind Livsforsikring'!B135</f>
        <v>4438692.9528400004</v>
      </c>
      <c r="H14" s="177">
        <f>'Fremtind Livsforsikring'!C10+'Fremtind Livsforsikring'!C29+'Fremtind Livsforsikring'!C37+'Fremtind Livsforsikring'!C87+'Fremtind Livsforsikring'!C135</f>
        <v>4951045.9075499997</v>
      </c>
      <c r="I14" s="104">
        <f t="shared" si="4"/>
        <v>11.5</v>
      </c>
      <c r="J14" s="406">
        <f t="shared" si="2"/>
        <v>0.40214757910789212</v>
      </c>
      <c r="K14" s="87" t="s">
        <v>142</v>
      </c>
      <c r="L14" s="223">
        <f ca="1">INDIRECT("'" &amp; $A12 &amp; "'!" &amp; $P$7)</f>
        <v>0</v>
      </c>
      <c r="M14" s="221">
        <f ca="1">INDIRECT("'" &amp; $A12 &amp; "'!" &amp; $P$8)</f>
        <v>0</v>
      </c>
      <c r="N14" s="223">
        <f ca="1">INDIRECT("'" &amp; $A12 &amp; "'!" &amp; $P$10)</f>
        <v>0</v>
      </c>
      <c r="O14" s="221">
        <f ca="1">INDIRECT("'" &amp; $A12 &amp; "'!" &amp; $P$11)</f>
        <v>0</v>
      </c>
    </row>
    <row r="15" spans="1:16" ht="18.75" x14ac:dyDescent="0.3">
      <c r="A15" s="193" t="s">
        <v>85</v>
      </c>
      <c r="B15" s="178">
        <f>'Frende Livsforsikring'!B7+'Frende Livsforsikring'!B22+'Frende Livsforsikring'!B36+'Frende Livsforsikring'!B47+'Frende Livsforsikring'!B66+'Frende Livsforsikring'!B134</f>
        <v>509672</v>
      </c>
      <c r="C15" s="178">
        <f>'Frende Livsforsikring'!C7+'Frende Livsforsikring'!C22+'Frende Livsforsikring'!C36+'Frende Livsforsikring'!C47+'Frende Livsforsikring'!C66+'Frende Livsforsikring'!C134</f>
        <v>561739</v>
      </c>
      <c r="D15" s="104">
        <f t="shared" si="3"/>
        <v>10.199999999999999</v>
      </c>
      <c r="E15" s="406">
        <f t="shared" si="1"/>
        <v>3.0424590981465474</v>
      </c>
      <c r="F15" s="103"/>
      <c r="G15" s="177">
        <f>'Frende Livsforsikring'!B10+'Frende Livsforsikring'!B29+'Frende Livsforsikring'!B37+'Frende Livsforsikring'!B87+'Frende Livsforsikring'!B135</f>
        <v>1439347</v>
      </c>
      <c r="H15" s="177">
        <f>'Frende Livsforsikring'!C10+'Frende Livsforsikring'!C29+'Frende Livsforsikring'!C37+'Frende Livsforsikring'!C87+'Frende Livsforsikring'!C135</f>
        <v>1734604</v>
      </c>
      <c r="I15" s="104">
        <f t="shared" si="4"/>
        <v>20.5</v>
      </c>
      <c r="J15" s="406">
        <f t="shared" si="2"/>
        <v>0.14089281584869279</v>
      </c>
      <c r="L15" s="223"/>
      <c r="M15" s="221"/>
      <c r="N15" s="223"/>
      <c r="O15" s="221"/>
    </row>
    <row r="16" spans="1:16" ht="18.75" x14ac:dyDescent="0.3">
      <c r="A16" s="193" t="s">
        <v>86</v>
      </c>
      <c r="B16" s="177">
        <f>'Frende Skadeforsikring'!B7+'Frende Skadeforsikring'!B22+'Frende Skadeforsikring'!B36+'Frende Skadeforsikring'!B47+'Frende Skadeforsikring'!B66+'Frende Skadeforsikring'!B134</f>
        <v>6055.442</v>
      </c>
      <c r="C16" s="177">
        <f>'Frende Skadeforsikring'!C7+'Frende Skadeforsikring'!C22+'Frende Skadeforsikring'!C36+'Frende Skadeforsikring'!C47+'Frende Skadeforsikring'!C66+'Frende Skadeforsikring'!C134</f>
        <v>6113.049</v>
      </c>
      <c r="D16" s="104">
        <f t="shared" si="3"/>
        <v>1</v>
      </c>
      <c r="E16" s="406">
        <f t="shared" si="1"/>
        <v>3.3109151309532812E-2</v>
      </c>
      <c r="F16" s="103"/>
      <c r="G16" s="177">
        <f>'Frende Skadeforsikring'!B10+'Frende Skadeforsikring'!B29+'Frende Skadeforsikring'!B37+'Frende Skadeforsikring'!B87+'Frende Skadeforsikring'!B135</f>
        <v>0</v>
      </c>
      <c r="H16" s="177">
        <f>'Frende Skadeforsikring'!C10+'Frende Skadeforsikring'!C29+'Frende Skadeforsikring'!C37+'Frende Skadeforsikring'!C87+'Frende Skadeforsikring'!C135</f>
        <v>0</v>
      </c>
      <c r="I16" s="104"/>
      <c r="J16" s="406">
        <f t="shared" si="2"/>
        <v>0</v>
      </c>
      <c r="K16" s="87" t="s">
        <v>135</v>
      </c>
      <c r="L16" s="223">
        <f t="shared" ref="L16:L32" ca="1" si="6">INDIRECT("'" &amp; $A15 &amp; "'!" &amp; $P$7)</f>
        <v>0</v>
      </c>
      <c r="M16" s="221">
        <f t="shared" ref="M16:M32" ca="1" si="7">INDIRECT("'" &amp; $A15 &amp; "'!" &amp; $P$8)</f>
        <v>0</v>
      </c>
      <c r="N16" s="223">
        <f t="shared" ref="N16:N32" ca="1" si="8">INDIRECT("'" &amp; $A15 &amp; "'!" &amp; $P$10)</f>
        <v>0</v>
      </c>
      <c r="O16" s="221">
        <f t="shared" ref="O16:O32" ca="1" si="9">INDIRECT("'" &amp; $A15 &amp; "'!" &amp; $P$11)</f>
        <v>0</v>
      </c>
    </row>
    <row r="17" spans="1:18" ht="18.75" x14ac:dyDescent="0.3">
      <c r="A17" s="193" t="s">
        <v>87</v>
      </c>
      <c r="B17" s="177">
        <f>'Gjensidige Forsikring'!B7+'Gjensidige Forsikring'!B22+'Gjensidige Forsikring'!B36+'Gjensidige Forsikring'!B47+'Gjensidige Forsikring'!B66+'Gjensidige Forsikring'!B134</f>
        <v>1381871.2850000001</v>
      </c>
      <c r="C17" s="177">
        <f>'Gjensidige Forsikring'!C7+'Gjensidige Forsikring'!C22+'Gjensidige Forsikring'!C36+'Gjensidige Forsikring'!C47+'Gjensidige Forsikring'!C66+'Gjensidige Forsikring'!C134</f>
        <v>1505481.132</v>
      </c>
      <c r="D17" s="104">
        <f t="shared" si="3"/>
        <v>8.9</v>
      </c>
      <c r="E17" s="406">
        <f t="shared" si="1"/>
        <v>8.1539020205849386</v>
      </c>
      <c r="F17" s="103"/>
      <c r="G17" s="177">
        <f>'Gjensidige Forsikring'!B10+'Gjensidige Forsikring'!B29+'Gjensidige Forsikring'!B37+'Gjensidige Forsikring'!B87+'Gjensidige Forsikring'!B135</f>
        <v>0</v>
      </c>
      <c r="H17" s="177">
        <f>'Gjensidige Forsikring'!C10+'Gjensidige Forsikring'!C29+'Gjensidige Forsikring'!C37+'Gjensidige Forsikring'!C87+'Gjensidige Forsikring'!C135</f>
        <v>0</v>
      </c>
      <c r="I17" s="104"/>
      <c r="J17" s="406">
        <f t="shared" si="2"/>
        <v>0</v>
      </c>
      <c r="K17" s="87" t="s">
        <v>143</v>
      </c>
      <c r="L17" s="223">
        <f t="shared" ca="1" si="6"/>
        <v>0</v>
      </c>
      <c r="M17" s="221">
        <f t="shared" ca="1" si="7"/>
        <v>0</v>
      </c>
      <c r="N17" s="223">
        <f t="shared" ca="1" si="8"/>
        <v>0</v>
      </c>
      <c r="O17" s="221">
        <f t="shared" ca="1" si="9"/>
        <v>0</v>
      </c>
    </row>
    <row r="18" spans="1:18" ht="18.75" x14ac:dyDescent="0.3">
      <c r="A18" s="193" t="s">
        <v>88</v>
      </c>
      <c r="B18" s="177">
        <f>'Gjensidige Pensjon'!B7+'Gjensidige Pensjon'!B22+'Gjensidige Pensjon'!B36+'Gjensidige Pensjon'!B47+'Gjensidige Pensjon'!B66+'Gjensidige Pensjon'!B134</f>
        <v>254783</v>
      </c>
      <c r="C18" s="177">
        <f>'Gjensidige Pensjon'!C7+'Gjensidige Pensjon'!C22+'Gjensidige Pensjon'!C36+'Gjensidige Pensjon'!C47+'Gjensidige Pensjon'!C66+'Gjensidige Pensjon'!C134</f>
        <v>291293</v>
      </c>
      <c r="D18" s="104">
        <f t="shared" si="3"/>
        <v>14.3</v>
      </c>
      <c r="E18" s="406">
        <f t="shared" si="1"/>
        <v>1.5776847220442274</v>
      </c>
      <c r="F18" s="103"/>
      <c r="G18" s="177">
        <f>'Gjensidige Pensjon'!B10+'Gjensidige Pensjon'!B29+'Gjensidige Pensjon'!B37+'Gjensidige Pensjon'!B87+'Gjensidige Pensjon'!B135</f>
        <v>8469814</v>
      </c>
      <c r="H18" s="177">
        <f>'Gjensidige Pensjon'!C10+'Gjensidige Pensjon'!C29+'Gjensidige Pensjon'!C37+'Gjensidige Pensjon'!C87+'Gjensidige Pensjon'!C135</f>
        <v>9094615</v>
      </c>
      <c r="I18" s="104">
        <f t="shared" si="4"/>
        <v>7.4</v>
      </c>
      <c r="J18" s="406">
        <f t="shared" si="2"/>
        <v>0.73870803734440782</v>
      </c>
      <c r="K18" s="87" t="s">
        <v>136</v>
      </c>
      <c r="L18" s="223">
        <f t="shared" ca="1" si="6"/>
        <v>0</v>
      </c>
      <c r="M18" s="221">
        <f t="shared" ca="1" si="7"/>
        <v>0</v>
      </c>
      <c r="N18" s="223">
        <f t="shared" ca="1" si="8"/>
        <v>0</v>
      </c>
      <c r="O18" s="221">
        <f t="shared" ca="1" si="9"/>
        <v>0</v>
      </c>
    </row>
    <row r="19" spans="1:18" ht="18.75" x14ac:dyDescent="0.3">
      <c r="A19" s="108" t="s">
        <v>89</v>
      </c>
      <c r="B19" s="177">
        <f>'Handelsbanken Liv'!B7+'Handelsbanken Liv'!B22+'Handelsbanken Liv'!B36+'Handelsbanken Liv'!B47+'Handelsbanken Liv'!B66+'Handelsbanken Liv'!B134</f>
        <v>8764.5190000000002</v>
      </c>
      <c r="C19" s="177">
        <f>'Handelsbanken Liv'!C7+'Handelsbanken Liv'!C22+'Handelsbanken Liv'!C36+'Handelsbanken Liv'!C47+'Handelsbanken Liv'!C66+'Handelsbanken Liv'!C134</f>
        <v>0</v>
      </c>
      <c r="D19" s="104">
        <f t="shared" si="3"/>
        <v>-100</v>
      </c>
      <c r="E19" s="406">
        <f t="shared" si="1"/>
        <v>0</v>
      </c>
      <c r="F19" s="103"/>
      <c r="G19" s="177">
        <f>'Handelsbanken Liv'!B10+'Handelsbanken Liv'!B29+'Handelsbanken Liv'!B37+'Handelsbanken Liv'!B87+'Handelsbanken Liv'!B135</f>
        <v>22760.624</v>
      </c>
      <c r="H19" s="177">
        <f>'Handelsbanken Liv'!C10+'Handelsbanken Liv'!C29+'Handelsbanken Liv'!C37+'Handelsbanken Liv'!C87+'Handelsbanken Liv'!C135</f>
        <v>0</v>
      </c>
      <c r="I19" s="104">
        <f t="shared" si="4"/>
        <v>-100</v>
      </c>
      <c r="J19" s="406">
        <f t="shared" si="2"/>
        <v>0</v>
      </c>
      <c r="K19" s="87" t="s">
        <v>144</v>
      </c>
      <c r="L19" s="223">
        <f t="shared" ca="1" si="6"/>
        <v>0</v>
      </c>
      <c r="M19" s="221">
        <f t="shared" ca="1" si="7"/>
        <v>0</v>
      </c>
      <c r="N19" s="223">
        <f t="shared" ca="1" si="8"/>
        <v>0</v>
      </c>
      <c r="O19" s="221">
        <f t="shared" ca="1" si="9"/>
        <v>0</v>
      </c>
    </row>
    <row r="20" spans="1:18" ht="18.75" x14ac:dyDescent="0.3">
      <c r="A20" s="193" t="s">
        <v>90</v>
      </c>
      <c r="B20" s="177">
        <f>'If Skadeforsikring NUF'!B7+'If Skadeforsikring NUF'!B22+'If Skadeforsikring NUF'!B36+'If Skadeforsikring NUF'!B47+'If Skadeforsikring NUF'!B66+'If Skadeforsikring NUF'!B134</f>
        <v>195617.65438259998</v>
      </c>
      <c r="C20" s="177">
        <f>'If Skadeforsikring NUF'!C7+'If Skadeforsikring NUF'!C22+'If Skadeforsikring NUF'!C36+'If Skadeforsikring NUF'!C47+'If Skadeforsikring NUF'!C66+'If Skadeforsikring NUF'!C134</f>
        <v>224595.87164857</v>
      </c>
      <c r="D20" s="104">
        <f t="shared" si="3"/>
        <v>14.8</v>
      </c>
      <c r="E20" s="406">
        <f t="shared" si="1"/>
        <v>1.2164434961847868</v>
      </c>
      <c r="F20" s="103"/>
      <c r="G20" s="177">
        <f>'If Skadeforsikring NUF'!B10+'If Skadeforsikring NUF'!B29+'If Skadeforsikring NUF'!B37+'If Skadeforsikring NUF'!B87+'If Skadeforsikring NUF'!B135</f>
        <v>0</v>
      </c>
      <c r="H20" s="177">
        <f>'If Skadeforsikring NUF'!C10+'If Skadeforsikring NUF'!C29+'If Skadeforsikring NUF'!C37+'If Skadeforsikring NUF'!C87+'If Skadeforsikring NUF'!C135</f>
        <v>0</v>
      </c>
      <c r="I20" s="104"/>
      <c r="J20" s="406">
        <f t="shared" si="2"/>
        <v>0</v>
      </c>
      <c r="K20" s="139"/>
      <c r="L20" s="223">
        <f t="shared" ca="1" si="6"/>
        <v>0</v>
      </c>
      <c r="M20" s="221">
        <f t="shared" ca="1" si="7"/>
        <v>0</v>
      </c>
      <c r="N20" s="223">
        <f t="shared" ca="1" si="8"/>
        <v>0</v>
      </c>
      <c r="O20" s="221">
        <f t="shared" ca="1" si="9"/>
        <v>0</v>
      </c>
    </row>
    <row r="21" spans="1:18" ht="18.75" x14ac:dyDescent="0.3">
      <c r="A21" s="193" t="s">
        <v>63</v>
      </c>
      <c r="B21" s="177">
        <f>KLP!B7+KLP!B22+KLP!B36+KLP!B47+KLP!B66+KLP!B134</f>
        <v>7118708.5350500001</v>
      </c>
      <c r="C21" s="177">
        <f>KLP!C7+KLP!C22+KLP!C36+KLP!C47+KLP!C66+KLP!C134</f>
        <v>7553784.4308399996</v>
      </c>
      <c r="D21" s="104">
        <f t="shared" si="3"/>
        <v>6.1</v>
      </c>
      <c r="E21" s="406">
        <f t="shared" si="1"/>
        <v>40.91238131418131</v>
      </c>
      <c r="F21" s="103"/>
      <c r="G21" s="177">
        <f>KLP!B10+KLP!B29+KLP!B37+KLP!B87+KLP!B135</f>
        <v>641185711.48478997</v>
      </c>
      <c r="H21" s="177">
        <f>KLP!C10+KLP!C29+KLP!C37+KLP!C87+KLP!C135</f>
        <v>665564510.55555999</v>
      </c>
      <c r="I21" s="104">
        <f t="shared" si="4"/>
        <v>3.8</v>
      </c>
      <c r="J21" s="406">
        <f t="shared" si="2"/>
        <v>54.060326173080341</v>
      </c>
      <c r="K21" s="139"/>
      <c r="L21" s="223" t="e">
        <f ca="1">INDIRECT("'" &amp;#REF! &amp; "'!" &amp; $P$7)</f>
        <v>#REF!</v>
      </c>
      <c r="M21" s="221" t="e">
        <f ca="1">INDIRECT("'" &amp;#REF! &amp; "'!" &amp; $P$8)</f>
        <v>#REF!</v>
      </c>
      <c r="N21" s="223" t="e">
        <f ca="1">INDIRECT("'" &amp;#REF! &amp; "'!" &amp; $P$10)</f>
        <v>#REF!</v>
      </c>
      <c r="O21" s="221" t="e">
        <f ca="1">INDIRECT("'" &amp;#REF! &amp; "'!" &amp; $P$11)</f>
        <v>#REF!</v>
      </c>
    </row>
    <row r="22" spans="1:18" ht="18.75" x14ac:dyDescent="0.3">
      <c r="A22" s="108" t="s">
        <v>91</v>
      </c>
      <c r="B22" s="177">
        <f>'KLP Skadeforsikring AS'!B7+'KLP Skadeforsikring AS'!B22+'KLP Skadeforsikring AS'!B36+'KLP Skadeforsikring AS'!B47+'KLP Skadeforsikring AS'!B66+'KLP Skadeforsikring AS'!B134</f>
        <v>182893.26199999999</v>
      </c>
      <c r="C22" s="177">
        <f>'KLP Skadeforsikring AS'!C7+'KLP Skadeforsikring AS'!C22+'KLP Skadeforsikring AS'!C36+'KLP Skadeforsikring AS'!C47+'KLP Skadeforsikring AS'!C66+'KLP Skadeforsikring AS'!C134</f>
        <v>193468.31199999998</v>
      </c>
      <c r="D22" s="104">
        <f t="shared" si="3"/>
        <v>5.8</v>
      </c>
      <c r="E22" s="406">
        <f t="shared" si="1"/>
        <v>1.0478521627436492</v>
      </c>
      <c r="F22" s="103"/>
      <c r="G22" s="177">
        <f>'KLP Skadeforsikring AS'!B10+'KLP Skadeforsikring AS'!B29+'KLP Skadeforsikring AS'!B37+'KLP Skadeforsikring AS'!B87+'KLP Skadeforsikring AS'!B135</f>
        <v>84130.56700000001</v>
      </c>
      <c r="H22" s="177">
        <f>'KLP Skadeforsikring AS'!C10+'KLP Skadeforsikring AS'!C29+'KLP Skadeforsikring AS'!C37+'KLP Skadeforsikring AS'!C87+'KLP Skadeforsikring AS'!C135</f>
        <v>114338.397</v>
      </c>
      <c r="I22" s="104">
        <f t="shared" si="4"/>
        <v>35.9</v>
      </c>
      <c r="J22" s="406">
        <f t="shared" ref="J22:J33" si="10">100/H$34*H22</f>
        <v>9.2871103219845721E-3</v>
      </c>
      <c r="K22" s="139"/>
      <c r="L22" s="223">
        <f ca="1">INDIRECT("'" &amp; $A33 &amp; "'!" &amp; $P$7)</f>
        <v>0</v>
      </c>
      <c r="M22" s="221">
        <f ca="1">INDIRECT("'" &amp; $A33 &amp; "'!" &amp; $P$8)</f>
        <v>0</v>
      </c>
      <c r="N22" s="223">
        <f ca="1">INDIRECT("'" &amp; $A33 &amp; "'!" &amp; $P$10)</f>
        <v>0</v>
      </c>
      <c r="O22" s="221">
        <f ca="1">INDIRECT("'" &amp; $A33 &amp; "'!" &amp; $P$11)</f>
        <v>0</v>
      </c>
    </row>
    <row r="23" spans="1:18" ht="18.75" x14ac:dyDescent="0.3">
      <c r="A23" s="108" t="s">
        <v>392</v>
      </c>
      <c r="B23" s="177">
        <f>'Landkreditt Forsikring'!B7+'Landkreditt Forsikring'!B22+'Landkreditt Forsikring'!B36+'Landkreditt Forsikring'!B47+'Landkreditt Forsikring'!B66+'Landkreditt Forsikring'!B134</f>
        <v>18594</v>
      </c>
      <c r="C23" s="177">
        <f>'Landkreditt Forsikring'!C7+'Landkreditt Forsikring'!C22+'Landkreditt Forsikring'!C36+'Landkreditt Forsikring'!C47+'Landkreditt Forsikring'!C66+'Landkreditt Forsikring'!C134</f>
        <v>20027</v>
      </c>
      <c r="D23" s="104">
        <f t="shared" si="3"/>
        <v>7.7</v>
      </c>
      <c r="E23" s="406">
        <f t="shared" si="1"/>
        <v>0.10846910817760723</v>
      </c>
      <c r="F23" s="103"/>
      <c r="G23" s="177">
        <f>'Landkreditt Forsikring'!B10+'Landkreditt Forsikring'!B29+'Landkreditt Forsikring'!B37+'Landkreditt Forsikring'!B87+'Landkreditt Forsikring'!B135</f>
        <v>0</v>
      </c>
      <c r="H23" s="177">
        <f>'Landkreditt Forsikring'!C10+'Landkreditt Forsikring'!C29+'Landkreditt Forsikring'!C37+'Landkreditt Forsikring'!C87+'Landkreditt Forsikring'!C135</f>
        <v>0</v>
      </c>
      <c r="I23" s="104"/>
      <c r="J23" s="406">
        <f t="shared" si="10"/>
        <v>0</v>
      </c>
      <c r="K23" s="139"/>
      <c r="L23" s="223">
        <f t="shared" ca="1" si="6"/>
        <v>0</v>
      </c>
      <c r="M23" s="221">
        <f t="shared" ca="1" si="7"/>
        <v>0</v>
      </c>
      <c r="N23" s="223">
        <f t="shared" ca="1" si="8"/>
        <v>0</v>
      </c>
      <c r="O23" s="221">
        <f t="shared" ca="1" si="9"/>
        <v>0</v>
      </c>
    </row>
    <row r="24" spans="1:18" ht="18.75" x14ac:dyDescent="0.3">
      <c r="A24" s="108" t="s">
        <v>402</v>
      </c>
      <c r="B24" s="177">
        <f>'Ly Forsikring'!B7+'Ly Forsikring'!B22+'Ly Forsikring'!B36+'Ly Forsikring'!B47+'Ly Forsikring'!B66+'Ly Forsikring'!B134</f>
        <v>0</v>
      </c>
      <c r="C24" s="177">
        <f>'Ly Forsikring'!C7+'Ly Forsikring'!C22+'Ly Forsikring'!C36+'Ly Forsikring'!C47+'Ly Forsikring'!C66+'Ly Forsikring'!C134</f>
        <v>12079</v>
      </c>
      <c r="D24" s="104" t="str">
        <f t="shared" ref="D24" si="11">IF(B24=0, "    ---- ", IF(ABS(ROUND(100/B24*C24-100,1))&lt;999,ROUND(100/B24*C24-100,1),IF(ROUND(100/B24*C24-100,1)&gt;999,999,-999)))</f>
        <v xml:space="preserve">    ---- </v>
      </c>
      <c r="E24" s="406">
        <f t="shared" si="1"/>
        <v>6.5421598725586338E-2</v>
      </c>
      <c r="F24" s="103"/>
      <c r="G24" s="177">
        <f>'Ly Forsikring'!B10+'Ly Forsikring'!B29+'Ly Forsikring'!B37+'Ly Forsikring'!B87+'Ly Forsikring'!B135</f>
        <v>0</v>
      </c>
      <c r="H24" s="177">
        <f>'Ly Forsikring'!C10+'Ly Forsikring'!C29+'Ly Forsikring'!C37+'Ly Forsikring'!C87+'Ly Forsikring'!C135</f>
        <v>0</v>
      </c>
      <c r="I24" s="104"/>
      <c r="J24" s="406">
        <f t="shared" si="10"/>
        <v>0</v>
      </c>
      <c r="K24" s="139"/>
      <c r="L24" s="223"/>
      <c r="M24" s="221"/>
      <c r="N24" s="223"/>
      <c r="O24" s="221"/>
    </row>
    <row r="25" spans="1:18" ht="18.75" x14ac:dyDescent="0.3">
      <c r="A25" s="108" t="s">
        <v>92</v>
      </c>
      <c r="B25" s="177">
        <f>'Nordea Liv '!B7+'Nordea Liv '!B22+'Nordea Liv '!B36+'Nordea Liv '!B47+'Nordea Liv '!B66+'Nordea Liv '!B134</f>
        <v>636134.2522279151</v>
      </c>
      <c r="C25" s="177">
        <f>'Nordea Liv '!C7+'Nordea Liv '!C22+'Nordea Liv '!C36+'Nordea Liv '!C47+'Nordea Liv '!C66+'Nordea Liv '!C134</f>
        <v>690329.4997849986</v>
      </c>
      <c r="D25" s="104">
        <f t="shared" si="3"/>
        <v>8.5</v>
      </c>
      <c r="E25" s="406">
        <f t="shared" si="1"/>
        <v>3.7389237125067405</v>
      </c>
      <c r="F25" s="103"/>
      <c r="G25" s="178">
        <f>'Nordea Liv '!B10+'Nordea Liv '!B29+'Nordea Liv '!B37+'Nordea Liv '!B87+'Nordea Liv '!B135</f>
        <v>56075290.000025906</v>
      </c>
      <c r="H25" s="178">
        <f>'Nordea Liv '!C10+'Nordea Liv '!C29+'Nordea Liv '!C37+'Nordea Liv '!C87+'Nordea Liv '!C135</f>
        <v>54987610.000009887</v>
      </c>
      <c r="I25" s="104">
        <f t="shared" si="4"/>
        <v>-1.9</v>
      </c>
      <c r="J25" s="406">
        <f t="shared" si="10"/>
        <v>4.466356130673705</v>
      </c>
      <c r="K25" s="139"/>
      <c r="L25" s="223">
        <f ca="1">INDIRECT("'" &amp; $A23 &amp; "'!" &amp; $P$7)</f>
        <v>0</v>
      </c>
      <c r="M25" s="221">
        <f ca="1">INDIRECT("'" &amp; $A23 &amp; "'!" &amp; $P$8)</f>
        <v>0</v>
      </c>
      <c r="N25" s="223">
        <f ca="1">INDIRECT("'" &amp; $A23 &amp; "'!" &amp; $P$10)</f>
        <v>0</v>
      </c>
      <c r="O25" s="221">
        <f ca="1">INDIRECT("'" &amp; $A23 &amp; "'!" &amp; $P$11)</f>
        <v>0</v>
      </c>
    </row>
    <row r="26" spans="1:18" ht="18.75" x14ac:dyDescent="0.3">
      <c r="A26" s="108" t="s">
        <v>93</v>
      </c>
      <c r="B26" s="177">
        <f>'Oslo Pensjonsforsikring'!B7+'Oslo Pensjonsforsikring'!B22+'Oslo Pensjonsforsikring'!B36+'Oslo Pensjonsforsikring'!B47+'Oslo Pensjonsforsikring'!B66+'Oslo Pensjonsforsikring'!B134</f>
        <v>1184750</v>
      </c>
      <c r="C26" s="177">
        <f>'Oslo Pensjonsforsikring'!C7+'Oslo Pensjonsforsikring'!C22+'Oslo Pensjonsforsikring'!C36+'Oslo Pensjonsforsikring'!C47+'Oslo Pensjonsforsikring'!C66+'Oslo Pensjonsforsikring'!C134</f>
        <v>1068666.4779999999</v>
      </c>
      <c r="D26" s="104">
        <f t="shared" si="3"/>
        <v>-9.8000000000000007</v>
      </c>
      <c r="E26" s="406">
        <f t="shared" si="1"/>
        <v>5.7880511213843562</v>
      </c>
      <c r="F26" s="103"/>
      <c r="G26" s="177">
        <f>'Oslo Pensjonsforsikring'!B10+'Oslo Pensjonsforsikring'!B29+'Oslo Pensjonsforsikring'!B37+'Oslo Pensjonsforsikring'!B87+'Oslo Pensjonsforsikring'!B135</f>
        <v>82039593</v>
      </c>
      <c r="H26" s="177">
        <f>'Oslo Pensjonsforsikring'!C10+'Oslo Pensjonsforsikring'!C29+'Oslo Pensjonsforsikring'!C37+'Oslo Pensjonsforsikring'!C87+'Oslo Pensjonsforsikring'!C135</f>
        <v>88090907</v>
      </c>
      <c r="I26" s="104">
        <f t="shared" si="4"/>
        <v>7.4</v>
      </c>
      <c r="J26" s="406">
        <f t="shared" si="10"/>
        <v>7.1551639093967969</v>
      </c>
      <c r="K26" s="139"/>
      <c r="L26" s="223">
        <f t="shared" ca="1" si="6"/>
        <v>0</v>
      </c>
      <c r="M26" s="221">
        <f t="shared" ca="1" si="7"/>
        <v>0</v>
      </c>
      <c r="N26" s="223">
        <f t="shared" ca="1" si="8"/>
        <v>0</v>
      </c>
      <c r="O26" s="221">
        <f t="shared" ca="1" si="9"/>
        <v>0</v>
      </c>
    </row>
    <row r="27" spans="1:18" ht="18.75" x14ac:dyDescent="0.3">
      <c r="A27" s="108" t="s">
        <v>347</v>
      </c>
      <c r="B27" s="177">
        <f>'Protector Forsikring'!B7+'Protector Forsikring'!B22+'Protector Forsikring'!B36+'Protector Forsikring'!B47+'Protector Forsikring'!B66+'Protector Forsikring'!B134</f>
        <v>216669.42148958714</v>
      </c>
      <c r="C27" s="177">
        <f>'Protector Forsikring'!C7+'Protector Forsikring'!C22+'Protector Forsikring'!C36+'Protector Forsikring'!C47+'Protector Forsikring'!C66+'Protector Forsikring'!C134</f>
        <v>255125.81038457406</v>
      </c>
      <c r="D27" s="104">
        <f t="shared" si="3"/>
        <v>17.7</v>
      </c>
      <c r="E27" s="406">
        <f t="shared" si="1"/>
        <v>1.3817980289361398</v>
      </c>
      <c r="F27" s="103"/>
      <c r="G27" s="177">
        <f>'Protector Forsikring'!B10+'Protector Forsikring'!B29+'Protector Forsikring'!B37+'Protector Forsikring'!B87+'Protector Forsikring'!B135</f>
        <v>0</v>
      </c>
      <c r="H27" s="177">
        <f>'Protector Forsikring'!C10+'Protector Forsikring'!C29+'Protector Forsikring'!C37+'Protector Forsikring'!C87+'Protector Forsikring'!C135</f>
        <v>0</v>
      </c>
      <c r="I27" s="104"/>
      <c r="J27" s="406">
        <f t="shared" si="10"/>
        <v>0</v>
      </c>
      <c r="K27" s="139"/>
      <c r="L27" s="223">
        <f t="shared" ca="1" si="6"/>
        <v>0</v>
      </c>
      <c r="M27" s="221">
        <f t="shared" ca="1" si="7"/>
        <v>0</v>
      </c>
      <c r="N27" s="223">
        <f t="shared" ca="1" si="8"/>
        <v>0</v>
      </c>
      <c r="O27" s="221">
        <f t="shared" ca="1" si="9"/>
        <v>0</v>
      </c>
    </row>
    <row r="28" spans="1:18" ht="18.75" x14ac:dyDescent="0.3">
      <c r="A28" s="193" t="s">
        <v>401</v>
      </c>
      <c r="B28" s="177">
        <f>'Sparebank 1 Forsikring'!B7+'Sparebank 1 Forsikring'!B22+'Sparebank 1 Forsikring'!B36+'Sparebank 1 Forsikring'!B47+'Sparebank 1 Forsikring'!B66+'Sparebank 1 Forsikring'!B134</f>
        <v>264029.16310000001</v>
      </c>
      <c r="C28" s="177">
        <f>'Sparebank 1 Forsikring'!C7+'Sparebank 1 Forsikring'!C22+'Sparebank 1 Forsikring'!C36+'Sparebank 1 Forsikring'!C47+'Sparebank 1 Forsikring'!C66+'Sparebank 1 Forsikring'!C134</f>
        <v>269626.87029000005</v>
      </c>
      <c r="D28" s="104">
        <f t="shared" si="3"/>
        <v>2.1</v>
      </c>
      <c r="E28" s="406">
        <f t="shared" si="1"/>
        <v>1.460337851953647</v>
      </c>
      <c r="F28" s="103"/>
      <c r="G28" s="177">
        <f>'Sparebank 1 Forsikring'!B10+'Sparebank 1 Forsikring'!B29+'Sparebank 1 Forsikring'!B37+'Sparebank 1 Forsikring'!B87+'Sparebank 1 Forsikring'!B135</f>
        <v>20731745.61747</v>
      </c>
      <c r="H28" s="177">
        <f>'Sparebank 1 Forsikring'!C10+'Sparebank 1 Forsikring'!C29+'Sparebank 1 Forsikring'!C37+'Sparebank 1 Forsikring'!C87+'Sparebank 1 Forsikring'!C135</f>
        <v>19424412.876610003</v>
      </c>
      <c r="I28" s="104">
        <f t="shared" si="4"/>
        <v>-6.3</v>
      </c>
      <c r="J28" s="406">
        <f t="shared" si="10"/>
        <v>1.5777435232440316</v>
      </c>
      <c r="K28" s="139"/>
      <c r="L28" s="223">
        <f t="shared" ca="1" si="6"/>
        <v>0</v>
      </c>
      <c r="M28" s="221">
        <f t="shared" ca="1" si="7"/>
        <v>0</v>
      </c>
      <c r="N28" s="223">
        <f t="shared" ca="1" si="8"/>
        <v>0</v>
      </c>
      <c r="O28" s="221">
        <f t="shared" ca="1" si="9"/>
        <v>0</v>
      </c>
    </row>
    <row r="29" spans="1:18" ht="18.75" x14ac:dyDescent="0.3">
      <c r="A29" s="108" t="s">
        <v>94</v>
      </c>
      <c r="B29" s="177">
        <f>'Storebrand Livsforsikring'!B7+'Storebrand Livsforsikring'!B22+'Storebrand Livsforsikring'!B36+'Storebrand Livsforsikring'!B47+'Storebrand Livsforsikring'!B66+'Storebrand Livsforsikring'!B134</f>
        <v>2162321.1750000003</v>
      </c>
      <c r="C29" s="177">
        <f>'Storebrand Livsforsikring'!C7+'Storebrand Livsforsikring'!C22+'Storebrand Livsforsikring'!C36+'Storebrand Livsforsikring'!C47+'Storebrand Livsforsikring'!C66+'Storebrand Livsforsikring'!C134</f>
        <v>2787293.2384699997</v>
      </c>
      <c r="D29" s="104">
        <f t="shared" si="3"/>
        <v>28.9</v>
      </c>
      <c r="E29" s="406">
        <f t="shared" si="1"/>
        <v>15.096380476672271</v>
      </c>
      <c r="F29" s="103"/>
      <c r="G29" s="177">
        <f>'Storebrand Livsforsikring'!B10+'Storebrand Livsforsikring'!B29+'Storebrand Livsforsikring'!B37+'Storebrand Livsforsikring'!B87+'Storebrand Livsforsikring'!B135</f>
        <v>200579203.15599999</v>
      </c>
      <c r="H29" s="177">
        <f>'Storebrand Livsforsikring'!C10+'Storebrand Livsforsikring'!C29+'Storebrand Livsforsikring'!C37+'Storebrand Livsforsikring'!C87+'Storebrand Livsforsikring'!C135</f>
        <v>201474818.16530001</v>
      </c>
      <c r="I29" s="104">
        <f t="shared" si="4"/>
        <v>0.4</v>
      </c>
      <c r="J29" s="406">
        <f t="shared" si="10"/>
        <v>16.364746336289134</v>
      </c>
      <c r="K29" s="139"/>
      <c r="L29" s="223">
        <f t="shared" ca="1" si="6"/>
        <v>0</v>
      </c>
      <c r="M29" s="221">
        <f t="shared" ca="1" si="7"/>
        <v>0</v>
      </c>
      <c r="N29" s="223">
        <f t="shared" ca="1" si="8"/>
        <v>0</v>
      </c>
      <c r="O29" s="221">
        <f t="shared" ca="1" si="9"/>
        <v>0</v>
      </c>
    </row>
    <row r="30" spans="1:18" ht="18.75" x14ac:dyDescent="0.3">
      <c r="A30" s="108" t="s">
        <v>95</v>
      </c>
      <c r="B30" s="177">
        <f>'Telenor Forsikring'!B7+'Telenor Forsikring'!B22+'Telenor Forsikring'!B36+'Telenor Forsikring'!B47+'Telenor Forsikring'!B66+'Telenor Forsikring'!B134</f>
        <v>319</v>
      </c>
      <c r="C30" s="177">
        <f>'Telenor Forsikring'!C7+'Telenor Forsikring'!C22+'Telenor Forsikring'!C36+'Telenor Forsikring'!C47+'Telenor Forsikring'!C66+'Telenor Forsikring'!C134</f>
        <v>1972</v>
      </c>
      <c r="D30" s="104">
        <f t="shared" si="3"/>
        <v>518.20000000000005</v>
      </c>
      <c r="E30" s="406">
        <f t="shared" si="1"/>
        <v>1.068063520878022E-2</v>
      </c>
      <c r="F30" s="103"/>
      <c r="G30" s="177">
        <f>'Telenor Forsikring'!B10+'Telenor Forsikring'!B29+'Telenor Forsikring'!B37+'Telenor Forsikring'!B87+'Telenor Forsikring'!B135</f>
        <v>0</v>
      </c>
      <c r="H30" s="177">
        <f>'Telenor Forsikring'!C10+'Telenor Forsikring'!C29+'Telenor Forsikring'!C37+'Telenor Forsikring'!C87+'Telenor Forsikring'!C135</f>
        <v>0</v>
      </c>
      <c r="I30" s="104"/>
      <c r="J30" s="406">
        <f t="shared" si="10"/>
        <v>0</v>
      </c>
      <c r="K30" s="139"/>
      <c r="L30" s="223">
        <f t="shared" ca="1" si="6"/>
        <v>0</v>
      </c>
      <c r="M30" s="221">
        <f t="shared" ca="1" si="7"/>
        <v>0</v>
      </c>
      <c r="N30" s="223">
        <f t="shared" ca="1" si="8"/>
        <v>0</v>
      </c>
      <c r="O30" s="221">
        <f t="shared" ca="1" si="9"/>
        <v>0</v>
      </c>
      <c r="R30" s="558"/>
    </row>
    <row r="31" spans="1:18" ht="18.75" x14ac:dyDescent="0.3">
      <c r="A31" s="108" t="s">
        <v>96</v>
      </c>
      <c r="B31" s="177">
        <f>'Tryg Forsikring'!B7+'Tryg Forsikring'!B22+'Tryg Forsikring'!B36+'Tryg Forsikring'!B47+'Tryg Forsikring'!B66+'Tryg Forsikring'!B134</f>
        <v>546669.5</v>
      </c>
      <c r="C31" s="177">
        <f>'Tryg Forsikring'!C7+'Tryg Forsikring'!C22+'Tryg Forsikring'!C36+'Tryg Forsikring'!C47+'Tryg Forsikring'!C66+'Tryg Forsikring'!C134</f>
        <v>685373.375</v>
      </c>
      <c r="D31" s="104">
        <f t="shared" si="3"/>
        <v>25.4</v>
      </c>
      <c r="E31" s="406">
        <f t="shared" si="1"/>
        <v>3.7120806288973265</v>
      </c>
      <c r="F31" s="103"/>
      <c r="G31" s="177">
        <f>'Tryg Forsikring'!B10+'Tryg Forsikring'!B29+'Tryg Forsikring'!B37+'Tryg Forsikring'!B87+'Tryg Forsikring'!B135</f>
        <v>0</v>
      </c>
      <c r="H31" s="177">
        <f>'Tryg Forsikring'!C10+'Tryg Forsikring'!C29+'Tryg Forsikring'!C37+'Tryg Forsikring'!C87+'Tryg Forsikring'!C135</f>
        <v>0</v>
      </c>
      <c r="I31" s="104"/>
      <c r="J31" s="406">
        <f t="shared" si="10"/>
        <v>0</v>
      </c>
      <c r="K31" s="207"/>
      <c r="L31" s="223">
        <f t="shared" ca="1" si="6"/>
        <v>0</v>
      </c>
      <c r="M31" s="221">
        <f t="shared" ca="1" si="7"/>
        <v>0</v>
      </c>
      <c r="N31" s="223">
        <f t="shared" ca="1" si="8"/>
        <v>0</v>
      </c>
      <c r="O31" s="221">
        <f t="shared" ca="1" si="9"/>
        <v>0</v>
      </c>
    </row>
    <row r="32" spans="1:18" ht="18.75" x14ac:dyDescent="0.3">
      <c r="A32" s="193" t="s">
        <v>395</v>
      </c>
      <c r="B32" s="177">
        <f>'WaterCircles F'!B7+'WaterCircles F'!B22+'WaterCircles F'!B36+'WaterCircles F'!B47+'WaterCircles F'!B66+'WaterCircles F'!B136</f>
        <v>2114</v>
      </c>
      <c r="C32" s="177">
        <f>'WaterCircles F'!C7+'WaterCircles F'!C22+'WaterCircles F'!C36+'WaterCircles F'!C47+'WaterCircles F'!C66+'WaterCircles F'!C136</f>
        <v>2003</v>
      </c>
      <c r="D32" s="104">
        <f t="shared" si="3"/>
        <v>-5.3</v>
      </c>
      <c r="E32" s="406">
        <f t="shared" si="1"/>
        <v>1.0848535660845222E-2</v>
      </c>
      <c r="F32" s="193"/>
      <c r="G32" s="103">
        <f>'WaterCircles F'!B10+'WaterCircles F'!B29+'WaterCircles F'!B37+'WaterCircles F'!B87+'WaterCircles F'!B135</f>
        <v>0</v>
      </c>
      <c r="H32" s="103">
        <f>'WaterCircles F'!C10+'WaterCircles F'!C29+'WaterCircles F'!C37+'WaterCircles F'!C87+'WaterCircles F'!C135</f>
        <v>0</v>
      </c>
      <c r="I32" s="104"/>
      <c r="J32" s="406">
        <f t="shared" si="10"/>
        <v>0</v>
      </c>
      <c r="K32" s="207"/>
      <c r="L32" s="223">
        <f t="shared" ca="1" si="6"/>
        <v>0</v>
      </c>
      <c r="M32" s="221">
        <f t="shared" ca="1" si="7"/>
        <v>0</v>
      </c>
      <c r="N32" s="223">
        <f t="shared" ca="1" si="8"/>
        <v>0</v>
      </c>
      <c r="O32" s="221">
        <f t="shared" ca="1" si="9"/>
        <v>0</v>
      </c>
    </row>
    <row r="33" spans="1:21" ht="18.75" x14ac:dyDescent="0.3">
      <c r="A33" s="108" t="s">
        <v>403</v>
      </c>
      <c r="B33" s="177">
        <f>'Youplus Livsforsikring'!B7+'Youplus Livsforsikring'!B22+'Youplus Livsforsikring'!B36+'Youplus Livsforsikring'!B47+'Youplus Livsforsikring'!B66+'Youplus Livsforsikring'!B134</f>
        <v>868</v>
      </c>
      <c r="C33" s="177">
        <f>'Youplus Livsforsikring'!C7+'Youplus Livsforsikring'!C22+'Youplus Livsforsikring'!C36+'Youplus Livsforsikring'!C47+'Youplus Livsforsikring'!C66+'Youplus Livsforsikring'!C134</f>
        <v>1558</v>
      </c>
      <c r="D33" s="104">
        <f>IF(B33=0, "    ---- ", IF(ABS(ROUND(100/B33*C33-100,1))&lt;999,ROUND(100/B33*C33-100,1),IF(ROUND(100/B33*C33-100,1)&gt;999,999,-999)))</f>
        <v>79.5</v>
      </c>
      <c r="E33" s="406">
        <f t="shared" si="1"/>
        <v>8.4383517521701736E-3</v>
      </c>
      <c r="F33" s="103"/>
      <c r="G33" s="177">
        <f>'Youplus Livsforsikring'!B10+'Youplus Livsforsikring'!B29+'Youplus Livsforsikring'!B37+'Youplus Livsforsikring'!B87+'Youplus Livsforsikring'!B135</f>
        <v>837</v>
      </c>
      <c r="H33" s="177">
        <f>'Youplus Livsforsikring'!C10+'Youplus Livsforsikring'!C29+'Youplus Livsforsikring'!C37+'Youplus Livsforsikring'!C87+'Youplus Livsforsikring'!C135</f>
        <v>7107</v>
      </c>
      <c r="I33" s="104">
        <f>IF(G33=0, "    ---- ", IF(ABS(ROUND(100/G33*H33-100,1))&lt;999,ROUND(100/G33*H33-100,1),IF(ROUND(100/G33*H33-100,1)&gt;999,999,-999)))</f>
        <v>749.1</v>
      </c>
      <c r="J33" s="406">
        <f t="shared" si="10"/>
        <v>5.7726446049741588E-4</v>
      </c>
      <c r="K33" s="139"/>
      <c r="L33" s="223">
        <f ca="1">INDIRECT("'" &amp; $A21 &amp; "'!" &amp; $P$7)</f>
        <v>0</v>
      </c>
      <c r="M33" s="221">
        <f ca="1">INDIRECT("'" &amp; $A21 &amp; "'!" &amp; $P$8)</f>
        <v>0</v>
      </c>
      <c r="N33" s="223">
        <f ca="1">INDIRECT("'" &amp; $A21 &amp; "'!" &amp; $P$10)</f>
        <v>0</v>
      </c>
      <c r="O33" s="221">
        <f ca="1">INDIRECT("'" &amp; $A21 &amp; "'!" &amp; $P$11)</f>
        <v>0</v>
      </c>
    </row>
    <row r="34" spans="1:21" s="111" customFormat="1" ht="18.75" x14ac:dyDescent="0.3">
      <c r="A34" s="137" t="s">
        <v>97</v>
      </c>
      <c r="B34" s="179">
        <f>SUM(B9:B33)</f>
        <v>17101491.492070101</v>
      </c>
      <c r="C34" s="242">
        <f>SUM(C9:C33)</f>
        <v>18463321.342338141</v>
      </c>
      <c r="D34" s="104">
        <f t="shared" ref="D34" si="12">IF(B34=0, "    ---- ", IF(ABS(ROUND(100/B34*C34-100,1))&lt;999,ROUND(100/B34*C34-100,1),IF(ROUND(100/B34*C34-100,1)&gt;999,999,-999)))</f>
        <v>8</v>
      </c>
      <c r="E34" s="407">
        <f>SUM(E9:E33)</f>
        <v>100.00000000000003</v>
      </c>
      <c r="F34" s="109"/>
      <c r="G34" s="179">
        <f>SUM(G9:G33)</f>
        <v>1209063298.5826914</v>
      </c>
      <c r="H34" s="179">
        <f>SUM(H9:H33)</f>
        <v>1231151488.8472533</v>
      </c>
      <c r="I34" s="104">
        <f t="shared" ref="I34" si="13">IF(G34=0, "    ---- ", IF(ABS(ROUND(100/G34*H34-100,1))&lt;999,ROUND(100/G34*H34-100,1),IF(ROUND(100/G34*H34-100,1)&gt;999,999,-999)))</f>
        <v>1.8</v>
      </c>
      <c r="J34" s="407">
        <f>SUM(J9:J33)</f>
        <v>100</v>
      </c>
      <c r="K34" s="209"/>
      <c r="L34" s="223" t="e">
        <f ca="1">SUM(L10:L32)</f>
        <v>#REF!</v>
      </c>
      <c r="M34" s="221" t="e">
        <f ca="1">SUM(M10:M32)</f>
        <v>#REF!</v>
      </c>
      <c r="N34" s="223" t="e">
        <f ca="1">SUM(N10:N32)</f>
        <v>#REF!</v>
      </c>
      <c r="O34" s="221" t="e">
        <f ca="1">SUM(O10:O32)</f>
        <v>#REF!</v>
      </c>
      <c r="U34" s="205"/>
    </row>
    <row r="35" spans="1:21" ht="18.75" x14ac:dyDescent="0.3">
      <c r="A35" s="86"/>
      <c r="B35" s="177"/>
      <c r="C35" s="139"/>
      <c r="D35" s="104"/>
      <c r="E35" s="406"/>
      <c r="F35" s="103"/>
      <c r="G35" s="177"/>
      <c r="H35" s="103"/>
      <c r="I35" s="104"/>
      <c r="J35" s="406"/>
      <c r="K35" s="207"/>
      <c r="L35" s="220" t="s">
        <v>1</v>
      </c>
      <c r="M35" s="221"/>
      <c r="N35" s="223"/>
      <c r="O35" s="221"/>
    </row>
    <row r="36" spans="1:21" ht="18.75" x14ac:dyDescent="0.3">
      <c r="A36" s="101" t="s">
        <v>1</v>
      </c>
      <c r="B36" s="177"/>
      <c r="C36" s="139"/>
      <c r="D36" s="104"/>
      <c r="E36" s="406"/>
      <c r="F36" s="103"/>
      <c r="G36" s="177"/>
      <c r="H36" s="103"/>
      <c r="I36" s="104"/>
      <c r="J36" s="406"/>
      <c r="K36" s="207"/>
      <c r="L36" s="224">
        <v>2015</v>
      </c>
      <c r="M36" s="225">
        <v>2016</v>
      </c>
      <c r="N36" s="224">
        <v>2015</v>
      </c>
      <c r="O36" s="225">
        <v>2016</v>
      </c>
      <c r="P36" s="87" t="s">
        <v>148</v>
      </c>
    </row>
    <row r="37" spans="1:21" ht="18.75" x14ac:dyDescent="0.3">
      <c r="A37" s="193" t="s">
        <v>425</v>
      </c>
      <c r="B37" s="130">
        <f>'Storebrand Danica Pensjon'!F7+'Storebrand Danica Pensjon'!F22+'Storebrand Danica Pensjon'!F66+'Storebrand Danica Pensjon'!F134</f>
        <v>614205.69200000004</v>
      </c>
      <c r="C37" s="130">
        <f>'Storebrand Danica Pensjon'!G7+'Storebrand Danica Pensjon'!G22+'Storebrand Danica Pensjon'!G66+'Storebrand Danica Pensjon'!G134</f>
        <v>0</v>
      </c>
      <c r="D37" s="104">
        <f t="shared" ref="D37:D46" si="14">IF(B37=0, "    ---- ", IF(ABS(ROUND(100/B37*C37-100,1))&lt;999,ROUND(100/B37*C37-100,1),IF(ROUND(100/B37*C37-100,1)&gt;999,999,-999)))</f>
        <v>-100</v>
      </c>
      <c r="E37" s="406">
        <f t="shared" ref="E37:E45" si="15">100/C$46*C37</f>
        <v>0</v>
      </c>
      <c r="F37" s="103"/>
      <c r="G37" s="177">
        <f>'Storebrand Danica Pensjon'!F10+'Storebrand Danica Pensjon'!F29+'Storebrand Danica Pensjon'!F87+'Storebrand Danica Pensjon'!F135</f>
        <v>28240109.531000003</v>
      </c>
      <c r="H37" s="177">
        <f>'Storebrand Danica Pensjon'!G10+'Storebrand Danica Pensjon'!G29+'Storebrand Danica Pensjon'!G87+'Storebrand Danica Pensjon'!G135</f>
        <v>0</v>
      </c>
      <c r="I37" s="104">
        <f t="shared" ref="I37:I46" si="16">IF(G37=0, "    ---- ", IF(ABS(ROUND(100/G37*H37-100,1))&lt;999,ROUND(100/G37*H37-100,1),IF(ROUND(100/G37*H37-100,1)&gt;999,999,-999)))</f>
        <v>-100</v>
      </c>
      <c r="J37" s="406">
        <f t="shared" ref="J37:J45" si="17">100/H$46*H37</f>
        <v>0</v>
      </c>
      <c r="K37" s="207" t="s">
        <v>137</v>
      </c>
      <c r="L37" s="223" t="e">
        <f t="shared" ref="L37:L45" ca="1" si="18">INDIRECT("'" &amp; $A37 &amp; "'!" &amp; $P$36)</f>
        <v>#REF!</v>
      </c>
      <c r="M37" s="221" t="e">
        <f t="shared" ref="M37:M45" ca="1" si="19">INDIRECT("'" &amp; $A37 &amp; "'!" &amp; $P$37)</f>
        <v>#REF!</v>
      </c>
      <c r="N37" s="223" t="e">
        <f t="shared" ref="N37:N45" ca="1" si="20">INDIRECT("'" &amp; $A37 &amp; "'!" &amp; $P$38)</f>
        <v>#REF!</v>
      </c>
      <c r="O37" s="221" t="e">
        <f ca="1">INDIRECT("'"&amp;$A37&amp;"'!"&amp;$P$39)</f>
        <v>#REF!</v>
      </c>
      <c r="P37" s="87" t="s">
        <v>150</v>
      </c>
    </row>
    <row r="38" spans="1:21" ht="18.75" x14ac:dyDescent="0.3">
      <c r="A38" s="86" t="s">
        <v>83</v>
      </c>
      <c r="B38" s="130">
        <f>'DNB Livsforsikring'!F7+'DNB Livsforsikring'!F22+'DNB Livsforsikring'!F66+'DNB Livsforsikring'!F134</f>
        <v>2905848.0100999996</v>
      </c>
      <c r="C38" s="130">
        <f>'DNB Livsforsikring'!G7+'DNB Livsforsikring'!G22+'DNB Livsforsikring'!G66+'DNB Livsforsikring'!G134</f>
        <v>3430435.716</v>
      </c>
      <c r="D38" s="104">
        <f t="shared" si="14"/>
        <v>18.100000000000001</v>
      </c>
      <c r="E38" s="406">
        <f t="shared" si="15"/>
        <v>22.788331517030972</v>
      </c>
      <c r="F38" s="103"/>
      <c r="G38" s="177">
        <f>'DNB Livsforsikring'!F10+'DNB Livsforsikring'!F29+'DNB Livsforsikring'!F87+'DNB Livsforsikring'!F135</f>
        <v>137360760.34</v>
      </c>
      <c r="H38" s="177">
        <f>'DNB Livsforsikring'!G10+'DNB Livsforsikring'!G29+'DNB Livsforsikring'!G87+'DNB Livsforsikring'!G135</f>
        <v>146459867.64199999</v>
      </c>
      <c r="I38" s="104">
        <f t="shared" si="16"/>
        <v>6.6</v>
      </c>
      <c r="J38" s="406">
        <f t="shared" si="17"/>
        <v>25.312183035327251</v>
      </c>
      <c r="K38" s="87" t="s">
        <v>145</v>
      </c>
      <c r="L38" s="223">
        <f t="shared" ca="1" si="18"/>
        <v>0</v>
      </c>
      <c r="M38" s="221">
        <f t="shared" ca="1" si="19"/>
        <v>0</v>
      </c>
      <c r="N38" s="223">
        <f t="shared" ca="1" si="20"/>
        <v>0</v>
      </c>
      <c r="O38" s="221">
        <f ca="1">INDIRECT("'"&amp;$A38&amp;"'!"&amp;$P$39)</f>
        <v>0</v>
      </c>
      <c r="P38" s="87" t="s">
        <v>149</v>
      </c>
    </row>
    <row r="39" spans="1:21" ht="18.75" x14ac:dyDescent="0.3">
      <c r="A39" s="107" t="s">
        <v>85</v>
      </c>
      <c r="B39" s="130">
        <f>'Frende Livsforsikring'!F7+'Frende Livsforsikring'!F22+'Frende Livsforsikring'!F66+'Frende Livsforsikring'!F134</f>
        <v>0</v>
      </c>
      <c r="C39" s="130">
        <f>'Frende Livsforsikring'!G7+'Frende Livsforsikring'!G22+'Frende Livsforsikring'!G66+'Frende Livsforsikring'!G134</f>
        <v>0</v>
      </c>
      <c r="D39" s="104"/>
      <c r="E39" s="406">
        <f t="shared" si="15"/>
        <v>0</v>
      </c>
      <c r="F39" s="103"/>
      <c r="G39" s="177">
        <f>'Frende Livsforsikring'!F10+'Frende Livsforsikring'!F29+'Frende Livsforsikring'!F87+'Frende Livsforsikring'!F135</f>
        <v>0</v>
      </c>
      <c r="H39" s="177">
        <f>'Frende Livsforsikring'!G10+'Frende Livsforsikring'!G29+'Frende Livsforsikring'!G87+'Frende Livsforsikring'!G135</f>
        <v>0</v>
      </c>
      <c r="I39" s="104"/>
      <c r="J39" s="406">
        <f t="shared" si="17"/>
        <v>0</v>
      </c>
      <c r="K39" s="87" t="s">
        <v>138</v>
      </c>
      <c r="L39" s="223">
        <f t="shared" ca="1" si="18"/>
        <v>0</v>
      </c>
      <c r="M39" s="221">
        <f t="shared" ca="1" si="19"/>
        <v>0</v>
      </c>
      <c r="N39" s="223">
        <f t="shared" ca="1" si="20"/>
        <v>0</v>
      </c>
      <c r="O39" s="221">
        <f t="shared" ref="O39:O45" ca="1" si="21">INDIRECT("'"&amp;$A39&amp;"'!"&amp;$P$39)</f>
        <v>0</v>
      </c>
      <c r="P39" s="87" t="s">
        <v>151</v>
      </c>
    </row>
    <row r="40" spans="1:21" ht="18.75" x14ac:dyDescent="0.3">
      <c r="A40" s="107" t="s">
        <v>88</v>
      </c>
      <c r="B40" s="130">
        <f>'Gjensidige Pensjon'!F7+'Gjensidige Pensjon'!F22+'Gjensidige Pensjon'!F66+'Gjensidige Pensjon'!F134</f>
        <v>1002999</v>
      </c>
      <c r="C40" s="130">
        <f>'Gjensidige Pensjon'!G7+'Gjensidige Pensjon'!G22+'Gjensidige Pensjon'!G66+'Gjensidige Pensjon'!G134</f>
        <v>1416253</v>
      </c>
      <c r="D40" s="104">
        <f t="shared" si="14"/>
        <v>41.2</v>
      </c>
      <c r="E40" s="406">
        <f t="shared" si="15"/>
        <v>9.4081468209590167</v>
      </c>
      <c r="F40" s="103"/>
      <c r="G40" s="177">
        <f>'Gjensidige Pensjon'!F10+'Gjensidige Pensjon'!F29+'Gjensidige Pensjon'!F87+'Gjensidige Pensjon'!F135</f>
        <v>42719338</v>
      </c>
      <c r="H40" s="177">
        <f>'Gjensidige Pensjon'!G10+'Gjensidige Pensjon'!G29+'Gjensidige Pensjon'!G87+'Gjensidige Pensjon'!G135</f>
        <v>51422836</v>
      </c>
      <c r="I40" s="104">
        <f t="shared" si="16"/>
        <v>20.399999999999999</v>
      </c>
      <c r="J40" s="406">
        <f t="shared" si="17"/>
        <v>8.8872416586450012</v>
      </c>
      <c r="K40" s="87" t="s">
        <v>146</v>
      </c>
      <c r="L40" s="223">
        <f t="shared" ca="1" si="18"/>
        <v>0</v>
      </c>
      <c r="M40" s="221">
        <f t="shared" ca="1" si="19"/>
        <v>0</v>
      </c>
      <c r="N40" s="223">
        <f t="shared" ca="1" si="20"/>
        <v>0</v>
      </c>
      <c r="O40" s="221">
        <f t="shared" ca="1" si="21"/>
        <v>0</v>
      </c>
    </row>
    <row r="41" spans="1:21" ht="18.75" x14ac:dyDescent="0.3">
      <c r="A41" s="107" t="s">
        <v>63</v>
      </c>
      <c r="B41" s="130">
        <f>KLP!F7+KLP!F22+KLP!F66+KLP!F134</f>
        <v>7778.8180000000002</v>
      </c>
      <c r="C41" s="130">
        <f>KLP!G7+KLP!G22+KLP!G66+KLP!G134</f>
        <v>18550.222000000002</v>
      </c>
      <c r="D41" s="104">
        <f t="shared" si="14"/>
        <v>138.5</v>
      </c>
      <c r="E41" s="406">
        <f t="shared" si="15"/>
        <v>0.1232288384472153</v>
      </c>
      <c r="F41" s="103"/>
      <c r="G41" s="177">
        <f>KLP!F10+KLP!F29+KLP!F87+KLP!F135</f>
        <v>2847329.1389299999</v>
      </c>
      <c r="H41" s="177">
        <f>KLP!G10+KLP!G29+KLP!G87+KLP!G135</f>
        <v>2609059.09693</v>
      </c>
      <c r="I41" s="104">
        <f t="shared" si="16"/>
        <v>-8.4</v>
      </c>
      <c r="J41" s="406">
        <f t="shared" si="17"/>
        <v>0.45091520615671615</v>
      </c>
      <c r="K41" s="87" t="s">
        <v>139</v>
      </c>
      <c r="L41" s="223">
        <f t="shared" ca="1" si="18"/>
        <v>0</v>
      </c>
      <c r="M41" s="221">
        <f t="shared" ca="1" si="19"/>
        <v>0</v>
      </c>
      <c r="N41" s="223">
        <f t="shared" ca="1" si="20"/>
        <v>0</v>
      </c>
      <c r="O41" s="221">
        <f t="shared" ca="1" si="21"/>
        <v>0</v>
      </c>
    </row>
    <row r="42" spans="1:21" ht="18.75" x14ac:dyDescent="0.3">
      <c r="A42" s="107" t="s">
        <v>92</v>
      </c>
      <c r="B42" s="130">
        <f>'Nordea Liv '!F7+'Nordea Liv '!F22+'Nordea Liv '!F66+'Nordea Liv '!F134</f>
        <v>4270850.2935300004</v>
      </c>
      <c r="C42" s="130">
        <f>'Nordea Liv '!G7+'Nordea Liv '!G22+'Nordea Liv '!G66+'Nordea Liv '!G134</f>
        <v>4065856.8543600002</v>
      </c>
      <c r="D42" s="104">
        <f t="shared" si="14"/>
        <v>-4.8</v>
      </c>
      <c r="E42" s="406">
        <f t="shared" si="15"/>
        <v>27.009424332249576</v>
      </c>
      <c r="F42" s="103"/>
      <c r="G42" s="177">
        <f>'Nordea Liv '!F10+'Nordea Liv '!F29+'Nordea Liv '!F87+'Nordea Liv '!F135</f>
        <v>122540880</v>
      </c>
      <c r="H42" s="177">
        <f>'Nordea Liv '!G10+'Nordea Liv '!G29+'Nordea Liv '!G87+'Nordea Liv '!G135</f>
        <v>126457560</v>
      </c>
      <c r="I42" s="104">
        <f t="shared" si="16"/>
        <v>3.2</v>
      </c>
      <c r="J42" s="406">
        <f t="shared" si="17"/>
        <v>21.855249198675075</v>
      </c>
      <c r="K42" s="207"/>
      <c r="L42" s="223">
        <f t="shared" ca="1" si="18"/>
        <v>0</v>
      </c>
      <c r="M42" s="221">
        <f t="shared" ca="1" si="19"/>
        <v>0</v>
      </c>
      <c r="N42" s="223">
        <f t="shared" ca="1" si="20"/>
        <v>0</v>
      </c>
      <c r="O42" s="221">
        <f t="shared" ca="1" si="21"/>
        <v>0</v>
      </c>
    </row>
    <row r="43" spans="1:21" ht="18.75" x14ac:dyDescent="0.3">
      <c r="A43" s="107" t="s">
        <v>71</v>
      </c>
      <c r="B43" s="130">
        <f>'SHB Liv'!F7+'SHB Liv'!F22+'SHB Liv'!F66+'SHB Liv'!F134</f>
        <v>31910.574619999999</v>
      </c>
      <c r="C43" s="130">
        <f>'SHB Liv'!G7+'SHB Liv'!G22+'SHB Liv'!G66+'SHB Liv'!G134</f>
        <v>0</v>
      </c>
      <c r="D43" s="104">
        <f t="shared" si="14"/>
        <v>-100</v>
      </c>
      <c r="E43" s="406">
        <f t="shared" si="15"/>
        <v>0</v>
      </c>
      <c r="F43" s="103"/>
      <c r="G43" s="177">
        <f>'SHB Liv'!F10+'SHB Liv'!F29+'SHB Liv'!F87+'SHB Liv'!F135</f>
        <v>2929926.8749500001</v>
      </c>
      <c r="H43" s="177">
        <f>'SHB Liv'!G10+'SHB Liv'!G29+'SHB Liv'!G87+'SHB Liv'!G135</f>
        <v>0</v>
      </c>
      <c r="I43" s="104">
        <f t="shared" si="16"/>
        <v>-100</v>
      </c>
      <c r="J43" s="406">
        <f t="shared" si="17"/>
        <v>0</v>
      </c>
      <c r="K43" s="207"/>
      <c r="L43" s="223">
        <f t="shared" ca="1" si="18"/>
        <v>0</v>
      </c>
      <c r="M43" s="221">
        <f t="shared" ca="1" si="19"/>
        <v>0</v>
      </c>
      <c r="N43" s="223">
        <f t="shared" ca="1" si="20"/>
        <v>0</v>
      </c>
      <c r="O43" s="221">
        <f t="shared" ca="1" si="21"/>
        <v>0</v>
      </c>
    </row>
    <row r="44" spans="1:21" ht="18.75" x14ac:dyDescent="0.3">
      <c r="A44" s="86" t="s">
        <v>401</v>
      </c>
      <c r="B44" s="130">
        <f>'Sparebank 1 Forsikring'!F7+'Sparebank 1 Forsikring'!F22+'Sparebank 1 Forsikring'!F66+'Sparebank 1 Forsikring'!F134</f>
        <v>1509638.1021500002</v>
      </c>
      <c r="C44" s="130">
        <f>'Sparebank 1 Forsikring'!G7+'Sparebank 1 Forsikring'!G22+'Sparebank 1 Forsikring'!G66+'Sparebank 1 Forsikring'!G134</f>
        <v>1726963.1864399998</v>
      </c>
      <c r="D44" s="104">
        <f t="shared" si="14"/>
        <v>14.4</v>
      </c>
      <c r="E44" s="406">
        <f t="shared" si="15"/>
        <v>11.472189794068388</v>
      </c>
      <c r="F44" s="103"/>
      <c r="G44" s="177">
        <f>'Sparebank 1 Forsikring'!F10+'Sparebank 1 Forsikring'!F29+'Sparebank 1 Forsikring'!F87+'Sparebank 1 Forsikring'!F135</f>
        <v>55349782.673019998</v>
      </c>
      <c r="H44" s="177">
        <f>'Sparebank 1 Forsikring'!G10+'Sparebank 1 Forsikring'!G29+'Sparebank 1 Forsikring'!G87+'Sparebank 1 Forsikring'!G135</f>
        <v>60413574.038189903</v>
      </c>
      <c r="I44" s="104">
        <f t="shared" si="16"/>
        <v>9.1</v>
      </c>
      <c r="J44" s="406">
        <f t="shared" si="17"/>
        <v>10.441081700352649</v>
      </c>
      <c r="K44" s="139"/>
      <c r="L44" s="223">
        <f t="shared" ca="1" si="18"/>
        <v>0</v>
      </c>
      <c r="M44" s="221">
        <f t="shared" ca="1" si="19"/>
        <v>0</v>
      </c>
      <c r="N44" s="223">
        <f t="shared" ca="1" si="20"/>
        <v>0</v>
      </c>
      <c r="O44" s="221">
        <f t="shared" ca="1" si="21"/>
        <v>0</v>
      </c>
    </row>
    <row r="45" spans="1:21" ht="18.75" x14ac:dyDescent="0.3">
      <c r="A45" s="86" t="s">
        <v>94</v>
      </c>
      <c r="B45" s="130">
        <f>'Storebrand Livsforsikring'!F7+'Storebrand Livsforsikring'!F22+'Storebrand Livsforsikring'!F66+'Storebrand Livsforsikring'!F134</f>
        <v>3267123.5039999997</v>
      </c>
      <c r="C45" s="130">
        <f>'Storebrand Livsforsikring'!G7+'Storebrand Livsforsikring'!G22+'Storebrand Livsforsikring'!G66+'Storebrand Livsforsikring'!G134</f>
        <v>4395415.7059800001</v>
      </c>
      <c r="D45" s="104">
        <f t="shared" si="14"/>
        <v>34.5</v>
      </c>
      <c r="E45" s="406">
        <f t="shared" si="15"/>
        <v>29.198678697244819</v>
      </c>
      <c r="F45" s="103"/>
      <c r="G45" s="177">
        <f>'Storebrand Livsforsikring'!F10+'Storebrand Livsforsikring'!F29+'Storebrand Livsforsikring'!F87+'Storebrand Livsforsikring'!F135</f>
        <v>154175707.56736001</v>
      </c>
      <c r="H45" s="177">
        <f>'Storebrand Livsforsikring'!G10+'Storebrand Livsforsikring'!G29+'Storebrand Livsforsikring'!G87+'Storebrand Livsforsikring'!G135</f>
        <v>191251233.176</v>
      </c>
      <c r="I45" s="104">
        <f t="shared" si="16"/>
        <v>24</v>
      </c>
      <c r="J45" s="406">
        <f t="shared" si="17"/>
        <v>33.053329200843301</v>
      </c>
      <c r="K45" s="139"/>
      <c r="L45" s="223">
        <f t="shared" ca="1" si="18"/>
        <v>0</v>
      </c>
      <c r="M45" s="221">
        <f t="shared" ca="1" si="19"/>
        <v>0</v>
      </c>
      <c r="N45" s="223">
        <f t="shared" ca="1" si="20"/>
        <v>0</v>
      </c>
      <c r="O45" s="221">
        <f t="shared" ca="1" si="21"/>
        <v>0</v>
      </c>
    </row>
    <row r="46" spans="1:21" s="111" customFormat="1" ht="18.75" x14ac:dyDescent="0.3">
      <c r="A46" s="101" t="s">
        <v>98</v>
      </c>
      <c r="B46" s="242">
        <f>SUM(B37:B45)</f>
        <v>13610353.994399998</v>
      </c>
      <c r="C46" s="242">
        <f>SUM(C37:C45)</f>
        <v>15053474.684780002</v>
      </c>
      <c r="D46" s="104">
        <f t="shared" si="14"/>
        <v>10.6</v>
      </c>
      <c r="E46" s="407">
        <f>SUM(E37:E45)</f>
        <v>99.999999999999986</v>
      </c>
      <c r="F46" s="109"/>
      <c r="G46" s="179">
        <f>SUM(G37:G45)</f>
        <v>546163834.12526</v>
      </c>
      <c r="H46" s="179">
        <f>SUM(H37:H45)</f>
        <v>578614129.95311987</v>
      </c>
      <c r="I46" s="104">
        <f t="shared" si="16"/>
        <v>5.9</v>
      </c>
      <c r="J46" s="407">
        <f>SUM(J37:J45)</f>
        <v>100</v>
      </c>
      <c r="K46" s="139"/>
      <c r="L46" s="223" t="e">
        <f ca="1">SUM(L37:L45)</f>
        <v>#REF!</v>
      </c>
      <c r="M46" s="221" t="e">
        <f ca="1">SUM(M37:M45)</f>
        <v>#REF!</v>
      </c>
      <c r="N46" s="223" t="e">
        <f ca="1">SUM(N37:N45)</f>
        <v>#REF!</v>
      </c>
      <c r="O46" s="221" t="e">
        <f ca="1">SUM(O37:O45)</f>
        <v>#REF!</v>
      </c>
    </row>
    <row r="47" spans="1:21" ht="18.75" x14ac:dyDescent="0.3">
      <c r="A47" s="101"/>
      <c r="B47" s="130"/>
      <c r="C47" s="109"/>
      <c r="D47" s="110"/>
      <c r="E47" s="406"/>
      <c r="F47" s="109"/>
      <c r="G47" s="179"/>
      <c r="H47" s="109"/>
      <c r="I47" s="110"/>
      <c r="J47" s="407"/>
      <c r="K47" s="139"/>
      <c r="L47" s="220" t="s">
        <v>99</v>
      </c>
      <c r="M47" s="226"/>
      <c r="N47" s="227"/>
      <c r="O47" s="226"/>
    </row>
    <row r="48" spans="1:21" ht="18.75" x14ac:dyDescent="0.3">
      <c r="A48" s="86"/>
      <c r="B48" s="130"/>
      <c r="C48" s="103"/>
      <c r="D48" s="104"/>
      <c r="E48" s="406"/>
      <c r="F48" s="103"/>
      <c r="G48" s="177"/>
      <c r="H48" s="103"/>
      <c r="I48" s="104"/>
      <c r="J48" s="406"/>
      <c r="K48" s="139"/>
      <c r="L48" s="224">
        <v>2015</v>
      </c>
      <c r="M48" s="225">
        <v>2016</v>
      </c>
      <c r="N48" s="224">
        <v>2015</v>
      </c>
      <c r="O48" s="225">
        <v>2016</v>
      </c>
    </row>
    <row r="49" spans="1:20" ht="18.75" x14ac:dyDescent="0.3">
      <c r="A49" s="101" t="s">
        <v>99</v>
      </c>
      <c r="B49" s="130"/>
      <c r="C49" s="103"/>
      <c r="D49" s="104"/>
      <c r="E49" s="406"/>
      <c r="F49" s="103"/>
      <c r="G49" s="177"/>
      <c r="H49" s="103"/>
      <c r="I49" s="104"/>
      <c r="J49" s="406"/>
      <c r="K49" s="139"/>
      <c r="L49" s="223"/>
      <c r="M49" s="221"/>
      <c r="N49" s="223"/>
      <c r="O49" s="221"/>
      <c r="P49" s="207"/>
      <c r="Q49" s="207"/>
      <c r="R49" s="207"/>
      <c r="S49" s="182"/>
      <c r="T49" s="139"/>
    </row>
    <row r="50" spans="1:20" ht="18.75" x14ac:dyDescent="0.3">
      <c r="A50" s="86" t="s">
        <v>397</v>
      </c>
      <c r="B50" s="130">
        <f>B9</f>
        <v>49378</v>
      </c>
      <c r="C50" s="130">
        <f>C9</f>
        <v>0</v>
      </c>
      <c r="D50" s="104">
        <f t="shared" ref="D50" si="22">IF(B50=0, "    ---- ", IF(ABS(ROUND(100/B50*C50-100,1))&lt;999,ROUND(100/B50*C50-100,1),IF(ROUND(100/B50*C50-100,1)&gt;999,999,-999)))</f>
        <v>-100</v>
      </c>
      <c r="E50" s="406">
        <f t="shared" ref="E50:E73" si="23">100/C$76*C50</f>
        <v>0</v>
      </c>
      <c r="F50" s="103"/>
      <c r="G50" s="177">
        <f>G9</f>
        <v>0</v>
      </c>
      <c r="H50" s="177">
        <f>H9</f>
        <v>0</v>
      </c>
      <c r="I50" s="104"/>
      <c r="J50" s="406">
        <f t="shared" ref="J50:J73" si="24">100/H$76*H50</f>
        <v>0</v>
      </c>
      <c r="K50" s="139"/>
      <c r="L50" s="223" t="e">
        <f ca="1">L10</f>
        <v>#REF!</v>
      </c>
      <c r="M50" s="228" t="e">
        <f ca="1">M10</f>
        <v>#REF!</v>
      </c>
      <c r="N50" s="223" t="e">
        <f ca="1">N10</f>
        <v>#REF!</v>
      </c>
      <c r="O50" s="228" t="e">
        <f ca="1">O10</f>
        <v>#REF!</v>
      </c>
      <c r="P50" s="207"/>
      <c r="Q50" s="207"/>
      <c r="R50" s="207"/>
      <c r="S50" s="182"/>
      <c r="T50" s="139"/>
    </row>
    <row r="51" spans="1:20" ht="18.75" x14ac:dyDescent="0.3">
      <c r="A51" s="193" t="s">
        <v>425</v>
      </c>
      <c r="B51" s="130">
        <f>B10+B37</f>
        <v>727098.5560000001</v>
      </c>
      <c r="C51" s="103">
        <f>C10+C37</f>
        <v>0</v>
      </c>
      <c r="D51" s="104">
        <f t="shared" ref="D51:D74" si="25">IF(B51=0, "    ---- ", IF(ABS(ROUND(100/B51*C51-100,1))&lt;999,ROUND(100/B51*C51-100,1),IF(ROUND(100/B51*C51-100,1)&gt;999,999,-999)))</f>
        <v>-100</v>
      </c>
      <c r="E51" s="406">
        <f t="shared" si="23"/>
        <v>0</v>
      </c>
      <c r="F51" s="103"/>
      <c r="G51" s="177">
        <f>G10+G37</f>
        <v>29621653.370000005</v>
      </c>
      <c r="H51" s="177">
        <f>H10+H37</f>
        <v>0</v>
      </c>
      <c r="I51" s="104">
        <f t="shared" ref="I51:I71" si="26">IF(G51=0, "    ---- ", IF(ABS(ROUND(100/G51*H51-100,1))&lt;999,ROUND(100/G51*H51-100,1),IF(ROUND(100/G51*H51-100,1)&gt;999,999,-999)))</f>
        <v>-100</v>
      </c>
      <c r="J51" s="406">
        <f t="shared" si="24"/>
        <v>0</v>
      </c>
      <c r="K51" s="139"/>
      <c r="L51" s="223" t="e">
        <f ca="1">L11+L37</f>
        <v>#REF!</v>
      </c>
      <c r="M51" s="221" t="e">
        <f ca="1">M11+M37</f>
        <v>#REF!</v>
      </c>
      <c r="N51" s="223" t="e">
        <f ca="1">N11+N37</f>
        <v>#REF!</v>
      </c>
      <c r="O51" s="221" t="e">
        <f ca="1">O11+O37</f>
        <v>#REF!</v>
      </c>
      <c r="P51" s="207"/>
      <c r="Q51" s="207"/>
      <c r="R51" s="207"/>
      <c r="S51" s="182"/>
      <c r="T51" s="139"/>
    </row>
    <row r="52" spans="1:20" ht="18.75" x14ac:dyDescent="0.3">
      <c r="A52" s="86" t="s">
        <v>83</v>
      </c>
      <c r="B52" s="130">
        <f>B11+B38</f>
        <v>4147539.2804999994</v>
      </c>
      <c r="C52" s="103">
        <f>+C11+C38</f>
        <v>4605275.4280000003</v>
      </c>
      <c r="D52" s="104">
        <f t="shared" si="25"/>
        <v>11</v>
      </c>
      <c r="E52" s="406">
        <f t="shared" si="23"/>
        <v>13.740201850659929</v>
      </c>
      <c r="F52" s="103"/>
      <c r="G52" s="177">
        <f>+G11+G38</f>
        <v>329975389.6815657</v>
      </c>
      <c r="H52" s="177">
        <f>+H11+H38</f>
        <v>332167387.58722353</v>
      </c>
      <c r="I52" s="104">
        <f t="shared" si="26"/>
        <v>0.7</v>
      </c>
      <c r="J52" s="406">
        <f t="shared" si="24"/>
        <v>18.354166094027416</v>
      </c>
      <c r="K52" s="139"/>
      <c r="L52" s="223">
        <f ca="1">L12+L38</f>
        <v>0</v>
      </c>
      <c r="M52" s="221">
        <f ca="1">+M12+M38</f>
        <v>0</v>
      </c>
      <c r="N52" s="223">
        <f ca="1">+N12+N38</f>
        <v>0</v>
      </c>
      <c r="O52" s="221">
        <f ca="1">+O12+O38</f>
        <v>0</v>
      </c>
      <c r="P52" s="207"/>
      <c r="Q52" s="207"/>
      <c r="R52" s="207"/>
      <c r="S52" s="182"/>
      <c r="T52" s="139"/>
    </row>
    <row r="53" spans="1:20" ht="18.75" x14ac:dyDescent="0.3">
      <c r="A53" s="86" t="s">
        <v>84</v>
      </c>
      <c r="B53" s="130">
        <f t="shared" ref="B53:C55" si="27">B12</f>
        <v>116603</v>
      </c>
      <c r="C53" s="103">
        <f t="shared" si="27"/>
        <v>189579</v>
      </c>
      <c r="D53" s="104">
        <f t="shared" si="25"/>
        <v>62.6</v>
      </c>
      <c r="E53" s="406">
        <f t="shared" si="23"/>
        <v>0.56562387361433153</v>
      </c>
      <c r="F53" s="103"/>
      <c r="G53" s="177">
        <f t="shared" ref="G53:H55" si="28">G12</f>
        <v>0</v>
      </c>
      <c r="H53" s="177">
        <f t="shared" si="28"/>
        <v>0</v>
      </c>
      <c r="I53" s="104"/>
      <c r="J53" s="406">
        <f t="shared" si="24"/>
        <v>0</v>
      </c>
      <c r="K53" s="139"/>
      <c r="L53" s="223">
        <f ca="1">L14</f>
        <v>0</v>
      </c>
      <c r="M53" s="221">
        <f ca="1">M14</f>
        <v>0</v>
      </c>
      <c r="N53" s="223">
        <f ca="1">N14</f>
        <v>0</v>
      </c>
      <c r="O53" s="221">
        <f ca="1">+O14+O39</f>
        <v>0</v>
      </c>
      <c r="P53" s="207"/>
      <c r="Q53" s="207"/>
      <c r="R53" s="207"/>
      <c r="S53" s="182"/>
      <c r="T53" s="139"/>
    </row>
    <row r="54" spans="1:20" ht="18.75" x14ac:dyDescent="0.3">
      <c r="A54" s="86" t="s">
        <v>398</v>
      </c>
      <c r="B54" s="130">
        <f t="shared" si="27"/>
        <v>22472</v>
      </c>
      <c r="C54" s="130">
        <f t="shared" si="27"/>
        <v>36616</v>
      </c>
      <c r="D54" s="104">
        <f t="shared" ref="D54" si="29">IF(B54=0, "    ---- ", IF(ABS(ROUND(100/B54*C54-100,1))&lt;999,ROUND(100/B54*C54-100,1),IF(ROUND(100/B54*C54-100,1)&gt;999,999,-999)))</f>
        <v>62.9</v>
      </c>
      <c r="E54" s="406">
        <f t="shared" si="23"/>
        <v>0.10924671907891889</v>
      </c>
      <c r="F54" s="103"/>
      <c r="G54" s="177">
        <f t="shared" si="28"/>
        <v>0</v>
      </c>
      <c r="H54" s="177">
        <f t="shared" si="28"/>
        <v>0</v>
      </c>
      <c r="I54" s="104"/>
      <c r="J54" s="406">
        <f t="shared" si="24"/>
        <v>0</v>
      </c>
      <c r="K54" s="139"/>
      <c r="L54" s="223"/>
      <c r="M54" s="221"/>
      <c r="N54" s="223"/>
      <c r="O54" s="221"/>
      <c r="P54" s="207"/>
      <c r="Q54" s="207"/>
      <c r="R54" s="207"/>
      <c r="S54" s="182"/>
      <c r="T54" s="139"/>
    </row>
    <row r="55" spans="1:20" ht="18.75" x14ac:dyDescent="0.3">
      <c r="A55" s="107" t="s">
        <v>381</v>
      </c>
      <c r="B55" s="130">
        <f t="shared" si="27"/>
        <v>867620.14841999998</v>
      </c>
      <c r="C55" s="130">
        <f t="shared" si="27"/>
        <v>931757.56291999994</v>
      </c>
      <c r="D55" s="104">
        <f t="shared" ref="D55" si="30">IF(B55=0, "    ---- ", IF(ABS(ROUND(100/B55*C55-100,1))&lt;999,ROUND(100/B55*C55-100,1),IF(ROUND(100/B55*C55-100,1)&gt;999,999,-999)))</f>
        <v>7.4</v>
      </c>
      <c r="E55" s="406">
        <f t="shared" si="23"/>
        <v>2.7799720539102939</v>
      </c>
      <c r="F55" s="103"/>
      <c r="G55" s="177">
        <f t="shared" si="28"/>
        <v>4438692.9528400004</v>
      </c>
      <c r="H55" s="177">
        <f t="shared" si="28"/>
        <v>4951045.9075499997</v>
      </c>
      <c r="I55" s="104">
        <f t="shared" ref="I55" si="31">IF(G55=0, "    ---- ", IF(ABS(ROUND(100/G55*H55-100,1))&lt;999,ROUND(100/G55*H55-100,1),IF(ROUND(100/G55*H55-100,1)&gt;999,999,-999)))</f>
        <v>11.5</v>
      </c>
      <c r="J55" s="406">
        <f t="shared" si="24"/>
        <v>0.27357387366171015</v>
      </c>
      <c r="K55" s="139"/>
      <c r="L55" s="223"/>
      <c r="M55" s="221"/>
      <c r="N55" s="223"/>
      <c r="O55" s="221"/>
      <c r="P55" s="207"/>
      <c r="Q55" s="207"/>
      <c r="R55" s="207"/>
      <c r="S55" s="182"/>
      <c r="T55" s="139"/>
    </row>
    <row r="56" spans="1:20" ht="18.75" x14ac:dyDescent="0.3">
      <c r="A56" s="107" t="s">
        <v>85</v>
      </c>
      <c r="B56" s="130">
        <f>B15+B39</f>
        <v>509672</v>
      </c>
      <c r="C56" s="105">
        <f>C15+C39</f>
        <v>561739</v>
      </c>
      <c r="D56" s="106">
        <f t="shared" si="25"/>
        <v>10.199999999999999</v>
      </c>
      <c r="E56" s="408">
        <f t="shared" si="23"/>
        <v>1.6759925368328823</v>
      </c>
      <c r="F56" s="105"/>
      <c r="G56" s="178">
        <f>G15+G39</f>
        <v>1439347</v>
      </c>
      <c r="H56" s="178">
        <f>H15+H39</f>
        <v>1734604</v>
      </c>
      <c r="I56" s="104">
        <f t="shared" si="26"/>
        <v>20.5</v>
      </c>
      <c r="J56" s="406">
        <f t="shared" si="24"/>
        <v>9.5846886579147472E-2</v>
      </c>
      <c r="K56" s="139"/>
      <c r="L56" s="223">
        <f ca="1">L16+L39</f>
        <v>0</v>
      </c>
      <c r="M56" s="221">
        <f ca="1">M16+M39</f>
        <v>0</v>
      </c>
      <c r="N56" s="223">
        <f ca="1">N16+N39</f>
        <v>0</v>
      </c>
      <c r="O56" s="221">
        <f ca="1">O16+O39</f>
        <v>0</v>
      </c>
      <c r="P56" s="210"/>
      <c r="Q56" s="210"/>
      <c r="R56" s="210"/>
      <c r="S56" s="182"/>
      <c r="T56" s="139"/>
    </row>
    <row r="57" spans="1:20" ht="18.75" x14ac:dyDescent="0.3">
      <c r="A57" s="107" t="s">
        <v>86</v>
      </c>
      <c r="B57" s="130">
        <f>B16</f>
        <v>6055.442</v>
      </c>
      <c r="C57" s="105">
        <f>C16</f>
        <v>6113.049</v>
      </c>
      <c r="D57" s="106">
        <f t="shared" si="25"/>
        <v>1</v>
      </c>
      <c r="E57" s="408">
        <f t="shared" si="23"/>
        <v>1.8238763022139667E-2</v>
      </c>
      <c r="F57" s="105"/>
      <c r="G57" s="178">
        <f>G16</f>
        <v>0</v>
      </c>
      <c r="H57" s="178">
        <f>H16</f>
        <v>0</v>
      </c>
      <c r="I57" s="104"/>
      <c r="J57" s="406">
        <f t="shared" si="24"/>
        <v>0</v>
      </c>
      <c r="K57" s="139"/>
      <c r="L57" s="223">
        <f ca="1">L17</f>
        <v>0</v>
      </c>
      <c r="M57" s="221">
        <f ca="1">M17</f>
        <v>0</v>
      </c>
      <c r="N57" s="223">
        <f ca="1">N17</f>
        <v>0</v>
      </c>
      <c r="O57" s="221">
        <f ca="1">O17</f>
        <v>0</v>
      </c>
      <c r="P57" s="210"/>
      <c r="Q57" s="210"/>
      <c r="R57" s="210"/>
      <c r="S57" s="182"/>
      <c r="T57" s="139"/>
    </row>
    <row r="58" spans="1:20" ht="18.75" x14ac:dyDescent="0.3">
      <c r="A58" s="86" t="s">
        <v>87</v>
      </c>
      <c r="B58" s="103">
        <f>B17</f>
        <v>1381871.2850000001</v>
      </c>
      <c r="C58" s="103">
        <f>+C17</f>
        <v>1505481.132</v>
      </c>
      <c r="D58" s="104">
        <f t="shared" si="25"/>
        <v>8.9</v>
      </c>
      <c r="E58" s="406">
        <f t="shared" si="23"/>
        <v>4.4917214962370764</v>
      </c>
      <c r="F58" s="103"/>
      <c r="G58" s="177">
        <f>+G17</f>
        <v>0</v>
      </c>
      <c r="H58" s="177">
        <f>+H17</f>
        <v>0</v>
      </c>
      <c r="I58" s="104"/>
      <c r="J58" s="406">
        <f t="shared" si="24"/>
        <v>0</v>
      </c>
      <c r="K58" s="139"/>
      <c r="L58" s="223">
        <f ca="1">L18</f>
        <v>0</v>
      </c>
      <c r="M58" s="221">
        <f ca="1">+M18</f>
        <v>0</v>
      </c>
      <c r="N58" s="223">
        <f ca="1">+N18</f>
        <v>0</v>
      </c>
      <c r="O58" s="221">
        <f ca="1">+O18</f>
        <v>0</v>
      </c>
      <c r="P58" s="207"/>
      <c r="Q58" s="207"/>
      <c r="R58" s="207"/>
      <c r="S58" s="182"/>
      <c r="T58" s="139"/>
    </row>
    <row r="59" spans="1:20" ht="18.75" x14ac:dyDescent="0.3">
      <c r="A59" s="86" t="s">
        <v>88</v>
      </c>
      <c r="B59" s="103">
        <f>B18+B40</f>
        <v>1257782</v>
      </c>
      <c r="C59" s="103">
        <f>C18+C40</f>
        <v>1707546</v>
      </c>
      <c r="D59" s="104">
        <f t="shared" si="25"/>
        <v>35.799999999999997</v>
      </c>
      <c r="E59" s="406">
        <f t="shared" si="23"/>
        <v>5.0945979401445172</v>
      </c>
      <c r="F59" s="103"/>
      <c r="G59" s="177">
        <f>G18+G40</f>
        <v>51189152</v>
      </c>
      <c r="H59" s="177">
        <f>H18+H40</f>
        <v>60517451</v>
      </c>
      <c r="I59" s="104">
        <f t="shared" si="26"/>
        <v>18.2</v>
      </c>
      <c r="J59" s="406">
        <f t="shared" si="24"/>
        <v>3.3439385946625939</v>
      </c>
      <c r="K59" s="139"/>
      <c r="L59" s="223">
        <f ca="1">L19+L40</f>
        <v>0</v>
      </c>
      <c r="M59" s="221">
        <f ca="1">M19+M40</f>
        <v>0</v>
      </c>
      <c r="N59" s="223">
        <f ca="1">N19+N40</f>
        <v>0</v>
      </c>
      <c r="O59" s="221">
        <f ca="1">O19+O40</f>
        <v>0</v>
      </c>
      <c r="P59" s="207"/>
      <c r="Q59" s="207"/>
      <c r="R59" s="207"/>
      <c r="S59" s="182"/>
      <c r="T59" s="139"/>
    </row>
    <row r="60" spans="1:20" ht="18.75" x14ac:dyDescent="0.3">
      <c r="A60" s="107" t="s">
        <v>89</v>
      </c>
      <c r="B60" s="103">
        <f>B19</f>
        <v>8764.5190000000002</v>
      </c>
      <c r="C60" s="103">
        <f>+C19</f>
        <v>0</v>
      </c>
      <c r="D60" s="104">
        <f t="shared" si="25"/>
        <v>-100</v>
      </c>
      <c r="E60" s="406">
        <f t="shared" si="23"/>
        <v>0</v>
      </c>
      <c r="F60" s="103"/>
      <c r="G60" s="177">
        <f>+G19</f>
        <v>22760.624</v>
      </c>
      <c r="H60" s="177">
        <f>+H19</f>
        <v>0</v>
      </c>
      <c r="I60" s="104">
        <f t="shared" si="26"/>
        <v>-100</v>
      </c>
      <c r="J60" s="406">
        <f t="shared" si="24"/>
        <v>0</v>
      </c>
      <c r="K60" s="139"/>
      <c r="L60" s="223">
        <f ca="1">L20</f>
        <v>0</v>
      </c>
      <c r="M60" s="221">
        <f ca="1">+M20</f>
        <v>0</v>
      </c>
      <c r="N60" s="223">
        <f ca="1">+N20</f>
        <v>0</v>
      </c>
      <c r="O60" s="221">
        <f ca="1">+O20</f>
        <v>0</v>
      </c>
      <c r="P60" s="207"/>
      <c r="Q60" s="207"/>
      <c r="R60" s="207"/>
      <c r="S60" s="182"/>
      <c r="T60" s="139"/>
    </row>
    <row r="61" spans="1:20" ht="18.75" x14ac:dyDescent="0.3">
      <c r="A61" s="86" t="s">
        <v>90</v>
      </c>
      <c r="B61" s="103">
        <f>B20</f>
        <v>195617.65438259998</v>
      </c>
      <c r="C61" s="103">
        <f>+C20</f>
        <v>224595.87164857</v>
      </c>
      <c r="D61" s="104">
        <f t="shared" si="25"/>
        <v>14.8</v>
      </c>
      <c r="E61" s="406">
        <f t="shared" si="23"/>
        <v>0.67009946734422787</v>
      </c>
      <c r="F61" s="103"/>
      <c r="G61" s="177">
        <f>+G20</f>
        <v>0</v>
      </c>
      <c r="H61" s="177">
        <f>+H20</f>
        <v>0</v>
      </c>
      <c r="I61" s="104"/>
      <c r="J61" s="406">
        <f t="shared" si="24"/>
        <v>0</v>
      </c>
      <c r="K61" s="139"/>
      <c r="L61" s="223" t="e">
        <f>#REF!</f>
        <v>#REF!</v>
      </c>
      <c r="M61" s="221" t="e">
        <f>+#REF!</f>
        <v>#REF!</v>
      </c>
      <c r="N61" s="223" t="e">
        <f>+#REF!</f>
        <v>#REF!</v>
      </c>
      <c r="O61" s="221" t="e">
        <f>+#REF!</f>
        <v>#REF!</v>
      </c>
      <c r="P61" s="207"/>
      <c r="Q61" s="207"/>
      <c r="R61" s="207"/>
      <c r="S61" s="182"/>
      <c r="T61" s="139"/>
    </row>
    <row r="62" spans="1:20" ht="18.75" x14ac:dyDescent="0.3">
      <c r="A62" s="86" t="s">
        <v>63</v>
      </c>
      <c r="B62" s="105">
        <f>B21+B41</f>
        <v>7126487.35305</v>
      </c>
      <c r="C62" s="105">
        <f>C21+C41</f>
        <v>7572334.6528399996</v>
      </c>
      <c r="D62" s="106">
        <f t="shared" si="25"/>
        <v>6.3</v>
      </c>
      <c r="E62" s="408">
        <f t="shared" si="23"/>
        <v>22.59265666895276</v>
      </c>
      <c r="F62" s="105"/>
      <c r="G62" s="178">
        <f>G21+G41</f>
        <v>644033040.62371993</v>
      </c>
      <c r="H62" s="178">
        <f>H21+H41</f>
        <v>668173569.65249002</v>
      </c>
      <c r="I62" s="104">
        <f t="shared" si="26"/>
        <v>3.7</v>
      </c>
      <c r="J62" s="406">
        <f t="shared" si="24"/>
        <v>36.920447748112132</v>
      </c>
      <c r="K62" s="139"/>
      <c r="L62" s="223">
        <f ca="1">L33+L41</f>
        <v>0</v>
      </c>
      <c r="M62" s="221">
        <f ca="1">M33+M41</f>
        <v>0</v>
      </c>
      <c r="N62" s="223">
        <f ca="1">N33+N41</f>
        <v>0</v>
      </c>
      <c r="O62" s="221">
        <f ca="1">O33+O41</f>
        <v>0</v>
      </c>
      <c r="P62" s="210"/>
      <c r="Q62" s="210"/>
      <c r="R62" s="210"/>
      <c r="S62" s="182"/>
      <c r="T62" s="139"/>
    </row>
    <row r="63" spans="1:20" ht="18.75" x14ac:dyDescent="0.3">
      <c r="A63" s="86" t="s">
        <v>91</v>
      </c>
      <c r="B63" s="103">
        <f t="shared" ref="B63:C65" si="32">B22</f>
        <v>182893.26199999999</v>
      </c>
      <c r="C63" s="103">
        <f t="shared" si="32"/>
        <v>193468.31199999998</v>
      </c>
      <c r="D63" s="104">
        <f t="shared" si="25"/>
        <v>5.8</v>
      </c>
      <c r="E63" s="406">
        <f t="shared" si="23"/>
        <v>0.57722794220386253</v>
      </c>
      <c r="F63" s="103"/>
      <c r="G63" s="177">
        <f t="shared" ref="G63:H65" si="33">G22</f>
        <v>84130.56700000001</v>
      </c>
      <c r="H63" s="177">
        <f t="shared" si="33"/>
        <v>114338.397</v>
      </c>
      <c r="I63" s="104">
        <f t="shared" si="26"/>
        <v>35.9</v>
      </c>
      <c r="J63" s="406">
        <f t="shared" si="24"/>
        <v>6.3178566225493161E-3</v>
      </c>
      <c r="K63" s="139"/>
      <c r="L63" s="223">
        <f ca="1">L23</f>
        <v>0</v>
      </c>
      <c r="M63" s="221">
        <f ca="1">M23</f>
        <v>0</v>
      </c>
      <c r="N63" s="223">
        <f ca="1">N23</f>
        <v>0</v>
      </c>
      <c r="O63" s="221">
        <f ca="1">O23</f>
        <v>0</v>
      </c>
      <c r="P63" s="207"/>
      <c r="Q63" s="207"/>
      <c r="R63" s="207"/>
      <c r="S63" s="182"/>
      <c r="T63" s="139"/>
    </row>
    <row r="64" spans="1:20" ht="18.75" x14ac:dyDescent="0.3">
      <c r="A64" s="108" t="s">
        <v>392</v>
      </c>
      <c r="B64" s="103">
        <f t="shared" si="32"/>
        <v>18594</v>
      </c>
      <c r="C64" s="103">
        <f t="shared" si="32"/>
        <v>20027</v>
      </c>
      <c r="D64" s="104">
        <f t="shared" si="25"/>
        <v>7.7</v>
      </c>
      <c r="E64" s="406">
        <f t="shared" si="23"/>
        <v>5.9752131390471613E-2</v>
      </c>
      <c r="F64" s="103"/>
      <c r="G64" s="177">
        <f t="shared" si="33"/>
        <v>0</v>
      </c>
      <c r="H64" s="177">
        <f t="shared" si="33"/>
        <v>0</v>
      </c>
      <c r="I64" s="104"/>
      <c r="J64" s="406">
        <f t="shared" si="24"/>
        <v>0</v>
      </c>
      <c r="K64" s="139"/>
      <c r="L64" s="223">
        <f ca="1">L25</f>
        <v>0</v>
      </c>
      <c r="M64" s="221">
        <f ca="1">M25</f>
        <v>0</v>
      </c>
      <c r="N64" s="223">
        <f ca="1">N25</f>
        <v>0</v>
      </c>
      <c r="O64" s="221">
        <f ca="1">O25</f>
        <v>0</v>
      </c>
      <c r="P64" s="207"/>
      <c r="Q64" s="207"/>
      <c r="R64" s="207"/>
      <c r="S64" s="182"/>
      <c r="T64" s="139"/>
    </row>
    <row r="65" spans="1:240" ht="18.75" x14ac:dyDescent="0.3">
      <c r="A65" s="108" t="s">
        <v>402</v>
      </c>
      <c r="B65" s="103">
        <f t="shared" si="32"/>
        <v>0</v>
      </c>
      <c r="C65" s="103">
        <f t="shared" si="32"/>
        <v>12079</v>
      </c>
      <c r="D65" s="104" t="str">
        <f t="shared" ref="D65" si="34">IF(B65=0, "    ---- ", IF(ABS(ROUND(100/B65*C65-100,1))&lt;999,ROUND(100/B65*C65-100,1),IF(ROUND(100/B65*C65-100,1)&gt;999,999,-999)))</f>
        <v xml:space="preserve">    ---- </v>
      </c>
      <c r="E65" s="406">
        <f t="shared" si="23"/>
        <v>3.6038647579043619E-2</v>
      </c>
      <c r="F65" s="103"/>
      <c r="G65" s="177">
        <f t="shared" si="33"/>
        <v>0</v>
      </c>
      <c r="H65" s="177">
        <f t="shared" si="33"/>
        <v>0</v>
      </c>
      <c r="I65" s="104"/>
      <c r="J65" s="406">
        <f t="shared" si="24"/>
        <v>0</v>
      </c>
      <c r="K65" s="139"/>
      <c r="L65" s="223"/>
      <c r="M65" s="221"/>
      <c r="N65" s="223"/>
      <c r="O65" s="221"/>
      <c r="P65" s="207"/>
      <c r="Q65" s="207"/>
      <c r="R65" s="207"/>
      <c r="S65" s="182"/>
      <c r="T65" s="139"/>
    </row>
    <row r="66" spans="1:240" ht="18.75" x14ac:dyDescent="0.3">
      <c r="A66" s="107" t="s">
        <v>65</v>
      </c>
      <c r="B66" s="103">
        <f>B25+B42</f>
        <v>4906984.5457579158</v>
      </c>
      <c r="C66" s="103">
        <f>+C25+C42</f>
        <v>4756186.3541449988</v>
      </c>
      <c r="D66" s="104">
        <f t="shared" si="25"/>
        <v>-3.1</v>
      </c>
      <c r="E66" s="406">
        <f t="shared" si="23"/>
        <v>14.190456481272289</v>
      </c>
      <c r="F66" s="103"/>
      <c r="G66" s="177">
        <f>+G25+G42</f>
        <v>178616170.0000259</v>
      </c>
      <c r="H66" s="177">
        <f>+H25+H42</f>
        <v>181445170.00000989</v>
      </c>
      <c r="I66" s="104">
        <f t="shared" si="26"/>
        <v>1.6</v>
      </c>
      <c r="J66" s="406">
        <f t="shared" si="24"/>
        <v>10.025893304365191</v>
      </c>
      <c r="K66" s="139"/>
      <c r="L66" s="223">
        <f ca="1">L26+L42</f>
        <v>0</v>
      </c>
      <c r="M66" s="221">
        <f ca="1">+M26+M42</f>
        <v>0</v>
      </c>
      <c r="N66" s="223">
        <f ca="1">+N26+N42</f>
        <v>0</v>
      </c>
      <c r="O66" s="221">
        <f ca="1">+O26+O42</f>
        <v>0</v>
      </c>
      <c r="P66" s="207"/>
      <c r="Q66" s="207"/>
      <c r="R66" s="207"/>
      <c r="S66" s="182"/>
      <c r="T66" s="139"/>
    </row>
    <row r="67" spans="1:240" ht="18.75" customHeight="1" x14ac:dyDescent="0.3">
      <c r="A67" s="107" t="s">
        <v>93</v>
      </c>
      <c r="B67" s="103">
        <f>B26</f>
        <v>1184750</v>
      </c>
      <c r="C67" s="103">
        <f>C26</f>
        <v>1068666.4779999999</v>
      </c>
      <c r="D67" s="104">
        <f t="shared" si="25"/>
        <v>-9.8000000000000007</v>
      </c>
      <c r="E67" s="406">
        <f t="shared" si="23"/>
        <v>3.1884505820167042</v>
      </c>
      <c r="F67" s="103"/>
      <c r="G67" s="177">
        <f>G26</f>
        <v>82039593</v>
      </c>
      <c r="H67" s="177">
        <f>H26</f>
        <v>88090907</v>
      </c>
      <c r="I67" s="104">
        <f t="shared" si="26"/>
        <v>7.4</v>
      </c>
      <c r="J67" s="406">
        <f t="shared" si="24"/>
        <v>4.8675312474104908</v>
      </c>
      <c r="K67" s="139"/>
      <c r="L67" s="223">
        <f ca="1">L27</f>
        <v>0</v>
      </c>
      <c r="M67" s="221">
        <f ca="1">M27</f>
        <v>0</v>
      </c>
      <c r="N67" s="223">
        <f ca="1">N27</f>
        <v>0</v>
      </c>
      <c r="O67" s="221">
        <f ca="1">O27</f>
        <v>0</v>
      </c>
      <c r="P67" s="207"/>
      <c r="Q67" s="207"/>
      <c r="R67" s="207"/>
      <c r="S67" s="182"/>
      <c r="T67" s="139"/>
    </row>
    <row r="68" spans="1:240" ht="18.75" customHeight="1" x14ac:dyDescent="0.3">
      <c r="A68" s="107" t="s">
        <v>347</v>
      </c>
      <c r="B68" s="103">
        <f>B27</f>
        <v>216669.42148958714</v>
      </c>
      <c r="C68" s="103">
        <f>C27</f>
        <v>255125.81038457406</v>
      </c>
      <c r="D68" s="104">
        <f t="shared" ref="D68" si="35">IF(B68=0, "    ---- ", IF(ABS(ROUND(100/B68*C68-100,1))&lt;999,ROUND(100/B68*C68-100,1),IF(ROUND(100/B68*C68-100,1)&gt;999,999,-999)))</f>
        <v>17.7</v>
      </c>
      <c r="E68" s="406">
        <f t="shared" si="23"/>
        <v>0.76118794343634177</v>
      </c>
      <c r="F68" s="103"/>
      <c r="G68" s="177">
        <f>G27</f>
        <v>0</v>
      </c>
      <c r="H68" s="177">
        <f>H27</f>
        <v>0</v>
      </c>
      <c r="I68" s="104"/>
      <c r="J68" s="406">
        <f t="shared" si="24"/>
        <v>0</v>
      </c>
      <c r="K68" s="139"/>
      <c r="L68" s="223"/>
      <c r="M68" s="221"/>
      <c r="N68" s="223"/>
      <c r="O68" s="221"/>
      <c r="P68" s="207"/>
      <c r="Q68" s="207"/>
      <c r="R68" s="207"/>
      <c r="S68" s="182"/>
      <c r="T68" s="139"/>
    </row>
    <row r="69" spans="1:240" ht="18.75" customHeight="1" x14ac:dyDescent="0.3">
      <c r="A69" s="107" t="s">
        <v>71</v>
      </c>
      <c r="B69" s="103">
        <f>B43</f>
        <v>31910.574619999999</v>
      </c>
      <c r="C69" s="103">
        <f>C43</f>
        <v>0</v>
      </c>
      <c r="D69" s="104">
        <f t="shared" si="25"/>
        <v>-100</v>
      </c>
      <c r="E69" s="406">
        <f t="shared" si="23"/>
        <v>0</v>
      </c>
      <c r="F69" s="103"/>
      <c r="G69" s="177">
        <f>G43</f>
        <v>2929926.8749500001</v>
      </c>
      <c r="H69" s="177">
        <f>H43</f>
        <v>0</v>
      </c>
      <c r="I69" s="104">
        <f t="shared" si="26"/>
        <v>-100</v>
      </c>
      <c r="J69" s="406">
        <f t="shared" si="24"/>
        <v>0</v>
      </c>
      <c r="K69" s="139"/>
      <c r="L69" s="223">
        <f ca="1">L43</f>
        <v>0</v>
      </c>
      <c r="M69" s="221">
        <f ca="1">M43</f>
        <v>0</v>
      </c>
      <c r="N69" s="223">
        <f ca="1">N43</f>
        <v>0</v>
      </c>
      <c r="O69" s="221">
        <f ca="1">O43</f>
        <v>0</v>
      </c>
      <c r="P69" s="207"/>
      <c r="Q69" s="207"/>
      <c r="R69" s="207"/>
      <c r="S69" s="182"/>
      <c r="T69" s="139"/>
    </row>
    <row r="70" spans="1:240" ht="18.75" customHeight="1" x14ac:dyDescent="0.3">
      <c r="A70" s="86" t="s">
        <v>401</v>
      </c>
      <c r="B70" s="103">
        <f>B28+B44</f>
        <v>1773667.2652500002</v>
      </c>
      <c r="C70" s="103">
        <f>+C28+C44</f>
        <v>1996590.0567299998</v>
      </c>
      <c r="D70" s="104">
        <f t="shared" si="25"/>
        <v>12.6</v>
      </c>
      <c r="E70" s="406">
        <f t="shared" si="23"/>
        <v>5.9569836422150155</v>
      </c>
      <c r="F70" s="103"/>
      <c r="G70" s="177">
        <f>+G28+G44</f>
        <v>76081528.290490001</v>
      </c>
      <c r="H70" s="177">
        <f>+H28+H44</f>
        <v>79837986.914799899</v>
      </c>
      <c r="I70" s="104">
        <f t="shared" si="26"/>
        <v>4.9000000000000004</v>
      </c>
      <c r="J70" s="406">
        <f t="shared" si="24"/>
        <v>4.4115097604584594</v>
      </c>
      <c r="K70" s="139"/>
      <c r="L70" s="223">
        <f ca="1">L29+L44</f>
        <v>0</v>
      </c>
      <c r="M70" s="221">
        <f t="shared" ref="M70:O71" ca="1" si="36">+M29+M44</f>
        <v>0</v>
      </c>
      <c r="N70" s="223">
        <f t="shared" ca="1" si="36"/>
        <v>0</v>
      </c>
      <c r="O70" s="221">
        <f t="shared" ca="1" si="36"/>
        <v>0</v>
      </c>
      <c r="P70" s="207"/>
      <c r="Q70" s="207"/>
      <c r="R70" s="207"/>
      <c r="S70" s="182"/>
      <c r="T70" s="139"/>
    </row>
    <row r="71" spans="1:240" ht="18.75" customHeight="1" x14ac:dyDescent="0.3">
      <c r="A71" s="107" t="s">
        <v>94</v>
      </c>
      <c r="B71" s="103">
        <f>B45+B29</f>
        <v>5429444.6789999995</v>
      </c>
      <c r="C71" s="103">
        <f>+C29+C45</f>
        <v>7182708.9444500003</v>
      </c>
      <c r="D71" s="104">
        <f t="shared" si="25"/>
        <v>32.299999999999997</v>
      </c>
      <c r="E71" s="406">
        <f t="shared" si="23"/>
        <v>21.430177689533732</v>
      </c>
      <c r="F71" s="103"/>
      <c r="G71" s="177">
        <f>+G29+G45</f>
        <v>354754910.72336</v>
      </c>
      <c r="H71" s="177">
        <f>+H29+H45</f>
        <v>392726051.34130001</v>
      </c>
      <c r="I71" s="104">
        <f t="shared" si="26"/>
        <v>10.7</v>
      </c>
      <c r="J71" s="406">
        <f t="shared" si="24"/>
        <v>21.700381931314599</v>
      </c>
      <c r="K71" s="139"/>
      <c r="L71" s="223">
        <f ca="1">L45+L30</f>
        <v>0</v>
      </c>
      <c r="M71" s="221">
        <f t="shared" ca="1" si="36"/>
        <v>0</v>
      </c>
      <c r="N71" s="223">
        <f t="shared" ca="1" si="36"/>
        <v>0</v>
      </c>
      <c r="O71" s="221">
        <f t="shared" ca="1" si="36"/>
        <v>0</v>
      </c>
      <c r="P71" s="207"/>
      <c r="Q71" s="207"/>
      <c r="R71" s="207"/>
      <c r="S71" s="182"/>
      <c r="T71" s="139"/>
    </row>
    <row r="72" spans="1:240" ht="18.75" customHeight="1" x14ac:dyDescent="0.3">
      <c r="A72" s="107" t="s">
        <v>95</v>
      </c>
      <c r="B72" s="103">
        <f>B30</f>
        <v>319</v>
      </c>
      <c r="C72" s="103">
        <f>+C30</f>
        <v>1972</v>
      </c>
      <c r="D72" s="104">
        <f t="shared" si="25"/>
        <v>518.20000000000005</v>
      </c>
      <c r="E72" s="406">
        <f t="shared" si="23"/>
        <v>5.8836172717835929E-3</v>
      </c>
      <c r="F72" s="103"/>
      <c r="G72" s="177">
        <f t="shared" ref="G72:H74" si="37">+G30</f>
        <v>0</v>
      </c>
      <c r="H72" s="177">
        <f t="shared" si="37"/>
        <v>0</v>
      </c>
      <c r="I72" s="104"/>
      <c r="J72" s="406">
        <f t="shared" si="24"/>
        <v>0</v>
      </c>
      <c r="K72" s="139"/>
      <c r="L72" s="223">
        <f ca="1">L31</f>
        <v>0</v>
      </c>
      <c r="M72" s="221">
        <f t="shared" ref="M72:O73" ca="1" si="38">+M31</f>
        <v>0</v>
      </c>
      <c r="N72" s="223">
        <f t="shared" ca="1" si="38"/>
        <v>0</v>
      </c>
      <c r="O72" s="221">
        <f t="shared" ca="1" si="38"/>
        <v>0</v>
      </c>
      <c r="P72" s="207"/>
      <c r="Q72" s="207"/>
      <c r="R72" s="207"/>
      <c r="S72" s="182"/>
      <c r="T72" s="139"/>
    </row>
    <row r="73" spans="1:240" ht="18.75" customHeight="1" x14ac:dyDescent="0.3">
      <c r="A73" s="107" t="s">
        <v>96</v>
      </c>
      <c r="B73" s="103">
        <f>B31</f>
        <v>546669.5</v>
      </c>
      <c r="C73" s="103">
        <f>+C31</f>
        <v>685373.375</v>
      </c>
      <c r="D73" s="104">
        <f t="shared" si="25"/>
        <v>25.4</v>
      </c>
      <c r="E73" s="406">
        <f t="shared" si="23"/>
        <v>2.0448654293968627</v>
      </c>
      <c r="F73" s="103"/>
      <c r="G73" s="177">
        <f t="shared" si="37"/>
        <v>0</v>
      </c>
      <c r="H73" s="177">
        <f t="shared" si="37"/>
        <v>0</v>
      </c>
      <c r="I73" s="104"/>
      <c r="J73" s="406">
        <f t="shared" si="24"/>
        <v>0</v>
      </c>
      <c r="K73" s="139"/>
      <c r="L73" s="223">
        <f ca="1">L32</f>
        <v>0</v>
      </c>
      <c r="M73" s="221">
        <f t="shared" ca="1" si="38"/>
        <v>0</v>
      </c>
      <c r="N73" s="223">
        <f t="shared" ca="1" si="38"/>
        <v>0</v>
      </c>
      <c r="O73" s="221">
        <f t="shared" ca="1" si="38"/>
        <v>0</v>
      </c>
      <c r="P73" s="207"/>
      <c r="Q73" s="207"/>
      <c r="R73" s="207"/>
      <c r="S73" s="182"/>
      <c r="T73" s="139"/>
    </row>
    <row r="74" spans="1:240" ht="18.75" x14ac:dyDescent="0.3">
      <c r="A74" s="193" t="s">
        <v>395</v>
      </c>
      <c r="B74" s="103">
        <f>B32</f>
        <v>2114</v>
      </c>
      <c r="C74" s="103">
        <f>C32</f>
        <v>2003</v>
      </c>
      <c r="D74" s="104">
        <f t="shared" si="25"/>
        <v>-5.3</v>
      </c>
      <c r="E74" s="406">
        <f t="shared" ref="E74" si="39">100/C$34*C74</f>
        <v>1.0848535660845222E-2</v>
      </c>
      <c r="F74" s="193"/>
      <c r="G74" s="177">
        <f t="shared" si="37"/>
        <v>0</v>
      </c>
      <c r="H74" s="177">
        <f t="shared" si="37"/>
        <v>0</v>
      </c>
      <c r="I74" s="193"/>
      <c r="J74" s="406">
        <f t="shared" ref="J74" si="40">100/H$34*H74</f>
        <v>0</v>
      </c>
      <c r="K74" s="207"/>
      <c r="L74" s="223">
        <f t="shared" ref="L74" ca="1" si="41">INDIRECT("'" &amp; $A73 &amp; "'!" &amp; $P$7)</f>
        <v>0</v>
      </c>
      <c r="M74" s="221">
        <f t="shared" ref="M74" ca="1" si="42">INDIRECT("'" &amp; $A73 &amp; "'!" &amp; $P$8)</f>
        <v>0</v>
      </c>
      <c r="N74" s="223">
        <f t="shared" ref="N74" ca="1" si="43">INDIRECT("'" &amp; $A73 &amp; "'!" &amp; $P$10)</f>
        <v>0</v>
      </c>
      <c r="O74" s="221">
        <f t="shared" ref="O74" ca="1" si="44">INDIRECT("'" &amp; $A73 &amp; "'!" &amp; $P$11)</f>
        <v>0</v>
      </c>
    </row>
    <row r="75" spans="1:240" ht="18.75" x14ac:dyDescent="0.3">
      <c r="A75" s="107" t="s">
        <v>403</v>
      </c>
      <c r="B75" s="103">
        <f>B33</f>
        <v>868</v>
      </c>
      <c r="C75" s="103">
        <f>+C33</f>
        <v>1558</v>
      </c>
      <c r="D75" s="104">
        <f>IF(B75=0, "    ---- ", IF(ABS(ROUND(100/B75*C75-100,1))&lt;999,ROUND(100/B75*C75-100,1),IF(ROUND(100/B75*C75-100,1)&gt;999,999,-999)))</f>
        <v>79.5</v>
      </c>
      <c r="E75" s="406">
        <f>100/C$76*C75</f>
        <v>4.6484156741576259E-3</v>
      </c>
      <c r="F75" s="103"/>
      <c r="G75" s="177">
        <f>G33</f>
        <v>837</v>
      </c>
      <c r="H75" s="177">
        <f>H33</f>
        <v>7107</v>
      </c>
      <c r="I75" s="104">
        <f>IF(G75=0, "    ---- ", IF(ABS(ROUND(100/G75*H75-100,1))&lt;999,ROUND(100/G75*H75-100,1),IF(ROUND(100/G75*H75-100,1)&gt;999,999,-999)))</f>
        <v>749.1</v>
      </c>
      <c r="J75" s="406">
        <f>100/H$76*H75</f>
        <v>3.9270278571823948E-4</v>
      </c>
      <c r="K75" s="139"/>
      <c r="L75" s="223" t="e">
        <f ca="1">L22+#REF!</f>
        <v>#REF!</v>
      </c>
      <c r="M75" s="221" t="e">
        <f ca="1">+M22+#REF!</f>
        <v>#REF!</v>
      </c>
      <c r="N75" s="223" t="e">
        <f ca="1">N22+#REF!</f>
        <v>#REF!</v>
      </c>
      <c r="O75" s="221" t="e">
        <f ca="1">O22+#REF!</f>
        <v>#REF!</v>
      </c>
      <c r="P75" s="207"/>
      <c r="Q75" s="207"/>
      <c r="R75" s="207"/>
      <c r="S75" s="182"/>
      <c r="T75" s="139"/>
    </row>
    <row r="76" spans="1:240" s="111" customFormat="1" ht="18.75" customHeight="1" x14ac:dyDescent="0.3">
      <c r="A76" s="113" t="s">
        <v>2</v>
      </c>
      <c r="B76" s="114">
        <f>SUM(B50:B75)</f>
        <v>30711845.486470103</v>
      </c>
      <c r="C76" s="114">
        <f>SUM(C50:C75)</f>
        <v>33516796.027118139</v>
      </c>
      <c r="D76" s="115">
        <f>IF(B76=0, "    ---- ", IF(ABS(ROUND(100/B76*C76-100,1))&lt;999,ROUND(100/B76*C76-100,1),IF(ROUND(100/B76*C76-100,1)&gt;999,999,-999)))</f>
        <v>9.1</v>
      </c>
      <c r="E76" s="409">
        <f>SUM(E50:E75)</f>
        <v>100.00487242744818</v>
      </c>
      <c r="F76" s="109"/>
      <c r="G76" s="181">
        <f>SUM(G50:G75)</f>
        <v>1755227132.7079515</v>
      </c>
      <c r="H76" s="181">
        <f>SUM(H50:H75)</f>
        <v>1809765618.8003733</v>
      </c>
      <c r="I76" s="115">
        <f>IF(G76=0, "    ---- ", IF(ABS(ROUND(100/G76*H76-100,1))&lt;999,ROUND(100/G76*H76-100,1),IF(ROUND(100/G76*H76-100,1)&gt;999,999,-999)))</f>
        <v>3.1</v>
      </c>
      <c r="J76" s="409">
        <f>SUM(J50:J75)</f>
        <v>100.00000000000001</v>
      </c>
      <c r="K76" s="180"/>
      <c r="L76" s="229" t="e">
        <f ca="1">SUM(L50:L73)</f>
        <v>#REF!</v>
      </c>
      <c r="M76" s="230" t="e">
        <f ca="1">SUM(M50:M73)</f>
        <v>#REF!</v>
      </c>
      <c r="N76" s="229" t="e">
        <f ca="1">SUM(N50:N73)</f>
        <v>#REF!</v>
      </c>
      <c r="O76" s="230" t="e">
        <f ca="1">SUM(O50:O73)</f>
        <v>#REF!</v>
      </c>
      <c r="P76" s="209"/>
      <c r="Q76" s="209"/>
      <c r="R76" s="209"/>
      <c r="S76" s="138"/>
      <c r="T76" s="180"/>
    </row>
    <row r="77" spans="1:240" ht="18.75" customHeight="1" x14ac:dyDescent="0.3">
      <c r="A77" s="112" t="s">
        <v>100</v>
      </c>
      <c r="B77" s="112"/>
      <c r="C77" s="112"/>
      <c r="D77" s="112"/>
      <c r="E77" s="112"/>
      <c r="F77" s="112"/>
      <c r="G77" s="112"/>
      <c r="H77" s="112"/>
      <c r="I77" s="112"/>
      <c r="J77" s="112"/>
      <c r="K77" s="112"/>
      <c r="L77" s="186"/>
      <c r="M77" s="186"/>
      <c r="N77" s="186"/>
      <c r="O77" s="186"/>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c r="GE77" s="112"/>
      <c r="GF77" s="112"/>
      <c r="GG77" s="112"/>
      <c r="GH77" s="112"/>
      <c r="GI77" s="112"/>
      <c r="GJ77" s="112"/>
      <c r="GK77" s="112"/>
      <c r="GL77" s="112"/>
      <c r="GM77" s="112"/>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7"/>
      <c r="C80" s="77"/>
      <c r="D80" s="74"/>
      <c r="E80" s="74"/>
      <c r="F80" s="74"/>
      <c r="G80" s="77"/>
      <c r="H80" s="77"/>
      <c r="I80" s="74"/>
      <c r="J80" s="74"/>
      <c r="K80" s="74"/>
    </row>
    <row r="81" spans="1:11" ht="18.75" customHeight="1" x14ac:dyDescent="0.3">
      <c r="A81" s="74"/>
      <c r="B81" s="74"/>
      <c r="C81" s="74"/>
      <c r="D81" s="74"/>
      <c r="E81" s="74"/>
      <c r="F81" s="74"/>
      <c r="G81" s="74"/>
      <c r="H81" s="74"/>
      <c r="I81" s="74"/>
      <c r="J81" s="74"/>
      <c r="K81" s="74"/>
    </row>
    <row r="82" spans="1:11" ht="18.75" customHeight="1" x14ac:dyDescent="0.3">
      <c r="A82" s="74"/>
      <c r="B82" s="74"/>
      <c r="C82" s="74"/>
      <c r="D82" s="74"/>
      <c r="E82" s="74"/>
      <c r="F82" s="74"/>
      <c r="G82" s="74"/>
      <c r="H82" s="74"/>
      <c r="I82" s="74"/>
      <c r="J82" s="74"/>
      <c r="K82" s="74"/>
    </row>
    <row r="83" spans="1:11" ht="18.75" customHeight="1" x14ac:dyDescent="0.3">
      <c r="A83" s="74"/>
      <c r="B83" s="74"/>
      <c r="C83" s="74"/>
      <c r="D83" s="74"/>
      <c r="E83" s="74"/>
      <c r="F83" s="74"/>
      <c r="G83" s="74"/>
      <c r="H83" s="74"/>
      <c r="I83" s="74"/>
      <c r="J83" s="74"/>
      <c r="K83" s="74"/>
    </row>
    <row r="84" spans="1:11" ht="18.75" customHeight="1"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112"/>
      <c r="B102" s="112"/>
      <c r="C102" s="112"/>
      <c r="D102" s="112"/>
      <c r="E102" s="112"/>
      <c r="F102" s="112"/>
      <c r="G102" s="112"/>
      <c r="H102" s="112"/>
      <c r="I102" s="112"/>
      <c r="J102" s="112"/>
      <c r="K102" s="112"/>
    </row>
    <row r="103" spans="1:11" ht="18.75" x14ac:dyDescent="0.3">
      <c r="A103" s="116"/>
      <c r="B103" s="117"/>
      <c r="C103" s="117"/>
      <c r="D103" s="117"/>
      <c r="E103" s="74"/>
      <c r="F103" s="74"/>
      <c r="G103" s="74"/>
      <c r="H103" s="74"/>
      <c r="I103" s="74"/>
      <c r="J103" s="75"/>
      <c r="K103" s="75"/>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row r="114" spans="1:11" ht="18.75" x14ac:dyDescent="0.3">
      <c r="A114" s="74"/>
      <c r="B114" s="74"/>
      <c r="C114" s="74"/>
      <c r="D114" s="74"/>
      <c r="E114" s="74"/>
      <c r="F114" s="74"/>
      <c r="G114" s="74"/>
      <c r="H114" s="74"/>
      <c r="I114" s="74"/>
      <c r="J114" s="74"/>
      <c r="K114" s="74"/>
    </row>
    <row r="115" spans="1:11" ht="18.75" x14ac:dyDescent="0.3">
      <c r="A115" s="74"/>
      <c r="B115" s="74"/>
      <c r="C115" s="74"/>
      <c r="D115" s="74"/>
      <c r="E115" s="74"/>
      <c r="F115" s="74"/>
      <c r="G115" s="74"/>
      <c r="H115" s="74"/>
      <c r="I115" s="74"/>
      <c r="J115" s="74"/>
      <c r="K115"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activeCell="K24" sqref="K24"/>
      <selection pane="topRight" activeCell="K24" sqref="K24"/>
      <selection pane="bottomLeft" activeCell="K24" sqref="K24"/>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7109375" style="81" customWidth="1"/>
    <col min="11" max="11" width="18" style="81" bestFit="1" customWidth="1"/>
    <col min="12" max="12" width="9.28515625" style="81" bestFit="1" customWidth="1"/>
    <col min="13" max="13" width="11.42578125" style="81"/>
    <col min="14" max="15" width="17.28515625" style="81" bestFit="1" customWidth="1"/>
    <col min="16" max="16384" width="11.42578125" style="81"/>
  </cols>
  <sheetData>
    <row r="1" spans="1:13" ht="20.25" x14ac:dyDescent="0.3">
      <c r="A1" s="80" t="s">
        <v>76</v>
      </c>
      <c r="B1" s="73" t="s">
        <v>52</v>
      </c>
      <c r="C1" s="74"/>
      <c r="D1" s="74"/>
      <c r="E1" s="74"/>
      <c r="F1" s="74"/>
      <c r="G1" s="74"/>
      <c r="H1" s="74"/>
      <c r="I1" s="74"/>
      <c r="J1" s="74"/>
      <c r="K1" s="74"/>
      <c r="L1" s="74"/>
      <c r="M1" s="74"/>
    </row>
    <row r="2" spans="1:13" ht="20.25" x14ac:dyDescent="0.3">
      <c r="A2" s="80" t="s">
        <v>101</v>
      </c>
      <c r="B2" s="73"/>
      <c r="C2" s="74"/>
      <c r="D2" s="74"/>
      <c r="E2" s="74"/>
      <c r="F2" s="74"/>
      <c r="G2" s="74"/>
      <c r="H2" s="74"/>
      <c r="I2" s="74"/>
      <c r="J2" s="74"/>
      <c r="K2" s="74"/>
      <c r="L2" s="74"/>
      <c r="M2" s="74"/>
    </row>
    <row r="3" spans="1:13" ht="18.75" x14ac:dyDescent="0.3">
      <c r="A3" s="75" t="s">
        <v>102</v>
      </c>
      <c r="B3" s="74"/>
      <c r="C3" s="74"/>
      <c r="D3" s="74"/>
      <c r="E3" s="74"/>
      <c r="F3" s="74"/>
      <c r="G3" s="74"/>
      <c r="H3" s="74"/>
      <c r="I3" s="74"/>
      <c r="J3" s="74"/>
      <c r="K3" s="74"/>
      <c r="L3" s="74"/>
      <c r="M3" s="74"/>
    </row>
    <row r="4" spans="1:13" ht="18.75" x14ac:dyDescent="0.3">
      <c r="A4" s="82" t="s">
        <v>424</v>
      </c>
      <c r="B4" s="102"/>
      <c r="C4" s="118"/>
      <c r="D4" s="119"/>
      <c r="E4" s="112"/>
      <c r="F4" s="83"/>
      <c r="G4" s="84"/>
      <c r="H4" s="85"/>
      <c r="I4" s="112"/>
      <c r="J4" s="83"/>
      <c r="K4" s="84"/>
      <c r="L4" s="85"/>
      <c r="M4" s="74"/>
    </row>
    <row r="5" spans="1:13" ht="18.75" x14ac:dyDescent="0.3">
      <c r="A5" s="120"/>
      <c r="B5" s="700" t="s">
        <v>0</v>
      </c>
      <c r="C5" s="701"/>
      <c r="D5" s="702"/>
      <c r="E5" s="89"/>
      <c r="F5" s="700" t="s">
        <v>1</v>
      </c>
      <c r="G5" s="701"/>
      <c r="H5" s="702"/>
      <c r="I5" s="121"/>
      <c r="J5" s="700" t="s">
        <v>103</v>
      </c>
      <c r="K5" s="701"/>
      <c r="L5" s="702"/>
      <c r="M5" s="74"/>
    </row>
    <row r="6" spans="1:13" ht="18.75" x14ac:dyDescent="0.3">
      <c r="A6" s="122"/>
      <c r="B6" s="123"/>
      <c r="C6" s="124"/>
      <c r="D6" s="94" t="s">
        <v>104</v>
      </c>
      <c r="E6" s="100"/>
      <c r="F6" s="123"/>
      <c r="G6" s="124"/>
      <c r="H6" s="94" t="s">
        <v>104</v>
      </c>
      <c r="I6" s="125"/>
      <c r="J6" s="123"/>
      <c r="K6" s="124"/>
      <c r="L6" s="94" t="s">
        <v>104</v>
      </c>
      <c r="M6" s="74"/>
    </row>
    <row r="7" spans="1:13" ht="18.75" x14ac:dyDescent="0.3">
      <c r="A7" s="126" t="s">
        <v>105</v>
      </c>
      <c r="B7" s="127">
        <v>2022</v>
      </c>
      <c r="C7" s="185">
        <v>2023</v>
      </c>
      <c r="D7" s="99" t="s">
        <v>82</v>
      </c>
      <c r="E7" s="100"/>
      <c r="F7" s="97">
        <v>2022</v>
      </c>
      <c r="G7" s="127">
        <v>2023</v>
      </c>
      <c r="H7" s="99" t="s">
        <v>82</v>
      </c>
      <c r="I7" s="128"/>
      <c r="J7" s="184">
        <v>2022</v>
      </c>
      <c r="K7" s="185">
        <v>2023</v>
      </c>
      <c r="L7" s="99" t="s">
        <v>82</v>
      </c>
      <c r="M7" s="74"/>
    </row>
    <row r="8" spans="1:13" ht="22.5" x14ac:dyDescent="0.3">
      <c r="A8" s="192" t="s">
        <v>106</v>
      </c>
      <c r="B8" s="232"/>
      <c r="C8" s="201"/>
      <c r="D8" s="201"/>
      <c r="E8" s="182"/>
      <c r="F8" s="201"/>
      <c r="G8" s="201"/>
      <c r="H8" s="201"/>
      <c r="I8" s="202"/>
      <c r="J8" s="201"/>
      <c r="K8" s="201"/>
      <c r="L8" s="201"/>
      <c r="M8" s="74"/>
    </row>
    <row r="9" spans="1:13" ht="18.75" x14ac:dyDescent="0.3">
      <c r="A9" s="193" t="s">
        <v>107</v>
      </c>
      <c r="B9" s="104">
        <f>'Skjema total MA'!B7</f>
        <v>1733602.9790164691</v>
      </c>
      <c r="C9" s="104">
        <f>'Skjema total MA'!C7</f>
        <v>1889203.174898416</v>
      </c>
      <c r="D9" s="233">
        <f>IF(B9=0, "    ---- ", IF(ABS(ROUND(100/B9*C9-100,1))&lt;999,ROUND(100/B9*C9-100,1),IF(ROUND(100/B9*C9-100,1)&gt;999,999,-999)))</f>
        <v>9</v>
      </c>
      <c r="E9" s="182"/>
      <c r="F9" s="196">
        <f>'Skjema total MA'!E7</f>
        <v>3435021.29073</v>
      </c>
      <c r="G9" s="196">
        <f>'Skjema total MA'!F7</f>
        <v>2702858.6687699999</v>
      </c>
      <c r="H9" s="233">
        <f>IF(F9=0, "    ---- ", IF(ABS(ROUND(100/F9*G9-100,1))&lt;999,ROUND(100/F9*G9-100,1),IF(ROUND(100/F9*G9-100,1)&gt;999,999,-999)))</f>
        <v>-21.3</v>
      </c>
      <c r="I9" s="182"/>
      <c r="J9" s="196">
        <f t="shared" ref="J9:K60" si="0">SUM(B9+F9)</f>
        <v>5168624.2697464693</v>
      </c>
      <c r="K9" s="196">
        <f t="shared" si="0"/>
        <v>4592061.8436684161</v>
      </c>
      <c r="L9" s="231">
        <f>IF(J9=0, "    ---- ", IF(ABS(ROUND(100/J9*K9-100,1))&lt;999,ROUND(100/J9*K9-100,1),IF(ROUND(100/J9*K9-100,1)&gt;999,999,-999)))</f>
        <v>-11.2</v>
      </c>
      <c r="M9" s="74"/>
    </row>
    <row r="10" spans="1:13" ht="18.75" x14ac:dyDescent="0.3">
      <c r="A10" s="193" t="s">
        <v>108</v>
      </c>
      <c r="B10" s="104">
        <f>'Skjema total MA'!B22</f>
        <v>761140.55146032688</v>
      </c>
      <c r="C10" s="104">
        <f>'Skjema total MA'!C22</f>
        <v>822367.65775933326</v>
      </c>
      <c r="D10" s="233">
        <f t="shared" ref="D10:D17" si="1">IF(B10=0, "    ---- ", IF(ABS(ROUND(100/B10*C10-100,1))&lt;999,ROUND(100/B10*C10-100,1),IF(ROUND(100/B10*C10-100,1)&gt;999,999,-999)))</f>
        <v>8</v>
      </c>
      <c r="E10" s="182"/>
      <c r="F10" s="196">
        <f>'Skjema total MA'!E22</f>
        <v>273386.00956999999</v>
      </c>
      <c r="G10" s="196">
        <f>'Skjema total MA'!F22</f>
        <v>232680.74925000002</v>
      </c>
      <c r="H10" s="233">
        <f t="shared" ref="H10:H57" si="2">IF(F10=0, "    ---- ", IF(ABS(ROUND(100/F10*G10-100,1))&lt;999,ROUND(100/F10*G10-100,1),IF(ROUND(100/F10*G10-100,1)&gt;999,999,-999)))</f>
        <v>-14.9</v>
      </c>
      <c r="I10" s="182"/>
      <c r="J10" s="196">
        <f t="shared" si="0"/>
        <v>1034526.5610303269</v>
      </c>
      <c r="K10" s="196">
        <f t="shared" si="0"/>
        <v>1055048.4070093334</v>
      </c>
      <c r="L10" s="231">
        <f t="shared" ref="L10:L60" si="3">IF(J10=0, "    ---- ", IF(ABS(ROUND(100/J10*K10-100,1))&lt;999,ROUND(100/J10*K10-100,1),IF(ROUND(100/J10*K10-100,1)&gt;999,999,-999)))</f>
        <v>2</v>
      </c>
      <c r="M10" s="74"/>
    </row>
    <row r="11" spans="1:13" ht="18.75" x14ac:dyDescent="0.3">
      <c r="A11" s="193" t="s">
        <v>109</v>
      </c>
      <c r="B11" s="104">
        <f>'Skjema total MA'!B47</f>
        <v>3455491.0555133065</v>
      </c>
      <c r="C11" s="104">
        <f>'Skjema total MA'!C47</f>
        <v>3736795.0532203927</v>
      </c>
      <c r="D11" s="233">
        <f t="shared" si="1"/>
        <v>8.1</v>
      </c>
      <c r="E11" s="182"/>
      <c r="F11" s="196"/>
      <c r="G11" s="196"/>
      <c r="H11" s="233"/>
      <c r="I11" s="182"/>
      <c r="J11" s="196">
        <f t="shared" si="0"/>
        <v>3455491.0555133065</v>
      </c>
      <c r="K11" s="196">
        <f t="shared" si="0"/>
        <v>3736795.0532203927</v>
      </c>
      <c r="L11" s="231">
        <f t="shared" si="3"/>
        <v>8.1</v>
      </c>
      <c r="M11" s="74"/>
    </row>
    <row r="12" spans="1:13" ht="18.75" x14ac:dyDescent="0.3">
      <c r="A12" s="193" t="s">
        <v>110</v>
      </c>
      <c r="B12" s="104">
        <f>'Skjema total MA'!B66</f>
        <v>2652926.0376300002</v>
      </c>
      <c r="C12" s="104">
        <f>'Skjema total MA'!C66</f>
        <v>3124219.96612</v>
      </c>
      <c r="D12" s="233">
        <f t="shared" si="1"/>
        <v>17.8</v>
      </c>
      <c r="E12" s="182"/>
      <c r="F12" s="196">
        <f>'Skjema total MA'!E66</f>
        <v>9894167.8760999981</v>
      </c>
      <c r="G12" s="196">
        <f>'Skjema total MA'!F66</f>
        <v>12099385.04476</v>
      </c>
      <c r="H12" s="233">
        <f t="shared" si="2"/>
        <v>22.3</v>
      </c>
      <c r="I12" s="182"/>
      <c r="J12" s="196">
        <f t="shared" si="0"/>
        <v>12547093.913729999</v>
      </c>
      <c r="K12" s="196">
        <f t="shared" si="0"/>
        <v>15223605.010880001</v>
      </c>
      <c r="L12" s="231">
        <f t="shared" si="3"/>
        <v>21.3</v>
      </c>
      <c r="M12" s="74"/>
    </row>
    <row r="13" spans="1:13" ht="18.75" x14ac:dyDescent="0.3">
      <c r="A13" s="193" t="s">
        <v>111</v>
      </c>
      <c r="B13" s="104">
        <f>'Skjema total MA'!B68</f>
        <v>10400.841469999999</v>
      </c>
      <c r="C13" s="104">
        <f>'Skjema total MA'!C68</f>
        <v>10743.69318</v>
      </c>
      <c r="D13" s="233">
        <f t="shared" si="1"/>
        <v>3.3</v>
      </c>
      <c r="E13" s="182"/>
      <c r="F13" s="196">
        <f>'Skjema total MA'!E68</f>
        <v>9498593.5002799984</v>
      </c>
      <c r="G13" s="196">
        <f>'Skjema total MA'!F68</f>
        <v>11503074.73161</v>
      </c>
      <c r="H13" s="233">
        <f t="shared" si="2"/>
        <v>21.1</v>
      </c>
      <c r="I13" s="182"/>
      <c r="J13" s="196">
        <f t="shared" si="0"/>
        <v>9508994.3417499978</v>
      </c>
      <c r="K13" s="196">
        <f t="shared" si="0"/>
        <v>11513818.424790001</v>
      </c>
      <c r="L13" s="231">
        <f t="shared" si="3"/>
        <v>21.1</v>
      </c>
      <c r="M13" s="74"/>
    </row>
    <row r="14" spans="1:13" s="133" customFormat="1" ht="18.75" x14ac:dyDescent="0.3">
      <c r="A14" s="194" t="s">
        <v>112</v>
      </c>
      <c r="B14" s="131">
        <f>'Skjema total MA'!B75</f>
        <v>143305.45416000002</v>
      </c>
      <c r="C14" s="131">
        <f>'Skjema total MA'!C75</f>
        <v>168036.90376000002</v>
      </c>
      <c r="D14" s="233">
        <f t="shared" si="1"/>
        <v>17.3</v>
      </c>
      <c r="E14" s="183"/>
      <c r="F14" s="197">
        <f>'Skjema total MA'!E75</f>
        <v>395574.37582000002</v>
      </c>
      <c r="G14" s="197">
        <f>'Skjema total MA'!F75</f>
        <v>596310.31315000006</v>
      </c>
      <c r="H14" s="233">
        <f t="shared" si="2"/>
        <v>50.7</v>
      </c>
      <c r="I14" s="183"/>
      <c r="J14" s="196">
        <f t="shared" si="0"/>
        <v>538879.82998000004</v>
      </c>
      <c r="K14" s="196">
        <f t="shared" si="0"/>
        <v>764347.21691000008</v>
      </c>
      <c r="L14" s="231">
        <f t="shared" si="3"/>
        <v>41.8</v>
      </c>
      <c r="M14" s="132"/>
    </row>
    <row r="15" spans="1:13" ht="22.5" x14ac:dyDescent="0.3">
      <c r="A15" s="193" t="s">
        <v>338</v>
      </c>
      <c r="B15" s="104">
        <f>'Skjema total MA'!B134</f>
        <v>8497291.137050001</v>
      </c>
      <c r="C15" s="104">
        <f>'Skjema total MA'!C134</f>
        <v>8890376.6183399986</v>
      </c>
      <c r="D15" s="233">
        <f t="shared" si="1"/>
        <v>4.5999999999999996</v>
      </c>
      <c r="E15" s="182"/>
      <c r="F15" s="196">
        <f>'Skjema total MA'!E134</f>
        <v>7778.8180000000002</v>
      </c>
      <c r="G15" s="196">
        <f>'Skjema total MA'!F134</f>
        <v>18550.222000000002</v>
      </c>
      <c r="H15" s="233">
        <f t="shared" si="2"/>
        <v>138.5</v>
      </c>
      <c r="I15" s="182"/>
      <c r="J15" s="196">
        <f t="shared" si="0"/>
        <v>8505069.9550500009</v>
      </c>
      <c r="K15" s="196">
        <f t="shared" si="0"/>
        <v>8908926.8403399978</v>
      </c>
      <c r="L15" s="231">
        <f t="shared" si="3"/>
        <v>4.7</v>
      </c>
      <c r="M15" s="74"/>
    </row>
    <row r="16" spans="1:13" ht="18.75" x14ac:dyDescent="0.3">
      <c r="A16" s="193" t="s">
        <v>113</v>
      </c>
      <c r="B16" s="104">
        <f>'Skjema total MA'!B36</f>
        <v>1039.7314000000001</v>
      </c>
      <c r="C16" s="104">
        <f>'Skjema total MA'!C36</f>
        <v>358.87200000000001</v>
      </c>
      <c r="D16" s="233">
        <f t="shared" si="1"/>
        <v>-65.5</v>
      </c>
      <c r="E16" s="182"/>
      <c r="F16" s="196">
        <f>'Skjema total MA'!E36</f>
        <v>0</v>
      </c>
      <c r="G16" s="196">
        <f>'Skjema total MA'!F36</f>
        <v>0</v>
      </c>
      <c r="H16" s="233"/>
      <c r="I16" s="182"/>
      <c r="J16" s="196">
        <f t="shared" si="0"/>
        <v>1039.7314000000001</v>
      </c>
      <c r="K16" s="196">
        <f t="shared" si="0"/>
        <v>358.87200000000001</v>
      </c>
      <c r="L16" s="231">
        <f t="shared" si="3"/>
        <v>-65.5</v>
      </c>
      <c r="M16" s="74"/>
    </row>
    <row r="17" spans="1:23" s="135" customFormat="1" ht="18.75" customHeight="1" x14ac:dyDescent="0.3">
      <c r="A17" s="137" t="s">
        <v>114</v>
      </c>
      <c r="B17" s="110">
        <f>'Tabel 1.1'!B34</f>
        <v>17101491.492070101</v>
      </c>
      <c r="C17" s="198">
        <f>'Tabel 1.1'!C34</f>
        <v>18463321.342338141</v>
      </c>
      <c r="D17" s="687">
        <f t="shared" si="1"/>
        <v>8</v>
      </c>
      <c r="E17" s="138"/>
      <c r="F17" s="198">
        <f>'Tabel 1.1'!B46</f>
        <v>13610353.994399998</v>
      </c>
      <c r="G17" s="198">
        <f>'Tabel 1.1'!C46</f>
        <v>15053474.684780002</v>
      </c>
      <c r="H17" s="687">
        <f t="shared" si="2"/>
        <v>10.6</v>
      </c>
      <c r="I17" s="138"/>
      <c r="J17" s="198">
        <f t="shared" si="0"/>
        <v>30711845.4864701</v>
      </c>
      <c r="K17" s="198">
        <f t="shared" si="0"/>
        <v>33516796.027118143</v>
      </c>
      <c r="L17" s="688">
        <f t="shared" si="3"/>
        <v>9.1</v>
      </c>
      <c r="M17" s="75"/>
      <c r="N17" s="134"/>
      <c r="O17" s="134"/>
      <c r="Q17" s="136"/>
      <c r="R17" s="136"/>
      <c r="S17" s="136"/>
      <c r="T17" s="136"/>
      <c r="U17" s="136"/>
      <c r="V17" s="136"/>
      <c r="W17" s="136"/>
    </row>
    <row r="18" spans="1:23" ht="18.75" customHeight="1" x14ac:dyDescent="0.3">
      <c r="A18" s="137"/>
      <c r="B18" s="104"/>
      <c r="C18" s="196"/>
      <c r="D18" s="196"/>
      <c r="E18" s="182"/>
      <c r="F18" s="196"/>
      <c r="G18" s="196"/>
      <c r="H18" s="233"/>
      <c r="I18" s="182"/>
      <c r="J18" s="196"/>
      <c r="K18" s="196"/>
      <c r="L18" s="231"/>
      <c r="M18" s="74"/>
    </row>
    <row r="19" spans="1:23" ht="18.75" customHeight="1" x14ac:dyDescent="0.3">
      <c r="A19" s="192" t="s">
        <v>339</v>
      </c>
      <c r="B19" s="200"/>
      <c r="C19" s="203"/>
      <c r="D19" s="196"/>
      <c r="E19" s="182"/>
      <c r="F19" s="203"/>
      <c r="G19" s="203"/>
      <c r="H19" s="233"/>
      <c r="I19" s="182"/>
      <c r="J19" s="196"/>
      <c r="K19" s="196"/>
      <c r="L19" s="231"/>
      <c r="M19" s="74"/>
    </row>
    <row r="20" spans="1:23" ht="18.75" customHeight="1" x14ac:dyDescent="0.3">
      <c r="A20" s="193" t="s">
        <v>107</v>
      </c>
      <c r="B20" s="104">
        <f>'Skjema total MA'!B10</f>
        <v>16406101.241744703</v>
      </c>
      <c r="C20" s="104">
        <f>'Skjema total MA'!C10</f>
        <v>14743723.623452533</v>
      </c>
      <c r="D20" s="233">
        <f>IF(B20=0, "    ---- ", IF(ABS(ROUND(100/B20*C20-100,1))&lt;999,ROUND(100/B20*C20-100,1),IF(ROUND(100/B20*C20-100,1)&gt;999,999,-999)))</f>
        <v>-10.1</v>
      </c>
      <c r="E20" s="182"/>
      <c r="F20" s="196">
        <f>'Skjema total MA'!E10</f>
        <v>74929242.276765004</v>
      </c>
      <c r="G20" s="196">
        <f>'Skjema total MA'!F10</f>
        <v>75526249.806690007</v>
      </c>
      <c r="H20" s="233">
        <f t="shared" si="2"/>
        <v>0.8</v>
      </c>
      <c r="I20" s="182"/>
      <c r="J20" s="196">
        <f t="shared" si="0"/>
        <v>91335343.518509701</v>
      </c>
      <c r="K20" s="196">
        <f t="shared" si="0"/>
        <v>90269973.430142537</v>
      </c>
      <c r="L20" s="231">
        <f t="shared" si="3"/>
        <v>-1.2</v>
      </c>
      <c r="M20" s="74"/>
    </row>
    <row r="21" spans="1:23" ht="18.75" customHeight="1" x14ac:dyDescent="0.3">
      <c r="A21" s="193" t="s">
        <v>108</v>
      </c>
      <c r="B21" s="104">
        <f>'Skjema total MA'!B29</f>
        <v>45439786.669384629</v>
      </c>
      <c r="C21" s="104">
        <f>'Skjema total MA'!C29</f>
        <v>44128806.218797386</v>
      </c>
      <c r="D21" s="233">
        <f t="shared" ref="D21:D27" si="4">IF(B21=0, "    ---- ", IF(ABS(ROUND(100/B21*C21-100,1))&lt;999,ROUND(100/B21*C21-100,1),IF(ROUND(100/B21*C21-100,1)&gt;999,999,-999)))</f>
        <v>-2.9</v>
      </c>
      <c r="E21" s="182"/>
      <c r="F21" s="196">
        <f>'Skjema total MA'!E29</f>
        <v>25266915.540480003</v>
      </c>
      <c r="G21" s="196">
        <f>'Skjema total MA'!F29</f>
        <v>24814782.459380001</v>
      </c>
      <c r="H21" s="233">
        <f t="shared" si="2"/>
        <v>-1.8</v>
      </c>
      <c r="I21" s="182"/>
      <c r="J21" s="196">
        <f t="shared" si="0"/>
        <v>70706702.209864631</v>
      </c>
      <c r="K21" s="196">
        <f t="shared" si="0"/>
        <v>68943588.678177387</v>
      </c>
      <c r="L21" s="231">
        <f t="shared" si="3"/>
        <v>-2.5</v>
      </c>
      <c r="M21" s="74"/>
    </row>
    <row r="22" spans="1:23" ht="18.75" x14ac:dyDescent="0.3">
      <c r="A22" s="193" t="s">
        <v>110</v>
      </c>
      <c r="B22" s="104">
        <f>'Skjema total MA'!B87</f>
        <v>404551313.40177226</v>
      </c>
      <c r="C22" s="104">
        <f>'Skjema total MA'!C87</f>
        <v>397806064.01605344</v>
      </c>
      <c r="D22" s="233">
        <f t="shared" si="4"/>
        <v>-1.7</v>
      </c>
      <c r="E22" s="182"/>
      <c r="F22" s="196">
        <f>'Skjema total MA'!E87</f>
        <v>443120347.16908503</v>
      </c>
      <c r="G22" s="196">
        <f>'Skjema total MA'!F87</f>
        <v>475664038.5901199</v>
      </c>
      <c r="H22" s="233">
        <f t="shared" si="2"/>
        <v>7.3</v>
      </c>
      <c r="I22" s="182"/>
      <c r="J22" s="196">
        <f t="shared" si="0"/>
        <v>847671660.57085729</v>
      </c>
      <c r="K22" s="196">
        <f t="shared" si="0"/>
        <v>873470102.60617328</v>
      </c>
      <c r="L22" s="231">
        <f t="shared" si="3"/>
        <v>3</v>
      </c>
      <c r="M22" s="74"/>
    </row>
    <row r="23" spans="1:23" ht="22.5" x14ac:dyDescent="0.3">
      <c r="A23" s="193" t="s">
        <v>115</v>
      </c>
      <c r="B23" s="104">
        <f>'Skjema total MA'!B89</f>
        <v>3160052.8691211799</v>
      </c>
      <c r="C23" s="104">
        <f>'Skjema total MA'!C89</f>
        <v>2234395.1493767696</v>
      </c>
      <c r="D23" s="233">
        <f t="shared" si="4"/>
        <v>-29.3</v>
      </c>
      <c r="E23" s="182"/>
      <c r="F23" s="196">
        <f>'Skjema total MA'!E89</f>
        <v>438146052.72193503</v>
      </c>
      <c r="G23" s="196">
        <f>'Skjema total MA'!F89</f>
        <v>469439958.41088986</v>
      </c>
      <c r="H23" s="233">
        <f t="shared" si="2"/>
        <v>7.1</v>
      </c>
      <c r="I23" s="182"/>
      <c r="J23" s="196">
        <f t="shared" si="0"/>
        <v>441306105.59105623</v>
      </c>
      <c r="K23" s="196">
        <f t="shared" si="0"/>
        <v>471674353.56026661</v>
      </c>
      <c r="L23" s="231">
        <f t="shared" si="3"/>
        <v>6.9</v>
      </c>
      <c r="M23" s="74"/>
    </row>
    <row r="24" spans="1:23" ht="18.75" x14ac:dyDescent="0.3">
      <c r="A24" s="194" t="s">
        <v>112</v>
      </c>
      <c r="B24" s="104">
        <f>'Skjema total MA'!B96</f>
        <v>3067354.5131700002</v>
      </c>
      <c r="C24" s="104">
        <f>'Skjema total MA'!C96</f>
        <v>4038661.5210600002</v>
      </c>
      <c r="D24" s="233">
        <f t="shared" si="4"/>
        <v>31.7</v>
      </c>
      <c r="E24" s="182"/>
      <c r="F24" s="196">
        <f>'Skjema total MA'!E96</f>
        <v>4974294.4471499994</v>
      </c>
      <c r="G24" s="196">
        <f>'Skjema total MA'!F96</f>
        <v>6224080.1792300008</v>
      </c>
      <c r="H24" s="233">
        <f t="shared" si="2"/>
        <v>25.1</v>
      </c>
      <c r="I24" s="182"/>
      <c r="J24" s="196">
        <f t="shared" si="0"/>
        <v>8041648.9603199996</v>
      </c>
      <c r="K24" s="196">
        <f t="shared" si="0"/>
        <v>10262741.700290002</v>
      </c>
      <c r="L24" s="231">
        <f t="shared" si="3"/>
        <v>27.6</v>
      </c>
      <c r="M24" s="74"/>
    </row>
    <row r="25" spans="1:23" ht="22.5" x14ac:dyDescent="0.3">
      <c r="A25" s="193" t="s">
        <v>338</v>
      </c>
      <c r="B25" s="104">
        <f>'Skjema total MA'!B135</f>
        <v>739551747.40679002</v>
      </c>
      <c r="C25" s="104">
        <f>'Skjema total MA'!C135</f>
        <v>771616823.55249</v>
      </c>
      <c r="D25" s="233">
        <f t="shared" si="4"/>
        <v>4.3</v>
      </c>
      <c r="E25" s="182"/>
      <c r="F25" s="196">
        <f>'Skjema total MA'!E135</f>
        <v>2847329.1389299999</v>
      </c>
      <c r="G25" s="196">
        <f>'Skjema total MA'!F135</f>
        <v>2609059.09693</v>
      </c>
      <c r="H25" s="233">
        <f t="shared" si="2"/>
        <v>-8.4</v>
      </c>
      <c r="I25" s="182"/>
      <c r="J25" s="196">
        <f t="shared" si="0"/>
        <v>742399076.54571998</v>
      </c>
      <c r="K25" s="196">
        <f t="shared" si="0"/>
        <v>774225882.64942002</v>
      </c>
      <c r="L25" s="231">
        <f t="shared" si="3"/>
        <v>4.3</v>
      </c>
      <c r="M25" s="74"/>
    </row>
    <row r="26" spans="1:23" ht="18.75" x14ac:dyDescent="0.3">
      <c r="A26" s="193" t="s">
        <v>113</v>
      </c>
      <c r="B26" s="104">
        <f>'Skjema total MA'!B37</f>
        <v>3114349.8629999999</v>
      </c>
      <c r="C26" s="104">
        <f>'Skjema total MA'!C37</f>
        <v>2856071.43646</v>
      </c>
      <c r="D26" s="233">
        <f t="shared" si="4"/>
        <v>-8.3000000000000007</v>
      </c>
      <c r="E26" s="182"/>
      <c r="F26" s="196">
        <f>'Skjema total MA'!E37</f>
        <v>0</v>
      </c>
      <c r="G26" s="196">
        <f>'Skjema total MA'!F37</f>
        <v>0</v>
      </c>
      <c r="H26" s="233"/>
      <c r="I26" s="182"/>
      <c r="J26" s="196">
        <f t="shared" si="0"/>
        <v>3114349.8629999999</v>
      </c>
      <c r="K26" s="196">
        <f t="shared" si="0"/>
        <v>2856071.43646</v>
      </c>
      <c r="L26" s="231">
        <f t="shared" si="3"/>
        <v>-8.3000000000000007</v>
      </c>
      <c r="M26" s="74"/>
    </row>
    <row r="27" spans="1:23" s="135" customFormat="1" ht="18.75" x14ac:dyDescent="0.3">
      <c r="A27" s="137" t="s">
        <v>116</v>
      </c>
      <c r="B27" s="110">
        <f>'Tabel 1.1'!G34</f>
        <v>1209063298.5826914</v>
      </c>
      <c r="C27" s="198">
        <f>'Tabel 1.1'!H34</f>
        <v>1231151488.8472533</v>
      </c>
      <c r="D27" s="687">
        <f t="shared" si="4"/>
        <v>1.8</v>
      </c>
      <c r="E27" s="138"/>
      <c r="F27" s="198">
        <f>'Tabel 1.1'!G46</f>
        <v>546163834.12526</v>
      </c>
      <c r="G27" s="198">
        <f>'Tabel 1.1'!H46</f>
        <v>578614129.95311987</v>
      </c>
      <c r="H27" s="687">
        <f t="shared" si="2"/>
        <v>5.9</v>
      </c>
      <c r="I27" s="138"/>
      <c r="J27" s="198">
        <f t="shared" si="0"/>
        <v>1755227132.7079515</v>
      </c>
      <c r="K27" s="198">
        <f t="shared" si="0"/>
        <v>1809765618.8003731</v>
      </c>
      <c r="L27" s="688">
        <f t="shared" si="3"/>
        <v>3.1</v>
      </c>
      <c r="M27" s="75"/>
      <c r="N27" s="134"/>
      <c r="O27" s="134"/>
    </row>
    <row r="28" spans="1:23" ht="18.75" x14ac:dyDescent="0.3">
      <c r="A28" s="137"/>
      <c r="B28" s="104"/>
      <c r="C28" s="196"/>
      <c r="D28" s="233"/>
      <c r="E28" s="182"/>
      <c r="F28" s="196"/>
      <c r="G28" s="196"/>
      <c r="H28" s="233"/>
      <c r="I28" s="182"/>
      <c r="J28" s="196">
        <f t="shared" si="0"/>
        <v>0</v>
      </c>
      <c r="K28" s="196">
        <f t="shared" si="0"/>
        <v>0</v>
      </c>
      <c r="L28" s="231"/>
      <c r="M28" s="74"/>
    </row>
    <row r="29" spans="1:23" ht="22.5" x14ac:dyDescent="0.3">
      <c r="A29" s="192" t="s">
        <v>340</v>
      </c>
      <c r="B29" s="200"/>
      <c r="C29" s="203"/>
      <c r="D29" s="196"/>
      <c r="E29" s="182"/>
      <c r="F29" s="196"/>
      <c r="G29" s="196"/>
      <c r="H29" s="233"/>
      <c r="I29" s="182"/>
      <c r="J29" s="196"/>
      <c r="K29" s="196"/>
      <c r="L29" s="231"/>
      <c r="M29" s="74"/>
    </row>
    <row r="30" spans="1:23" ht="18.75" x14ac:dyDescent="0.3">
      <c r="A30" s="193" t="s">
        <v>107</v>
      </c>
      <c r="B30" s="104">
        <f>'Skjema total MA'!B11</f>
        <v>16931.237000000001</v>
      </c>
      <c r="C30" s="104">
        <f>'Skjema total MA'!C11</f>
        <v>24653</v>
      </c>
      <c r="D30" s="233">
        <f>IF(B30=0, "    ---- ", IF(ABS(ROUND(100/B30*C30-100,1))&lt;999,ROUND(100/B30*C30-100,1),IF(ROUND(100/B30*C30-100,1)&gt;999,999,-999)))</f>
        <v>45.6</v>
      </c>
      <c r="E30" s="182"/>
      <c r="F30" s="196">
        <f>'Skjema total MA'!E11</f>
        <v>299622.72640000004</v>
      </c>
      <c r="G30" s="196">
        <f>'Skjema total MA'!F11</f>
        <v>53338.788350000003</v>
      </c>
      <c r="H30" s="233">
        <f t="shared" si="2"/>
        <v>-82.2</v>
      </c>
      <c r="I30" s="182"/>
      <c r="J30" s="196">
        <f t="shared" si="0"/>
        <v>316553.96340000007</v>
      </c>
      <c r="K30" s="196">
        <f t="shared" si="0"/>
        <v>77991.788350000003</v>
      </c>
      <c r="L30" s="231">
        <f t="shared" si="3"/>
        <v>-75.400000000000006</v>
      </c>
      <c r="M30" s="74"/>
    </row>
    <row r="31" spans="1:23" ht="18.75" x14ac:dyDescent="0.3">
      <c r="A31" s="193" t="s">
        <v>108</v>
      </c>
      <c r="B31" s="104">
        <f>'Skjema total MA'!B34</f>
        <v>6142.8929200000002</v>
      </c>
      <c r="C31" s="104">
        <f>'Skjema total MA'!C34</f>
        <v>8687.9259999999995</v>
      </c>
      <c r="D31" s="233">
        <f t="shared" ref="D31:D38" si="5">IF(B31=0, "    ---- ", IF(ABS(ROUND(100/B31*C31-100,1))&lt;999,ROUND(100/B31*C31-100,1),IF(ROUND(100/B31*C31-100,1)&gt;999,999,-999)))</f>
        <v>41.4</v>
      </c>
      <c r="E31" s="182"/>
      <c r="F31" s="196">
        <f>'Skjema total MA'!E34</f>
        <v>23490.501960000001</v>
      </c>
      <c r="G31" s="196">
        <f>'Skjema total MA'!F34</f>
        <v>9769.1812799999989</v>
      </c>
      <c r="H31" s="233">
        <f t="shared" si="2"/>
        <v>-58.4</v>
      </c>
      <c r="I31" s="182"/>
      <c r="J31" s="196">
        <f t="shared" si="0"/>
        <v>29633.39488</v>
      </c>
      <c r="K31" s="196">
        <f t="shared" si="0"/>
        <v>18457.107279999997</v>
      </c>
      <c r="L31" s="231">
        <f t="shared" si="3"/>
        <v>-37.700000000000003</v>
      </c>
      <c r="M31" s="74"/>
    </row>
    <row r="32" spans="1:23" ht="18.75" x14ac:dyDescent="0.3">
      <c r="A32" s="193" t="s">
        <v>110</v>
      </c>
      <c r="B32" s="104">
        <f>'Skjema total MA'!B111</f>
        <v>344392.06988999998</v>
      </c>
      <c r="C32" s="104">
        <f>'Skjema total MA'!C111</f>
        <v>151888.42431999999</v>
      </c>
      <c r="D32" s="233">
        <f t="shared" si="5"/>
        <v>-55.9</v>
      </c>
      <c r="E32" s="182"/>
      <c r="F32" s="196">
        <f>'Skjema total MA'!E111</f>
        <v>11307961.27698</v>
      </c>
      <c r="G32" s="196">
        <f>'Skjema total MA'!F111</f>
        <v>12279847.38036</v>
      </c>
      <c r="H32" s="233">
        <f t="shared" si="2"/>
        <v>8.6</v>
      </c>
      <c r="I32" s="182"/>
      <c r="J32" s="196">
        <f t="shared" si="0"/>
        <v>11652353.34687</v>
      </c>
      <c r="K32" s="196">
        <f t="shared" si="0"/>
        <v>12431735.804679999</v>
      </c>
      <c r="L32" s="231">
        <f t="shared" si="3"/>
        <v>6.7</v>
      </c>
      <c r="M32" s="74"/>
    </row>
    <row r="33" spans="1:15" ht="22.5" x14ac:dyDescent="0.3">
      <c r="A33" s="193" t="s">
        <v>338</v>
      </c>
      <c r="B33" s="104">
        <f>'Skjema total MA'!B136</f>
        <v>3131923.139</v>
      </c>
      <c r="C33" s="104">
        <f>'Skjema total MA'!C136</f>
        <v>899139.28700000001</v>
      </c>
      <c r="D33" s="233">
        <f t="shared" si="5"/>
        <v>-71.3</v>
      </c>
      <c r="E33" s="182"/>
      <c r="F33" s="196">
        <f>'Skjema total MA'!E136</f>
        <v>376440.52899999998</v>
      </c>
      <c r="G33" s="196">
        <f>'Skjema total MA'!F136</f>
        <v>0</v>
      </c>
      <c r="H33" s="233">
        <f t="shared" si="2"/>
        <v>-100</v>
      </c>
      <c r="I33" s="182"/>
      <c r="J33" s="196">
        <f t="shared" si="0"/>
        <v>3508363.6680000001</v>
      </c>
      <c r="K33" s="196">
        <f t="shared" si="0"/>
        <v>899139.28700000001</v>
      </c>
      <c r="L33" s="231">
        <f t="shared" si="3"/>
        <v>-74.400000000000006</v>
      </c>
      <c r="M33" s="74"/>
    </row>
    <row r="34" spans="1:15" ht="18.75" x14ac:dyDescent="0.3">
      <c r="A34" s="193" t="s">
        <v>113</v>
      </c>
      <c r="B34" s="104">
        <f>'Skjema total MA'!B38</f>
        <v>0</v>
      </c>
      <c r="C34" s="104">
        <f>'Skjema total MA'!C38</f>
        <v>0</v>
      </c>
      <c r="D34" s="233"/>
      <c r="E34" s="182"/>
      <c r="F34" s="196">
        <f>'Skjema total MA'!E38</f>
        <v>0</v>
      </c>
      <c r="G34" s="196">
        <f>'Skjema total MA'!F38</f>
        <v>0</v>
      </c>
      <c r="H34" s="233"/>
      <c r="I34" s="182"/>
      <c r="J34" s="196">
        <f t="shared" si="0"/>
        <v>0</v>
      </c>
      <c r="K34" s="196">
        <f t="shared" si="0"/>
        <v>0</v>
      </c>
      <c r="L34" s="231"/>
      <c r="M34" s="74"/>
    </row>
    <row r="35" spans="1:15" s="135" customFormat="1" ht="18.75" x14ac:dyDescent="0.3">
      <c r="A35" s="137" t="s">
        <v>117</v>
      </c>
      <c r="B35" s="110">
        <f>SUM(B30:B34)</f>
        <v>3499389.3388100001</v>
      </c>
      <c r="C35" s="198">
        <f>SUM(C30:C34)</f>
        <v>1084368.63732</v>
      </c>
      <c r="D35" s="687">
        <f t="shared" si="5"/>
        <v>-69</v>
      </c>
      <c r="E35" s="138"/>
      <c r="F35" s="198">
        <f>SUM(F30:F34)</f>
        <v>12007515.034339998</v>
      </c>
      <c r="G35" s="198">
        <f>SUM(G30:G34)</f>
        <v>12342955.349989999</v>
      </c>
      <c r="H35" s="687">
        <f t="shared" si="2"/>
        <v>2.8</v>
      </c>
      <c r="I35" s="138"/>
      <c r="J35" s="198">
        <f t="shared" si="0"/>
        <v>15506904.373149998</v>
      </c>
      <c r="K35" s="198">
        <f t="shared" si="0"/>
        <v>13427323.98731</v>
      </c>
      <c r="L35" s="688">
        <f t="shared" si="3"/>
        <v>-13.4</v>
      </c>
      <c r="M35" s="75"/>
    </row>
    <row r="36" spans="1:15" ht="18.75" x14ac:dyDescent="0.3">
      <c r="A36" s="137"/>
      <c r="B36" s="110"/>
      <c r="C36" s="198"/>
      <c r="D36" s="233"/>
      <c r="E36" s="138"/>
      <c r="F36" s="198"/>
      <c r="G36" s="198"/>
      <c r="H36" s="233"/>
      <c r="I36" s="138"/>
      <c r="J36" s="196"/>
      <c r="K36" s="196"/>
      <c r="L36" s="231"/>
      <c r="M36" s="74"/>
    </row>
    <row r="37" spans="1:15" ht="22.5" x14ac:dyDescent="0.3">
      <c r="A37" s="137" t="s">
        <v>341</v>
      </c>
      <c r="B37" s="110"/>
      <c r="C37" s="198"/>
      <c r="D37" s="196"/>
      <c r="E37" s="138"/>
      <c r="F37" s="198"/>
      <c r="G37" s="198"/>
      <c r="H37" s="233"/>
      <c r="I37" s="138"/>
      <c r="J37" s="196"/>
      <c r="K37" s="196"/>
      <c r="L37" s="231"/>
      <c r="M37" s="74"/>
    </row>
    <row r="38" spans="1:15" s="135" customFormat="1" ht="18.75" x14ac:dyDescent="0.3">
      <c r="A38" s="137" t="s">
        <v>109</v>
      </c>
      <c r="B38" s="110">
        <f>'Skjema total MA'!B53</f>
        <v>106971.553</v>
      </c>
      <c r="C38" s="110">
        <f>'Skjema total MA'!C53</f>
        <v>98708.926999999996</v>
      </c>
      <c r="D38" s="687">
        <f t="shared" si="5"/>
        <v>-7.7</v>
      </c>
      <c r="E38" s="138"/>
      <c r="F38" s="198"/>
      <c r="G38" s="198"/>
      <c r="H38" s="233"/>
      <c r="I38" s="138"/>
      <c r="J38" s="198">
        <f t="shared" si="0"/>
        <v>106971.553</v>
      </c>
      <c r="K38" s="198">
        <f t="shared" si="0"/>
        <v>98708.926999999996</v>
      </c>
      <c r="L38" s="688">
        <f t="shared" si="3"/>
        <v>-7.7</v>
      </c>
      <c r="M38" s="75"/>
    </row>
    <row r="39" spans="1:15" ht="18.75" x14ac:dyDescent="0.3">
      <c r="A39" s="137"/>
      <c r="B39" s="110"/>
      <c r="C39" s="198"/>
      <c r="D39" s="196"/>
      <c r="E39" s="138"/>
      <c r="F39" s="198"/>
      <c r="G39" s="198"/>
      <c r="H39" s="233"/>
      <c r="I39" s="138"/>
      <c r="J39" s="196"/>
      <c r="K39" s="196"/>
      <c r="L39" s="231"/>
      <c r="M39" s="74"/>
    </row>
    <row r="40" spans="1:15" ht="22.5" x14ac:dyDescent="0.3">
      <c r="A40" s="192" t="s">
        <v>342</v>
      </c>
      <c r="B40" s="200"/>
      <c r="C40" s="203"/>
      <c r="D40" s="196"/>
      <c r="E40" s="182"/>
      <c r="F40" s="196"/>
      <c r="G40" s="196"/>
      <c r="H40" s="233"/>
      <c r="I40" s="182"/>
      <c r="J40" s="196"/>
      <c r="K40" s="196"/>
      <c r="L40" s="231"/>
      <c r="M40" s="74"/>
    </row>
    <row r="41" spans="1:15" ht="18.75" x14ac:dyDescent="0.3">
      <c r="A41" s="193" t="s">
        <v>107</v>
      </c>
      <c r="B41" s="104">
        <f>'Skjema total MA'!B12</f>
        <v>1556.90915</v>
      </c>
      <c r="C41" s="104">
        <f>'Skjema total MA'!C12</f>
        <v>0</v>
      </c>
      <c r="D41" s="233">
        <f>IF(B41=0, "    ---- ", IF(ABS(ROUND(100/B41*C41-100,1))&lt;999,ROUND(100/B41*C41-100,1),IF(ROUND(100/B41*C41-100,1)&gt;999,999,-999)))</f>
        <v>-100</v>
      </c>
      <c r="E41" s="182"/>
      <c r="F41" s="196">
        <f>'Skjema total MA'!E12</f>
        <v>53972.81237</v>
      </c>
      <c r="G41" s="196">
        <f>'Skjema total MA'!F12</f>
        <v>50404.203399999999</v>
      </c>
      <c r="H41" s="233">
        <f t="shared" si="2"/>
        <v>-6.6</v>
      </c>
      <c r="I41" s="182"/>
      <c r="J41" s="196">
        <f t="shared" si="0"/>
        <v>55529.721519999999</v>
      </c>
      <c r="K41" s="196">
        <f t="shared" si="0"/>
        <v>50404.203399999999</v>
      </c>
      <c r="L41" s="231">
        <f t="shared" si="3"/>
        <v>-9.1999999999999993</v>
      </c>
      <c r="M41" s="74"/>
    </row>
    <row r="42" spans="1:15" ht="18.75" x14ac:dyDescent="0.3">
      <c r="A42" s="193" t="s">
        <v>108</v>
      </c>
      <c r="B42" s="104">
        <f>'Skjema total MA'!B35</f>
        <v>-444.16361000000001</v>
      </c>
      <c r="C42" s="104">
        <f>'Skjema total MA'!C35</f>
        <v>-21920</v>
      </c>
      <c r="D42" s="233">
        <f t="shared" ref="D42:D46" si="6">IF(B42=0, "    ---- ", IF(ABS(ROUND(100/B42*C42-100,1))&lt;999,ROUND(100/B42*C42-100,1),IF(ROUND(100/B42*C42-100,1)&gt;999,999,-999)))</f>
        <v>999</v>
      </c>
      <c r="E42" s="182"/>
      <c r="F42" s="196">
        <f>'Skjema total MA'!E35</f>
        <v>25074.088000000003</v>
      </c>
      <c r="G42" s="196">
        <f>'Skjema total MA'!F35</f>
        <v>40988.69025</v>
      </c>
      <c r="H42" s="233">
        <f t="shared" si="2"/>
        <v>63.5</v>
      </c>
      <c r="I42" s="182"/>
      <c r="J42" s="196">
        <f t="shared" si="0"/>
        <v>24629.924390000004</v>
      </c>
      <c r="K42" s="196">
        <f t="shared" si="0"/>
        <v>19068.69025</v>
      </c>
      <c r="L42" s="231">
        <f t="shared" si="3"/>
        <v>-22.6</v>
      </c>
      <c r="M42" s="74"/>
    </row>
    <row r="43" spans="1:15" ht="18.75" x14ac:dyDescent="0.3">
      <c r="A43" s="193" t="s">
        <v>110</v>
      </c>
      <c r="B43" s="104">
        <f>'Skjema total MA'!B119</f>
        <v>355518.63146000012</v>
      </c>
      <c r="C43" s="104">
        <f>'Skjema total MA'!C119</f>
        <v>141130.24180000013</v>
      </c>
      <c r="D43" s="233">
        <f t="shared" si="6"/>
        <v>-60.3</v>
      </c>
      <c r="E43" s="182"/>
      <c r="F43" s="196">
        <f>'Skjema total MA'!E119</f>
        <v>12122042.954369999</v>
      </c>
      <c r="G43" s="196">
        <f>'Skjema total MA'!F119</f>
        <v>12991227.805500001</v>
      </c>
      <c r="H43" s="233">
        <f t="shared" si="2"/>
        <v>7.2</v>
      </c>
      <c r="I43" s="182"/>
      <c r="J43" s="196">
        <f t="shared" si="0"/>
        <v>12477561.585829999</v>
      </c>
      <c r="K43" s="196">
        <f t="shared" si="0"/>
        <v>13132358.047300002</v>
      </c>
      <c r="L43" s="231">
        <f t="shared" si="3"/>
        <v>5.2</v>
      </c>
      <c r="M43" s="74"/>
    </row>
    <row r="44" spans="1:15" ht="22.5" x14ac:dyDescent="0.3">
      <c r="A44" s="193" t="s">
        <v>338</v>
      </c>
      <c r="B44" s="104">
        <f>'Skjema total MA'!B137</f>
        <v>4875400.2249999996</v>
      </c>
      <c r="C44" s="104">
        <f>'Skjema total MA'!C137</f>
        <v>2125461.818</v>
      </c>
      <c r="D44" s="233">
        <f t="shared" si="6"/>
        <v>-56.4</v>
      </c>
      <c r="E44" s="182"/>
      <c r="F44" s="196">
        <f>'Skjema total MA'!E137</f>
        <v>0</v>
      </c>
      <c r="G44" s="196">
        <f>'Skjema total MA'!F137</f>
        <v>0</v>
      </c>
      <c r="H44" s="233"/>
      <c r="I44" s="182"/>
      <c r="J44" s="196">
        <f t="shared" si="0"/>
        <v>4875400.2249999996</v>
      </c>
      <c r="K44" s="196">
        <f t="shared" si="0"/>
        <v>2125461.818</v>
      </c>
      <c r="L44" s="231">
        <f t="shared" si="3"/>
        <v>-56.4</v>
      </c>
      <c r="M44" s="74"/>
    </row>
    <row r="45" spans="1:15" ht="18.75" x14ac:dyDescent="0.3">
      <c r="A45" s="193" t="s">
        <v>113</v>
      </c>
      <c r="B45" s="104">
        <f>'Skjema total MA'!B39</f>
        <v>2</v>
      </c>
      <c r="C45" s="104">
        <f>'Skjema total MA'!C39</f>
        <v>7</v>
      </c>
      <c r="D45" s="233">
        <f t="shared" si="6"/>
        <v>250</v>
      </c>
      <c r="E45" s="182"/>
      <c r="F45" s="196"/>
      <c r="G45" s="196"/>
      <c r="H45" s="233"/>
      <c r="I45" s="182"/>
      <c r="J45" s="196">
        <f t="shared" si="0"/>
        <v>2</v>
      </c>
      <c r="K45" s="196">
        <f t="shared" si="0"/>
        <v>7</v>
      </c>
      <c r="L45" s="231">
        <f t="shared" si="3"/>
        <v>250</v>
      </c>
      <c r="M45" s="74"/>
    </row>
    <row r="46" spans="1:15" s="135" customFormat="1" ht="18.75" x14ac:dyDescent="0.3">
      <c r="A46" s="137" t="s">
        <v>118</v>
      </c>
      <c r="B46" s="110">
        <f>SUM(B41:B45)</f>
        <v>5232033.602</v>
      </c>
      <c r="C46" s="198">
        <f>SUM(C41:C45)</f>
        <v>2244679.0597999999</v>
      </c>
      <c r="D46" s="687">
        <f t="shared" si="6"/>
        <v>-57.1</v>
      </c>
      <c r="E46" s="138"/>
      <c r="F46" s="198">
        <f>SUM(F41:F45)</f>
        <v>12201089.854739999</v>
      </c>
      <c r="G46" s="277">
        <f>SUM(G41:G45)</f>
        <v>13082620.699150002</v>
      </c>
      <c r="H46" s="687">
        <f t="shared" si="2"/>
        <v>7.2</v>
      </c>
      <c r="I46" s="138"/>
      <c r="J46" s="198">
        <f t="shared" si="0"/>
        <v>17433123.456739999</v>
      </c>
      <c r="K46" s="198">
        <f t="shared" si="0"/>
        <v>15327299.758950002</v>
      </c>
      <c r="L46" s="688">
        <f t="shared" si="3"/>
        <v>-12.1</v>
      </c>
      <c r="M46" s="75"/>
      <c r="N46" s="134"/>
      <c r="O46" s="134"/>
    </row>
    <row r="47" spans="1:15" ht="18.75" x14ac:dyDescent="0.3">
      <c r="A47" s="137"/>
      <c r="B47" s="110"/>
      <c r="C47" s="198"/>
      <c r="D47" s="196"/>
      <c r="E47" s="138"/>
      <c r="F47" s="198"/>
      <c r="G47" s="198"/>
      <c r="H47" s="233"/>
      <c r="I47" s="138"/>
      <c r="J47" s="196"/>
      <c r="K47" s="196"/>
      <c r="L47" s="231"/>
      <c r="M47" s="74"/>
    </row>
    <row r="48" spans="1:15" ht="22.5" x14ac:dyDescent="0.3">
      <c r="A48" s="137" t="s">
        <v>343</v>
      </c>
      <c r="B48" s="110"/>
      <c r="C48" s="198"/>
      <c r="D48" s="196"/>
      <c r="E48" s="138"/>
      <c r="F48" s="198"/>
      <c r="G48" s="198"/>
      <c r="H48" s="233"/>
      <c r="I48" s="138"/>
      <c r="J48" s="196"/>
      <c r="K48" s="196"/>
      <c r="L48" s="231"/>
      <c r="M48" s="74"/>
    </row>
    <row r="49" spans="1:15" s="135" customFormat="1" ht="18.75" x14ac:dyDescent="0.3">
      <c r="A49" s="137" t="s">
        <v>109</v>
      </c>
      <c r="B49" s="110">
        <f>'Skjema total MA'!B56</f>
        <v>59141.354999999996</v>
      </c>
      <c r="C49" s="110">
        <f>'Skjema total MA'!C56</f>
        <v>59547.007999999994</v>
      </c>
      <c r="D49" s="687">
        <f t="shared" ref="D49" si="7">IF(B49=0, "    ---- ", IF(ABS(ROUND(100/B49*C49-100,1))&lt;999,ROUND(100/B49*C49-100,1),IF(ROUND(100/B49*C49-100,1)&gt;999,999,-999)))</f>
        <v>0.7</v>
      </c>
      <c r="E49" s="138"/>
      <c r="F49" s="198"/>
      <c r="G49" s="198"/>
      <c r="H49" s="233"/>
      <c r="I49" s="138"/>
      <c r="J49" s="198">
        <f>SUM(B49+F49)</f>
        <v>59141.354999999996</v>
      </c>
      <c r="K49" s="198">
        <f>SUM(C49+G49)</f>
        <v>59547.007999999994</v>
      </c>
      <c r="L49" s="688">
        <f t="shared" si="3"/>
        <v>0.7</v>
      </c>
      <c r="M49" s="75"/>
    </row>
    <row r="50" spans="1:15" ht="18.75" x14ac:dyDescent="0.3">
      <c r="A50" s="137"/>
      <c r="B50" s="104"/>
      <c r="C50" s="196"/>
      <c r="D50" s="196"/>
      <c r="E50" s="182"/>
      <c r="F50" s="196"/>
      <c r="G50" s="196"/>
      <c r="H50" s="233"/>
      <c r="I50" s="182"/>
      <c r="J50" s="196"/>
      <c r="K50" s="196"/>
      <c r="L50" s="231"/>
      <c r="M50" s="74"/>
    </row>
    <row r="51" spans="1:15" ht="21.75" x14ac:dyDescent="0.3">
      <c r="A51" s="192" t="s">
        <v>344</v>
      </c>
      <c r="B51" s="104"/>
      <c r="C51" s="196"/>
      <c r="D51" s="196"/>
      <c r="E51" s="182"/>
      <c r="F51" s="196"/>
      <c r="G51" s="196"/>
      <c r="H51" s="233"/>
      <c r="I51" s="182"/>
      <c r="J51" s="196"/>
      <c r="K51" s="196"/>
      <c r="L51" s="231"/>
      <c r="M51" s="74"/>
    </row>
    <row r="52" spans="1:15" ht="18.75" x14ac:dyDescent="0.3">
      <c r="A52" s="193" t="s">
        <v>107</v>
      </c>
      <c r="B52" s="104">
        <f>B30-B41</f>
        <v>15374.327850000001</v>
      </c>
      <c r="C52" s="196">
        <f>C30-C41</f>
        <v>24653</v>
      </c>
      <c r="D52" s="233">
        <f>IF(B52=0, "    ---- ", IF(ABS(ROUND(100/B52*C52-100,1))&lt;999,ROUND(100/B52*C52-100,1),IF(ROUND(100/B52*C52-100,1)&gt;999,999,-999)))</f>
        <v>60.4</v>
      </c>
      <c r="E52" s="182"/>
      <c r="F52" s="196">
        <f>F30-F41</f>
        <v>245649.91403000004</v>
      </c>
      <c r="G52" s="196">
        <f>G30-G41</f>
        <v>2934.584950000004</v>
      </c>
      <c r="H52" s="233">
        <f t="shared" si="2"/>
        <v>-98.8</v>
      </c>
      <c r="I52" s="182"/>
      <c r="J52" s="196">
        <f t="shared" si="0"/>
        <v>261024.24188000005</v>
      </c>
      <c r="K52" s="196">
        <f t="shared" si="0"/>
        <v>27587.584950000004</v>
      </c>
      <c r="L52" s="231">
        <f t="shared" si="3"/>
        <v>-89.4</v>
      </c>
      <c r="M52" s="74"/>
    </row>
    <row r="53" spans="1:15" ht="18.75" x14ac:dyDescent="0.3">
      <c r="A53" s="193" t="s">
        <v>108</v>
      </c>
      <c r="B53" s="104">
        <f t="shared" ref="B53:C56" si="8">B31-B42</f>
        <v>6587.0565299999998</v>
      </c>
      <c r="C53" s="196">
        <f t="shared" si="8"/>
        <v>30607.925999999999</v>
      </c>
      <c r="D53" s="233">
        <f t="shared" ref="D53:D60" si="9">IF(B53=0, "    ---- ", IF(ABS(ROUND(100/B53*C53-100,1))&lt;999,ROUND(100/B53*C53-100,1),IF(ROUND(100/B53*C53-100,1)&gt;999,999,-999)))</f>
        <v>364.7</v>
      </c>
      <c r="E53" s="182"/>
      <c r="F53" s="196">
        <f t="shared" ref="F53:G56" si="10">F31-F42</f>
        <v>-1583.586040000002</v>
      </c>
      <c r="G53" s="196">
        <f t="shared" si="10"/>
        <v>-31219.508970000003</v>
      </c>
      <c r="H53" s="233">
        <f t="shared" si="2"/>
        <v>999</v>
      </c>
      <c r="I53" s="182"/>
      <c r="J53" s="196">
        <f t="shared" si="0"/>
        <v>5003.4704899999979</v>
      </c>
      <c r="K53" s="196">
        <f t="shared" si="0"/>
        <v>-611.58297000000312</v>
      </c>
      <c r="L53" s="231">
        <f t="shared" si="3"/>
        <v>-112.2</v>
      </c>
      <c r="M53" s="74"/>
    </row>
    <row r="54" spans="1:15" ht="18.75" x14ac:dyDescent="0.3">
      <c r="A54" s="193" t="s">
        <v>110</v>
      </c>
      <c r="B54" s="104">
        <f t="shared" si="8"/>
        <v>-11126.561570000136</v>
      </c>
      <c r="C54" s="196">
        <f t="shared" si="8"/>
        <v>10758.182519999857</v>
      </c>
      <c r="D54" s="233">
        <f t="shared" si="9"/>
        <v>-196.7</v>
      </c>
      <c r="E54" s="182"/>
      <c r="F54" s="196">
        <f t="shared" si="10"/>
        <v>-814081.67738999985</v>
      </c>
      <c r="G54" s="196">
        <f t="shared" si="10"/>
        <v>-711380.42514000088</v>
      </c>
      <c r="H54" s="233">
        <f t="shared" si="2"/>
        <v>-12.6</v>
      </c>
      <c r="I54" s="182"/>
      <c r="J54" s="196">
        <f t="shared" si="0"/>
        <v>-825208.23895999999</v>
      </c>
      <c r="K54" s="196">
        <f t="shared" si="0"/>
        <v>-700622.24262000108</v>
      </c>
      <c r="L54" s="231">
        <f t="shared" si="3"/>
        <v>-15.1</v>
      </c>
      <c r="M54" s="74"/>
    </row>
    <row r="55" spans="1:15" ht="22.5" x14ac:dyDescent="0.3">
      <c r="A55" s="193" t="s">
        <v>338</v>
      </c>
      <c r="B55" s="104">
        <f t="shared" si="8"/>
        <v>-1743477.0859999997</v>
      </c>
      <c r="C55" s="196">
        <f t="shared" si="8"/>
        <v>-1226322.531</v>
      </c>
      <c r="D55" s="233">
        <f t="shared" si="9"/>
        <v>-29.7</v>
      </c>
      <c r="E55" s="182"/>
      <c r="F55" s="196">
        <f t="shared" si="10"/>
        <v>376440.52899999998</v>
      </c>
      <c r="G55" s="196">
        <f t="shared" si="10"/>
        <v>0</v>
      </c>
      <c r="H55" s="233">
        <f t="shared" si="2"/>
        <v>-100</v>
      </c>
      <c r="I55" s="182"/>
      <c r="J55" s="196">
        <f t="shared" si="0"/>
        <v>-1367036.5569999996</v>
      </c>
      <c r="K55" s="196">
        <f t="shared" si="0"/>
        <v>-1226322.531</v>
      </c>
      <c r="L55" s="231">
        <f t="shared" si="3"/>
        <v>-10.3</v>
      </c>
      <c r="M55" s="74"/>
    </row>
    <row r="56" spans="1:15" ht="18.75" x14ac:dyDescent="0.3">
      <c r="A56" s="193" t="s">
        <v>113</v>
      </c>
      <c r="B56" s="104">
        <f t="shared" si="8"/>
        <v>-2</v>
      </c>
      <c r="C56" s="196">
        <f t="shared" si="8"/>
        <v>-7</v>
      </c>
      <c r="D56" s="233">
        <f t="shared" si="9"/>
        <v>250</v>
      </c>
      <c r="E56" s="182"/>
      <c r="F56" s="196">
        <f t="shared" si="10"/>
        <v>0</v>
      </c>
      <c r="G56" s="196">
        <f t="shared" si="10"/>
        <v>0</v>
      </c>
      <c r="H56" s="233"/>
      <c r="I56" s="182"/>
      <c r="J56" s="196">
        <f t="shared" si="0"/>
        <v>-2</v>
      </c>
      <c r="K56" s="196">
        <f t="shared" si="0"/>
        <v>-7</v>
      </c>
      <c r="L56" s="231">
        <f t="shared" si="3"/>
        <v>250</v>
      </c>
      <c r="M56" s="74"/>
    </row>
    <row r="57" spans="1:15" s="135" customFormat="1" ht="18.75" x14ac:dyDescent="0.3">
      <c r="A57" s="137" t="s">
        <v>119</v>
      </c>
      <c r="B57" s="110">
        <f>SUM(B52:B56)</f>
        <v>-1732644.2631899999</v>
      </c>
      <c r="C57" s="198">
        <f>SUM(C52:C56)</f>
        <v>-1160310.4224800002</v>
      </c>
      <c r="D57" s="687">
        <f>IF(B57=0, "    ---- ", IF(ABS(ROUND(100/B57*C57-100,1))&lt;999,ROUND(100/B57*C57-100,1),IF(ROUND(100/B57*C57-100,1)&gt;999,999,-999)))</f>
        <v>-33</v>
      </c>
      <c r="E57" s="138"/>
      <c r="F57" s="198">
        <f>SUM(F52:F56)</f>
        <v>-193574.82039999985</v>
      </c>
      <c r="G57" s="277">
        <f>SUM(G52:G56)</f>
        <v>-739665.34916000091</v>
      </c>
      <c r="H57" s="687">
        <f t="shared" si="2"/>
        <v>282.10000000000002</v>
      </c>
      <c r="I57" s="138"/>
      <c r="J57" s="198">
        <f t="shared" si="0"/>
        <v>-1926219.0835899997</v>
      </c>
      <c r="K57" s="198">
        <f t="shared" si="0"/>
        <v>-1899975.7716400011</v>
      </c>
      <c r="L57" s="688">
        <f t="shared" si="3"/>
        <v>-1.4</v>
      </c>
      <c r="M57" s="75"/>
      <c r="N57" s="134"/>
      <c r="O57" s="134"/>
    </row>
    <row r="58" spans="1:15" ht="18.75" x14ac:dyDescent="0.3">
      <c r="A58" s="137"/>
      <c r="B58" s="110"/>
      <c r="C58" s="198"/>
      <c r="D58" s="233"/>
      <c r="E58" s="138"/>
      <c r="F58" s="198"/>
      <c r="G58" s="198"/>
      <c r="H58" s="233"/>
      <c r="I58" s="138"/>
      <c r="J58" s="198"/>
      <c r="K58" s="196"/>
      <c r="L58" s="231"/>
      <c r="M58" s="74"/>
    </row>
    <row r="59" spans="1:15" ht="22.5" x14ac:dyDescent="0.3">
      <c r="A59" s="137" t="s">
        <v>345</v>
      </c>
      <c r="B59" s="110"/>
      <c r="C59" s="198"/>
      <c r="D59" s="233"/>
      <c r="E59" s="138"/>
      <c r="F59" s="198"/>
      <c r="G59" s="198"/>
      <c r="H59" s="233"/>
      <c r="I59" s="138"/>
      <c r="J59" s="198"/>
      <c r="K59" s="196"/>
      <c r="L59" s="231"/>
      <c r="M59" s="74"/>
    </row>
    <row r="60" spans="1:15" s="135" customFormat="1" ht="18.75" x14ac:dyDescent="0.3">
      <c r="A60" s="137" t="s">
        <v>109</v>
      </c>
      <c r="B60" s="110">
        <f>B38-B49</f>
        <v>47830.198000000004</v>
      </c>
      <c r="C60" s="198">
        <f>C38-C49</f>
        <v>39161.919000000002</v>
      </c>
      <c r="D60" s="687">
        <f t="shared" si="9"/>
        <v>-18.100000000000001</v>
      </c>
      <c r="E60" s="138"/>
      <c r="F60" s="198">
        <f>F38-F49</f>
        <v>0</v>
      </c>
      <c r="G60" s="198">
        <f>G38-G49</f>
        <v>0</v>
      </c>
      <c r="H60" s="233"/>
      <c r="I60" s="138"/>
      <c r="J60" s="198">
        <f t="shared" si="0"/>
        <v>47830.198000000004</v>
      </c>
      <c r="K60" s="198">
        <f t="shared" si="0"/>
        <v>39161.919000000002</v>
      </c>
      <c r="L60" s="688">
        <f t="shared" si="3"/>
        <v>-18.100000000000001</v>
      </c>
      <c r="M60" s="75"/>
    </row>
    <row r="61" spans="1:15" s="135" customFormat="1" ht="18.75" x14ac:dyDescent="0.3">
      <c r="A61" s="195"/>
      <c r="B61" s="115"/>
      <c r="C61" s="199"/>
      <c r="D61" s="204"/>
      <c r="E61" s="138"/>
      <c r="F61" s="199"/>
      <c r="G61" s="199"/>
      <c r="H61" s="204"/>
      <c r="I61" s="138"/>
      <c r="J61" s="204"/>
      <c r="K61" s="204"/>
      <c r="L61" s="204"/>
      <c r="M61" s="75"/>
    </row>
    <row r="62" spans="1:15" ht="18.75" x14ac:dyDescent="0.3">
      <c r="A62" s="112" t="s">
        <v>120</v>
      </c>
      <c r="C62" s="139"/>
      <c r="D62" s="139"/>
      <c r="E62" s="139"/>
      <c r="F62" s="139"/>
      <c r="G62" s="112"/>
      <c r="H62" s="74"/>
      <c r="I62" s="112"/>
      <c r="J62" s="112"/>
      <c r="K62" s="112"/>
      <c r="L62" s="74"/>
      <c r="M62" s="74"/>
    </row>
    <row r="63" spans="1:15" ht="18.75" x14ac:dyDescent="0.3">
      <c r="A63" s="112" t="s">
        <v>121</v>
      </c>
      <c r="C63" s="139"/>
      <c r="D63" s="139"/>
      <c r="E63" s="139"/>
      <c r="F63" s="139"/>
      <c r="G63" s="74"/>
      <c r="H63" s="74"/>
      <c r="I63" s="74"/>
      <c r="J63" s="74"/>
      <c r="K63" s="74"/>
      <c r="L63" s="74"/>
      <c r="M63" s="74"/>
    </row>
    <row r="64" spans="1:15" ht="18.75" x14ac:dyDescent="0.3">
      <c r="A64" s="112" t="s">
        <v>100</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activeCell="K24" sqref="K24"/>
      <selection pane="topRight" activeCell="K24" sqref="K24"/>
      <selection pane="bottomLeft" activeCell="K24" sqref="K24"/>
      <selection pane="bottomRight" activeCell="K34" sqref="K34"/>
    </sheetView>
  </sheetViews>
  <sheetFormatPr baseColWidth="10" defaultColWidth="11.42578125" defaultRowHeight="18" x14ac:dyDescent="0.25"/>
  <cols>
    <col min="1" max="1" width="35.7109375" style="81" customWidth="1"/>
    <col min="2" max="2" width="18.28515625" style="81" customWidth="1"/>
    <col min="3" max="3" width="17.71093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28515625" style="81" bestFit="1" customWidth="1"/>
    <col min="13" max="16384" width="11.42578125" style="81"/>
  </cols>
  <sheetData>
    <row r="1" spans="1:10" ht="18.75" customHeight="1" x14ac:dyDescent="0.3">
      <c r="A1" s="80" t="s">
        <v>76</v>
      </c>
      <c r="B1" s="73" t="s">
        <v>52</v>
      </c>
      <c r="C1" s="80"/>
      <c r="D1" s="80"/>
      <c r="E1" s="80"/>
      <c r="F1" s="74"/>
      <c r="G1" s="74"/>
      <c r="H1" s="74"/>
      <c r="I1" s="74"/>
      <c r="J1" s="74"/>
    </row>
    <row r="2" spans="1:10" ht="20.100000000000001" customHeight="1" x14ac:dyDescent="0.3">
      <c r="A2" s="80" t="s">
        <v>153</v>
      </c>
      <c r="B2" s="80"/>
      <c r="C2" s="80"/>
      <c r="D2" s="80"/>
      <c r="E2" s="80"/>
      <c r="F2" s="74"/>
      <c r="G2" s="74"/>
      <c r="H2" s="74"/>
      <c r="I2" s="74"/>
      <c r="J2" s="74"/>
    </row>
    <row r="3" spans="1:10" ht="20.100000000000001" customHeight="1" x14ac:dyDescent="0.3">
      <c r="A3" s="75"/>
      <c r="B3" s="75"/>
      <c r="C3" s="75"/>
      <c r="D3" s="75"/>
      <c r="E3" s="261"/>
      <c r="F3" s="74"/>
      <c r="G3" s="74"/>
      <c r="H3" s="74"/>
      <c r="I3" s="74"/>
      <c r="J3" s="74"/>
    </row>
    <row r="4" spans="1:10" ht="20.100000000000001" customHeight="1" x14ac:dyDescent="0.3">
      <c r="A4" s="262"/>
      <c r="B4" s="704" t="s">
        <v>154</v>
      </c>
      <c r="C4" s="704"/>
      <c r="D4" s="705"/>
      <c r="E4" s="89"/>
      <c r="F4" s="706" t="s">
        <v>154</v>
      </c>
      <c r="G4" s="704"/>
      <c r="H4" s="705"/>
      <c r="I4" s="74"/>
      <c r="J4" s="74"/>
    </row>
    <row r="5" spans="1:10" ht="18.75" customHeight="1" x14ac:dyDescent="0.3">
      <c r="A5" s="263" t="s">
        <v>424</v>
      </c>
      <c r="B5" s="707" t="s">
        <v>155</v>
      </c>
      <c r="C5" s="708"/>
      <c r="D5" s="709"/>
      <c r="E5" s="264"/>
      <c r="F5" s="710" t="s">
        <v>156</v>
      </c>
      <c r="G5" s="711"/>
      <c r="H5" s="712"/>
      <c r="I5" s="112"/>
      <c r="J5" s="74"/>
    </row>
    <row r="6" spans="1:10" ht="18.75" customHeight="1" x14ac:dyDescent="0.3">
      <c r="A6" s="122"/>
      <c r="B6" s="120"/>
      <c r="C6" s="192"/>
      <c r="D6" s="265" t="s">
        <v>80</v>
      </c>
      <c r="E6" s="265"/>
      <c r="F6" s="123"/>
      <c r="G6" s="124"/>
      <c r="H6" s="94" t="s">
        <v>80</v>
      </c>
      <c r="I6" s="100"/>
      <c r="J6" s="74"/>
    </row>
    <row r="7" spans="1:10" ht="18.75" customHeight="1" x14ac:dyDescent="0.3">
      <c r="A7" s="126"/>
      <c r="B7" s="97">
        <v>2022</v>
      </c>
      <c r="C7" s="97">
        <v>2023</v>
      </c>
      <c r="D7" s="266" t="s">
        <v>82</v>
      </c>
      <c r="E7" s="265"/>
      <c r="F7" s="97">
        <v>2022</v>
      </c>
      <c r="G7" s="127">
        <v>2023</v>
      </c>
      <c r="H7" s="267" t="s">
        <v>82</v>
      </c>
      <c r="I7" s="100"/>
      <c r="J7" s="74"/>
    </row>
    <row r="8" spans="1:10" ht="18.75" customHeight="1" x14ac:dyDescent="0.3">
      <c r="A8" s="101" t="s">
        <v>157</v>
      </c>
      <c r="B8" s="109">
        <f>SUM(B9:B14)</f>
        <v>163829.90898544999</v>
      </c>
      <c r="C8" s="109">
        <f>SUM(C9:C14)</f>
        <v>195958.00950709003</v>
      </c>
      <c r="D8" s="268">
        <f t="shared" ref="D8:D38" si="0">IF(B8=0, "    ---- ", IF(ABS(ROUND(100/B8*C8-100,1))&lt;999,ROUND(100/B8*C8-100,1),IF(ROUND(100/B8*C8-100,1)&gt;999,999,-999)))</f>
        <v>19.600000000000001</v>
      </c>
      <c r="E8" s="269"/>
      <c r="F8" s="268">
        <f>SUM(F9:F14)</f>
        <v>100</v>
      </c>
      <c r="G8" s="268">
        <f>SUM(G9:G14)</f>
        <v>100</v>
      </c>
      <c r="H8" s="269">
        <f t="shared" ref="H8:H38" si="1">IF(F8=0, "    ---- ", IF(ABS(ROUND(100/F8*G8-100,1))&lt;999,ROUND(100/F8*G8-100,1),IF(ROUND(100/F8*G8-100,1)&gt;999,999,-999)))</f>
        <v>0</v>
      </c>
      <c r="I8" s="104"/>
      <c r="J8" s="74"/>
    </row>
    <row r="9" spans="1:10" ht="18.75" customHeight="1" x14ac:dyDescent="0.3">
      <c r="A9" s="86" t="s">
        <v>158</v>
      </c>
      <c r="B9" s="106">
        <f>'Tabell 6'!AR21</f>
        <v>4101.2662706699994</v>
      </c>
      <c r="C9" s="106">
        <f>'Tabell 6'!AS21</f>
        <v>3699.2188504300002</v>
      </c>
      <c r="D9" s="270">
        <f t="shared" si="0"/>
        <v>-9.8000000000000007</v>
      </c>
      <c r="E9" s="270"/>
      <c r="F9" s="270">
        <f>'Tabell 6'!AR21/'Tabell 6'!AR29*100</f>
        <v>2.5033684606601594</v>
      </c>
      <c r="G9" s="270">
        <f>'Tabell 6'!AS21/'Tabell 6'!AS29*100</f>
        <v>1.8877609849859989</v>
      </c>
      <c r="H9" s="271">
        <f t="shared" si="1"/>
        <v>-24.6</v>
      </c>
      <c r="I9" s="104"/>
      <c r="J9" s="77"/>
    </row>
    <row r="10" spans="1:10" ht="18.75" customHeight="1" x14ac:dyDescent="0.3">
      <c r="A10" s="86" t="s">
        <v>159</v>
      </c>
      <c r="B10" s="105">
        <f>'Tabell 6'!AR18+'Tabell 6'!AR22</f>
        <v>76166.727138460003</v>
      </c>
      <c r="C10" s="105">
        <f>'Tabell 6'!AS18+'Tabell 6'!AS22</f>
        <v>67870.960751930019</v>
      </c>
      <c r="D10" s="270">
        <f t="shared" si="0"/>
        <v>-10.9</v>
      </c>
      <c r="E10" s="270"/>
      <c r="F10" s="270">
        <f>('Tabell 6'!AR18+'Tabell 6'!AR22)/'Tabell 6'!AR29*100</f>
        <v>46.491344352284599</v>
      </c>
      <c r="G10" s="270">
        <f>('Tabell 6'!AS18+'Tabell 6'!AS22)/'Tabell 6'!AS29*100</f>
        <v>34.635461404538482</v>
      </c>
      <c r="H10" s="271">
        <f t="shared" si="1"/>
        <v>-25.5</v>
      </c>
      <c r="I10" s="104"/>
      <c r="J10" s="74"/>
    </row>
    <row r="11" spans="1:10" ht="18.75" customHeight="1" x14ac:dyDescent="0.3">
      <c r="A11" s="86" t="s">
        <v>160</v>
      </c>
      <c r="B11" s="105">
        <f>'Tabell 6'!AR14</f>
        <v>998.54083375000005</v>
      </c>
      <c r="C11" s="105">
        <f>'Tabell 6'!AS14</f>
        <v>1390.1472147500001</v>
      </c>
      <c r="D11" s="270">
        <f t="shared" si="0"/>
        <v>39.200000000000003</v>
      </c>
      <c r="E11" s="270"/>
      <c r="F11" s="270">
        <f>'Tabell 6'!AR14/'Tabell 6'!AR29*100</f>
        <v>0.60949849751713048</v>
      </c>
      <c r="G11" s="270">
        <f>'Tabell 6'!AS14/'Tabell 6'!AS29*100</f>
        <v>0.70941076521789359</v>
      </c>
      <c r="H11" s="271">
        <f t="shared" si="1"/>
        <v>16.399999999999999</v>
      </c>
      <c r="I11" s="104"/>
      <c r="J11" s="74"/>
    </row>
    <row r="12" spans="1:10" ht="18.75" customHeight="1" x14ac:dyDescent="0.3">
      <c r="A12" s="108" t="s">
        <v>161</v>
      </c>
      <c r="B12" s="105">
        <f>'Tabell 6'!AR15</f>
        <v>25200.727796359999</v>
      </c>
      <c r="C12" s="105">
        <f>'Tabell 6'!AS15</f>
        <v>26452.35685511</v>
      </c>
      <c r="D12" s="272">
        <f t="shared" si="0"/>
        <v>5</v>
      </c>
      <c r="E12" s="272"/>
      <c r="F12" s="270">
        <f>'Tabell 6'!AR15/'Tabell 6'!AR29*100</f>
        <v>15.382250989712823</v>
      </c>
      <c r="G12" s="270">
        <f>'Tabell 6'!AS15/'Tabell 6'!AS29*100</f>
        <v>13.498992422737851</v>
      </c>
      <c r="H12" s="271">
        <f t="shared" si="1"/>
        <v>-12.2</v>
      </c>
      <c r="I12" s="104"/>
      <c r="J12" s="74"/>
    </row>
    <row r="13" spans="1:10" ht="18.75" customHeight="1" x14ac:dyDescent="0.3">
      <c r="A13" s="86" t="s">
        <v>162</v>
      </c>
      <c r="B13" s="105">
        <f>'Tabell 6'!AR19+'Tabell 6'!AR23</f>
        <v>35473.346633469999</v>
      </c>
      <c r="C13" s="105">
        <f>'Tabell 6'!AS19+'Tabell 6'!AS23</f>
        <v>42505.05762503</v>
      </c>
      <c r="D13" s="270">
        <f t="shared" si="0"/>
        <v>19.8</v>
      </c>
      <c r="E13" s="270"/>
      <c r="F13" s="270">
        <f>('Tabell 6'!AR19+'Tabell 6'!AR23)/'Tabell 6'!AR29*100</f>
        <v>21.652546139557732</v>
      </c>
      <c r="G13" s="270">
        <f>('Tabell 6'!AS19+'Tabell 6'!AS23)/'Tabell 6'!AS29*100</f>
        <v>21.690900888382473</v>
      </c>
      <c r="H13" s="271">
        <f t="shared" si="1"/>
        <v>0.2</v>
      </c>
      <c r="I13" s="104"/>
      <c r="J13" s="74"/>
    </row>
    <row r="14" spans="1:10" ht="18.75" customHeight="1" x14ac:dyDescent="0.3">
      <c r="A14" s="86" t="s">
        <v>163</v>
      </c>
      <c r="B14" s="177">
        <f>'Tabell 6'!AR17-'Tabell 6'!AR18+'Tabell 6'!AR24+'Tabell 6'!AR25+'Tabell 6'!AR26+'Tabell 6'!AR28</f>
        <v>21889.300312740001</v>
      </c>
      <c r="C14" s="177">
        <f>'Tabell 6'!AS17-'Tabell 6'!AS18+'Tabell 6'!AS24+'Tabell 6'!AS25+'Tabell 6'!AS26+'Tabell 6'!AS28</f>
        <v>54040.268209840004</v>
      </c>
      <c r="D14" s="270">
        <f t="shared" si="0"/>
        <v>146.9</v>
      </c>
      <c r="E14" s="270"/>
      <c r="F14" s="270">
        <f>('Tabell 6'!AR17-'Tabell 6'!AR18+'Tabell 6'!AR24+'Tabell 6'!AR25+'Tabell 6'!AR26+'Tabell 6'!AR28)/'Tabell 6'!AR29*100</f>
        <v>13.360991560267562</v>
      </c>
      <c r="G14" s="270">
        <f>('Tabell 6'!AS17-'Tabell 6'!AS18+'Tabell 6'!AS24+'Tabell 6'!AS25+'Tabell 6'!AS26+'Tabell 6'!AS28)/'Tabell 6'!AS29*100</f>
        <v>27.577473534137297</v>
      </c>
      <c r="H14" s="271">
        <f t="shared" si="1"/>
        <v>106.4</v>
      </c>
      <c r="I14" s="104"/>
      <c r="J14" s="74"/>
    </row>
    <row r="15" spans="1:10" ht="18.75" customHeight="1" x14ac:dyDescent="0.3">
      <c r="A15" s="193"/>
      <c r="B15" s="103"/>
      <c r="C15" s="177"/>
      <c r="D15" s="271"/>
      <c r="E15" s="271"/>
      <c r="F15" s="271"/>
      <c r="G15" s="270"/>
      <c r="H15" s="271"/>
      <c r="I15" s="104"/>
      <c r="J15" s="74"/>
    </row>
    <row r="16" spans="1:10" s="135" customFormat="1" ht="18.75" customHeight="1" x14ac:dyDescent="0.3">
      <c r="A16" s="101" t="s">
        <v>164</v>
      </c>
      <c r="B16" s="109">
        <f>SUM(B17:B22)</f>
        <v>1283206.9261812901</v>
      </c>
      <c r="C16" s="109">
        <f>SUM(C17:C22)</f>
        <v>1312194.18953326</v>
      </c>
      <c r="D16" s="268">
        <f t="shared" si="0"/>
        <v>2.2999999999999998</v>
      </c>
      <c r="E16" s="268"/>
      <c r="F16" s="268">
        <f>SUM(F17:F22)</f>
        <v>99.999999999999986</v>
      </c>
      <c r="G16" s="268">
        <f>SUM(G17:G22)</f>
        <v>100</v>
      </c>
      <c r="H16" s="269">
        <f t="shared" si="1"/>
        <v>0</v>
      </c>
      <c r="I16" s="110"/>
      <c r="J16" s="75"/>
    </row>
    <row r="17" spans="1:10" ht="18.75" customHeight="1" x14ac:dyDescent="0.3">
      <c r="A17" s="86" t="s">
        <v>158</v>
      </c>
      <c r="B17" s="103">
        <f>'Tabell 6'!AR40</f>
        <v>266207.00051735999</v>
      </c>
      <c r="C17" s="103">
        <f>'Tabell 6'!AS40</f>
        <v>285800.85781637003</v>
      </c>
      <c r="D17" s="270">
        <f t="shared" si="0"/>
        <v>7.4</v>
      </c>
      <c r="E17" s="270"/>
      <c r="F17" s="270">
        <f>'Tabell 6'!AR40/('Tabell 6'!AR45+'Tabell 6'!AR46)*100</f>
        <v>20.745446045055914</v>
      </c>
      <c r="G17" s="270">
        <f>'Tabell 6'!AS40/('Tabell 6'!AS45+'Tabell 6'!AS46)*100</f>
        <v>21.780378247066295</v>
      </c>
      <c r="H17" s="271">
        <f t="shared" si="1"/>
        <v>5</v>
      </c>
      <c r="I17" s="104"/>
      <c r="J17" s="74"/>
    </row>
    <row r="18" spans="1:10" ht="18.75" customHeight="1" x14ac:dyDescent="0.3">
      <c r="A18" s="86" t="s">
        <v>159</v>
      </c>
      <c r="B18" s="103">
        <f>'Tabell 6'!AR37+'Tabell 6'!AR41</f>
        <v>331790.48359252</v>
      </c>
      <c r="C18" s="103">
        <f>'Tabell 6'!AS37+'Tabell 6'!AS41</f>
        <v>280465.50770572003</v>
      </c>
      <c r="D18" s="270">
        <f t="shared" si="0"/>
        <v>-15.5</v>
      </c>
      <c r="E18" s="270"/>
      <c r="F18" s="270">
        <f>('Tabell 6'!AR37+'Tabell 6'!AR41)/('Tabell 6'!AR45+'Tabell 6'!AR46)*100</f>
        <v>25.856350743048047</v>
      </c>
      <c r="G18" s="270">
        <f>('Tabell 6'!AS37+'Tabell 6'!AS41)/('Tabell 6'!AS45+'Tabell 6'!AS46)*100</f>
        <v>21.373780644881535</v>
      </c>
      <c r="H18" s="271">
        <f t="shared" si="1"/>
        <v>-17.3</v>
      </c>
      <c r="I18" s="104"/>
      <c r="J18" s="74"/>
    </row>
    <row r="19" spans="1:10" ht="18.75" customHeight="1" x14ac:dyDescent="0.3">
      <c r="A19" s="86" t="s">
        <v>160</v>
      </c>
      <c r="B19" s="103">
        <f>'Tabell 6'!AR33</f>
        <v>19.31040771</v>
      </c>
      <c r="C19" s="103">
        <f>'Tabell 6'!AS33</f>
        <v>14.22554581</v>
      </c>
      <c r="D19" s="270">
        <f t="shared" si="0"/>
        <v>-26.3</v>
      </c>
      <c r="E19" s="270"/>
      <c r="F19" s="270">
        <f>'Tabell 6'!AR33/('Tabell 6'!AR45+'Tabell 6'!AR46)*100</f>
        <v>1.5048553211496497E-3</v>
      </c>
      <c r="G19" s="270">
        <f>'Tabell 6'!AS33/('Tabell 6'!AS45+'Tabell 6'!AS46)*100</f>
        <v>1.0841037038168829E-3</v>
      </c>
      <c r="H19" s="271">
        <f t="shared" si="1"/>
        <v>-28</v>
      </c>
      <c r="I19" s="104"/>
      <c r="J19" s="74"/>
    </row>
    <row r="20" spans="1:10" ht="18.75" customHeight="1" x14ac:dyDescent="0.3">
      <c r="A20" s="108" t="s">
        <v>161</v>
      </c>
      <c r="B20" s="105">
        <f>'Tabell 6'!AR34</f>
        <v>177839.99760766001</v>
      </c>
      <c r="C20" s="105">
        <f>'Tabell 6'!AS34</f>
        <v>177881.34478916001</v>
      </c>
      <c r="D20" s="272">
        <f t="shared" si="0"/>
        <v>0</v>
      </c>
      <c r="E20" s="272"/>
      <c r="F20" s="270">
        <f>'Tabell 6'!AR34/('Tabell 6'!AR45+'Tabell 6'!AR46)*100</f>
        <v>13.859027252673586</v>
      </c>
      <c r="G20" s="270">
        <f>'Tabell 6'!AS34/('Tabell 6'!AS45+'Tabell 6'!AS46)*100</f>
        <v>13.556022897223116</v>
      </c>
      <c r="H20" s="271">
        <f t="shared" si="1"/>
        <v>-2.2000000000000002</v>
      </c>
      <c r="I20" s="104"/>
      <c r="J20" s="74"/>
    </row>
    <row r="21" spans="1:10" ht="18.75" customHeight="1" x14ac:dyDescent="0.3">
      <c r="A21" s="86" t="s">
        <v>162</v>
      </c>
      <c r="B21" s="103">
        <f>'Tabell 6'!AR38+'Tabell 6'!AR42</f>
        <v>484625.80456870998</v>
      </c>
      <c r="C21" s="103">
        <f>'Tabell 6'!AS38+'Tabell 6'!AS42</f>
        <v>547581.4715793099</v>
      </c>
      <c r="D21" s="270">
        <f t="shared" si="0"/>
        <v>13</v>
      </c>
      <c r="E21" s="270"/>
      <c r="F21" s="270">
        <f>('Tabell 6'!AR38+'Tabell 6'!AR42)/('Tabell 6'!AR45+'Tabell 6'!AR46)*100</f>
        <v>37.766769698704273</v>
      </c>
      <c r="G21" s="270">
        <f>('Tabell 6'!AS38+'Tabell 6'!AS42)/('Tabell 6'!AS45+'Tabell 6'!AS46)*100</f>
        <v>41.730216148425527</v>
      </c>
      <c r="H21" s="271">
        <f t="shared" si="1"/>
        <v>10.5</v>
      </c>
      <c r="I21" s="104"/>
      <c r="J21" s="74"/>
    </row>
    <row r="22" spans="1:10" ht="18.75" customHeight="1" x14ac:dyDescent="0.3">
      <c r="A22" s="193" t="s">
        <v>163</v>
      </c>
      <c r="B22" s="103">
        <f>'Tabell 6'!AR36-'Tabell 6'!AR37+'Tabell 6'!AR43+'Tabell 6'!AR44+'Tabell 6'!AR46</f>
        <v>22724.329487330004</v>
      </c>
      <c r="C22" s="103">
        <f>'Tabell 6'!AS36-'Tabell 6'!AS37+'Tabell 6'!AS43+'Tabell 6'!AS44+'Tabell 6'!AS46</f>
        <v>20450.78209688999</v>
      </c>
      <c r="D22" s="270">
        <f t="shared" si="0"/>
        <v>-10</v>
      </c>
      <c r="E22" s="270"/>
      <c r="F22" s="271">
        <f>('Tabell 6'!AR36-'Tabell 6'!AR37+'Tabell 6'!AR43+'Tabell 6'!AR44+'Tabell 6'!AR46)/('Tabell 6'!AR45+'Tabell 6'!AR46)*100</f>
        <v>1.770901405197024</v>
      </c>
      <c r="G22" s="271">
        <f>('Tabell 6'!AS36-'Tabell 6'!AS37+'Tabell 6'!AS43+'Tabell 6'!AS44+'Tabell 6'!AS46)/('Tabell 6'!AS45+'Tabell 6'!AS46)*100</f>
        <v>1.5585179586997118</v>
      </c>
      <c r="H22" s="271">
        <f t="shared" si="1"/>
        <v>-12</v>
      </c>
      <c r="I22" s="104"/>
      <c r="J22" s="74"/>
    </row>
    <row r="23" spans="1:10" ht="18.75" customHeight="1" x14ac:dyDescent="0.3">
      <c r="A23" s="86"/>
      <c r="B23" s="177"/>
      <c r="C23" s="177"/>
      <c r="D23" s="271"/>
      <c r="E23" s="270"/>
      <c r="F23" s="270"/>
      <c r="G23" s="271"/>
      <c r="H23" s="271"/>
      <c r="I23" s="182"/>
      <c r="J23" s="74"/>
    </row>
    <row r="24" spans="1:10" ht="18.75" customHeight="1" x14ac:dyDescent="0.3">
      <c r="A24" s="137" t="s">
        <v>165</v>
      </c>
      <c r="B24" s="109">
        <f>SUM(B25:B30)</f>
        <v>544816.09134714003</v>
      </c>
      <c r="C24" s="109">
        <f>SUM(C25:C30)</f>
        <v>578784.22803291574</v>
      </c>
      <c r="D24" s="268">
        <f t="shared" si="0"/>
        <v>6.2</v>
      </c>
      <c r="E24" s="268"/>
      <c r="F24" s="269">
        <f>SUM(F25:F30)</f>
        <v>100.00296445304102</v>
      </c>
      <c r="G24" s="269">
        <f>SUM(G25:G30)</f>
        <v>99.999999999999986</v>
      </c>
      <c r="H24" s="271">
        <f t="shared" si="1"/>
        <v>0</v>
      </c>
      <c r="I24" s="182"/>
      <c r="J24" s="74"/>
    </row>
    <row r="25" spans="1:10" ht="18.75" customHeight="1" x14ac:dyDescent="0.3">
      <c r="A25" s="193" t="s">
        <v>158</v>
      </c>
      <c r="B25" s="103">
        <f>'Tabell 6'!AR55</f>
        <v>356430.24523827696</v>
      </c>
      <c r="C25" s="103">
        <f>'Tabell 6'!AS55</f>
        <v>378501.89023792249</v>
      </c>
      <c r="D25" s="270">
        <f t="shared" si="0"/>
        <v>6.2</v>
      </c>
      <c r="E25" s="270"/>
      <c r="F25" s="270">
        <f>'Tabell 6'!AR55/('Tabell 6'!AR60+'Tabell 6'!AR61)*100</f>
        <v>65.422121501027874</v>
      </c>
      <c r="G25" s="270">
        <f>'Tabell 6'!AS55/('Tabell 6'!AS60+'Tabell 6'!AS61)*100</f>
        <v>65.396027034861916</v>
      </c>
      <c r="H25" s="271">
        <f t="shared" si="1"/>
        <v>0</v>
      </c>
      <c r="I25" s="182"/>
      <c r="J25" s="74"/>
    </row>
    <row r="26" spans="1:10" ht="18.75" customHeight="1" x14ac:dyDescent="0.3">
      <c r="A26" s="193" t="s">
        <v>159</v>
      </c>
      <c r="B26" s="103">
        <f>'Tabell 6'!AR52+'Tabell 6'!AR56</f>
        <v>163623.98428483002</v>
      </c>
      <c r="C26" s="103">
        <f>'Tabell 6'!AS52+'Tabell 6'!AS56</f>
        <v>177882.14912582625</v>
      </c>
      <c r="D26" s="270">
        <f t="shared" si="0"/>
        <v>8.6999999999999993</v>
      </c>
      <c r="E26" s="270"/>
      <c r="F26" s="270">
        <f>('Tabell 6'!AR52+'Tabell 6'!AR56)/('Tabell 6'!AR60+'Tabell 6'!AR61)*100</f>
        <v>30.032883918726593</v>
      </c>
      <c r="G26" s="270">
        <f>('Tabell 6'!AS52+'Tabell 6'!AS56)/('Tabell 6'!AS60+'Tabell 6'!AS61)*100</f>
        <v>30.733758888072181</v>
      </c>
      <c r="H26" s="271">
        <f t="shared" si="1"/>
        <v>2.2999999999999998</v>
      </c>
      <c r="I26" s="182"/>
      <c r="J26" s="74"/>
    </row>
    <row r="27" spans="1:10" ht="18.75" customHeight="1" x14ac:dyDescent="0.3">
      <c r="A27" s="193" t="s">
        <v>160</v>
      </c>
      <c r="B27" s="103">
        <f>'Tabell 6'!AR48</f>
        <v>0</v>
      </c>
      <c r="C27" s="103">
        <f>'Tabell 6'!AS48</f>
        <v>0</v>
      </c>
      <c r="D27" s="270" t="str">
        <f t="shared" si="0"/>
        <v xml:space="preserve">    ---- </v>
      </c>
      <c r="E27" s="270"/>
      <c r="F27" s="270">
        <f>'Tabell 6'!AR48/('Tabell 6'!AR60+'Tabell 6'!AR61)*100</f>
        <v>0</v>
      </c>
      <c r="G27" s="270">
        <f>'Tabell 6'!AS48/('Tabell 6'!AS60+'Tabell 6'!AS61)*100</f>
        <v>0</v>
      </c>
      <c r="H27" s="271" t="str">
        <f t="shared" si="1"/>
        <v xml:space="preserve">    ---- </v>
      </c>
      <c r="I27" s="182"/>
      <c r="J27" s="74"/>
    </row>
    <row r="28" spans="1:10" ht="18.75" customHeight="1" x14ac:dyDescent="0.3">
      <c r="A28" s="108" t="s">
        <v>161</v>
      </c>
      <c r="B28" s="105">
        <f>'Tabell 6'!AR49</f>
        <v>17366.244630042998</v>
      </c>
      <c r="C28" s="105">
        <f>'Tabell 6'!AS49</f>
        <v>17608.214707697</v>
      </c>
      <c r="D28" s="272">
        <f t="shared" si="0"/>
        <v>1.4</v>
      </c>
      <c r="E28" s="272"/>
      <c r="F28" s="270">
        <f>'Tabell 6'!AR49/('Tabell 6'!AR60+'Tabell 6'!AR61)*100</f>
        <v>3.1875425314810983</v>
      </c>
      <c r="G28" s="270">
        <f>'Tabell 6'!AS49/('Tabell 6'!AS60+'Tabell 6'!AS61)*100</f>
        <v>3.0422761808042234</v>
      </c>
      <c r="H28" s="271">
        <f t="shared" si="1"/>
        <v>-4.5999999999999996</v>
      </c>
      <c r="I28" s="182"/>
      <c r="J28" s="74"/>
    </row>
    <row r="29" spans="1:10" ht="18.75" customHeight="1" x14ac:dyDescent="0.3">
      <c r="A29" s="193" t="s">
        <v>162</v>
      </c>
      <c r="B29" s="103">
        <f>'Tabell 6'!AR53+'Tabell 6'!AR57</f>
        <v>4697.1503878799995</v>
      </c>
      <c r="C29" s="103">
        <f>'Tabell 6'!AS53+'Tabell 6'!AS57</f>
        <v>3879.7186309400004</v>
      </c>
      <c r="D29" s="270">
        <f t="shared" si="0"/>
        <v>-17.399999999999999</v>
      </c>
      <c r="E29" s="270"/>
      <c r="F29" s="270">
        <f>('Tabell 6'!AR53+'Tabell 6'!AR57)/('Tabell 6'!AR60+'Tabell 6'!AR61)*100</f>
        <v>0.86215338762582905</v>
      </c>
      <c r="G29" s="270">
        <f>('Tabell 6'!AS53+'Tabell 6'!AS57)/('Tabell 6'!AS60+'Tabell 6'!AS61)*100</f>
        <v>0.67032210675916315</v>
      </c>
      <c r="H29" s="271">
        <f t="shared" si="1"/>
        <v>-22.3</v>
      </c>
      <c r="I29" s="182"/>
      <c r="J29" s="74"/>
    </row>
    <row r="30" spans="1:10" ht="18.75" customHeight="1" x14ac:dyDescent="0.3">
      <c r="A30" s="86" t="s">
        <v>163</v>
      </c>
      <c r="B30" s="103">
        <f>'Tabell 6'!AR51-'Tabell 6'!AR52+'Tabell 6'!AR58+'Tabell 6'!AR59+'Tabell 6'!AR61</f>
        <v>2698.4668061100001</v>
      </c>
      <c r="C30" s="103">
        <f>'Tabell 6'!AS51-'Tabell 6'!AS52+'Tabell 6'!AS58+'Tabell 6'!AS59+'Tabell 6'!AS61</f>
        <v>912.25533052999992</v>
      </c>
      <c r="D30" s="271">
        <f t="shared" si="0"/>
        <v>-66.2</v>
      </c>
      <c r="E30" s="271"/>
      <c r="F30" s="271">
        <f>('Tabell 6'!AO51-'Tabell 6'!AO52+'Tabell 6'!AO58+'Tabell 6'!AO59+'Tabell 6'!AO61)/('Tabell 6'!AO60+'Tabell 6'!AO61)*100</f>
        <v>0.49826311417962088</v>
      </c>
      <c r="G30" s="271">
        <f>('Tabell 6'!AP51-'Tabell 6'!AP52+'Tabell 6'!AP58+'Tabell 6'!AP59+'Tabell 6'!AP61)/('Tabell 6'!AP60+'Tabell 6'!AP61)*100</f>
        <v>0.15761578950249475</v>
      </c>
      <c r="H30" s="271">
        <f t="shared" si="1"/>
        <v>-68.400000000000006</v>
      </c>
      <c r="I30" s="182"/>
      <c r="J30" s="74"/>
    </row>
    <row r="31" spans="1:10" ht="18.75" customHeight="1" x14ac:dyDescent="0.3">
      <c r="A31" s="193"/>
      <c r="B31" s="177"/>
      <c r="C31" s="177"/>
      <c r="D31" s="270"/>
      <c r="E31" s="270"/>
      <c r="F31" s="270"/>
      <c r="G31" s="271"/>
      <c r="H31" s="271"/>
      <c r="I31" s="182"/>
      <c r="J31" s="74"/>
    </row>
    <row r="32" spans="1:10" ht="18.75" customHeight="1" x14ac:dyDescent="0.3">
      <c r="A32" s="137" t="s">
        <v>2</v>
      </c>
      <c r="B32" s="109">
        <f>SUM(B33:B38)</f>
        <v>1991852.9265138805</v>
      </c>
      <c r="C32" s="109">
        <f>SUM(C33:C38)</f>
        <v>2086936.4270732654</v>
      </c>
      <c r="D32" s="268">
        <f t="shared" si="0"/>
        <v>4.8</v>
      </c>
      <c r="E32" s="268"/>
      <c r="F32" s="268">
        <f>SUM(F33:F38)</f>
        <v>99.999999999999986</v>
      </c>
      <c r="G32" s="268">
        <f>SUM(G33:G38)</f>
        <v>100</v>
      </c>
      <c r="H32" s="269">
        <f t="shared" si="1"/>
        <v>0</v>
      </c>
      <c r="I32" s="182"/>
      <c r="J32" s="74"/>
    </row>
    <row r="33" spans="1:10" ht="18.75" customHeight="1" x14ac:dyDescent="0.3">
      <c r="A33" s="193" t="s">
        <v>158</v>
      </c>
      <c r="B33" s="103">
        <f t="shared" ref="B33:C38" si="2">B9+B17+B25</f>
        <v>626738.51202630694</v>
      </c>
      <c r="C33" s="103">
        <f t="shared" si="2"/>
        <v>668001.9669047225</v>
      </c>
      <c r="D33" s="270">
        <f t="shared" si="0"/>
        <v>6.6</v>
      </c>
      <c r="E33" s="270"/>
      <c r="F33" s="270">
        <f>B33/B32*100</f>
        <v>31.465099841644328</v>
      </c>
      <c r="G33" s="270">
        <f>C33/C32*100</f>
        <v>32.008735783175403</v>
      </c>
      <c r="H33" s="271">
        <f t="shared" si="1"/>
        <v>1.7</v>
      </c>
      <c r="I33" s="182"/>
      <c r="J33" s="74"/>
    </row>
    <row r="34" spans="1:10" ht="18.75" customHeight="1" x14ac:dyDescent="0.3">
      <c r="A34" s="193" t="s">
        <v>159</v>
      </c>
      <c r="B34" s="103">
        <f t="shared" si="2"/>
        <v>571581.19501581008</v>
      </c>
      <c r="C34" s="103">
        <f t="shared" si="2"/>
        <v>526218.61758347624</v>
      </c>
      <c r="D34" s="270">
        <f t="shared" si="0"/>
        <v>-7.9</v>
      </c>
      <c r="E34" s="270"/>
      <c r="F34" s="270">
        <f>B34/B32*100</f>
        <v>28.695953772861397</v>
      </c>
      <c r="G34" s="270">
        <f>C34/C32*100</f>
        <v>25.214884878953836</v>
      </c>
      <c r="H34" s="271">
        <f t="shared" si="1"/>
        <v>-12.1</v>
      </c>
      <c r="I34" s="182"/>
      <c r="J34" s="74"/>
    </row>
    <row r="35" spans="1:10" ht="18.75" customHeight="1" x14ac:dyDescent="0.3">
      <c r="A35" s="193" t="s">
        <v>160</v>
      </c>
      <c r="B35" s="103">
        <f t="shared" si="2"/>
        <v>1017.8512414600001</v>
      </c>
      <c r="C35" s="103">
        <f t="shared" si="2"/>
        <v>1404.3727605600002</v>
      </c>
      <c r="D35" s="270">
        <f t="shared" si="0"/>
        <v>38</v>
      </c>
      <c r="E35" s="270"/>
      <c r="F35" s="270">
        <f>B35/B32*100</f>
        <v>5.1100722744697444E-2</v>
      </c>
      <c r="G35" s="270">
        <f>C35/C32*100</f>
        <v>6.729350939211419E-2</v>
      </c>
      <c r="H35" s="271">
        <f t="shared" si="1"/>
        <v>31.7</v>
      </c>
      <c r="I35" s="182"/>
      <c r="J35" s="74"/>
    </row>
    <row r="36" spans="1:10" ht="18.75" customHeight="1" x14ac:dyDescent="0.3">
      <c r="A36" s="108" t="s">
        <v>161</v>
      </c>
      <c r="B36" s="105">
        <f t="shared" si="2"/>
        <v>220406.97003406301</v>
      </c>
      <c r="C36" s="105">
        <f t="shared" si="2"/>
        <v>221941.91635196703</v>
      </c>
      <c r="D36" s="272">
        <f t="shared" si="0"/>
        <v>0.7</v>
      </c>
      <c r="E36" s="272"/>
      <c r="F36" s="270">
        <f>B36/B32*100</f>
        <v>11.065423912588612</v>
      </c>
      <c r="G36" s="270">
        <f>C36/C32*100</f>
        <v>10.63481922461912</v>
      </c>
      <c r="H36" s="271">
        <f t="shared" si="1"/>
        <v>-3.9</v>
      </c>
      <c r="I36" s="182"/>
      <c r="J36" s="74"/>
    </row>
    <row r="37" spans="1:10" ht="18.75" customHeight="1" x14ac:dyDescent="0.3">
      <c r="A37" s="193" t="s">
        <v>162</v>
      </c>
      <c r="B37" s="103">
        <f t="shared" si="2"/>
        <v>524796.30159006</v>
      </c>
      <c r="C37" s="103">
        <f t="shared" si="2"/>
        <v>593966.24783527991</v>
      </c>
      <c r="D37" s="270">
        <f t="shared" si="0"/>
        <v>13.2</v>
      </c>
      <c r="E37" s="270"/>
      <c r="F37" s="270">
        <f>B37/B32*100</f>
        <v>26.347141126958245</v>
      </c>
      <c r="G37" s="270">
        <f>C37/C32*100</f>
        <v>28.461156752544802</v>
      </c>
      <c r="H37" s="271">
        <f t="shared" si="1"/>
        <v>8</v>
      </c>
      <c r="I37" s="182"/>
      <c r="J37" s="74"/>
    </row>
    <row r="38" spans="1:10" ht="18.75" customHeight="1" x14ac:dyDescent="0.3">
      <c r="A38" s="273" t="s">
        <v>163</v>
      </c>
      <c r="B38" s="274">
        <f t="shared" si="2"/>
        <v>47312.096606180006</v>
      </c>
      <c r="C38" s="274">
        <f t="shared" si="2"/>
        <v>75403.305637259997</v>
      </c>
      <c r="D38" s="275">
        <f t="shared" si="0"/>
        <v>59.4</v>
      </c>
      <c r="E38" s="270"/>
      <c r="F38" s="275">
        <f>B38/B32*100</f>
        <v>2.3752806232026944</v>
      </c>
      <c r="G38" s="275">
        <f>C38/C32*100</f>
        <v>3.6131098513147393</v>
      </c>
      <c r="H38" s="276">
        <f t="shared" si="1"/>
        <v>52.1</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166</v>
      </c>
      <c r="B40" s="112"/>
      <c r="C40" s="112"/>
      <c r="D40" s="112"/>
      <c r="E40" s="112"/>
      <c r="F40" s="182"/>
      <c r="G40" s="182"/>
      <c r="H40" s="182"/>
      <c r="I40" s="182"/>
      <c r="J40" s="74"/>
    </row>
    <row r="41" spans="1:10" ht="18.75" x14ac:dyDescent="0.3">
      <c r="A41" s="112" t="s">
        <v>100</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A3" sqref="A3"/>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4" ht="15.75" customHeight="1" x14ac:dyDescent="0.2">
      <c r="A1" s="353">
        <v>4</v>
      </c>
      <c r="B1" s="4"/>
      <c r="C1" s="4"/>
      <c r="D1" s="4"/>
      <c r="E1" s="4"/>
      <c r="F1" s="4"/>
      <c r="G1" s="4"/>
      <c r="H1" s="4"/>
      <c r="I1" s="4"/>
      <c r="J1" s="4"/>
    </row>
    <row r="2" spans="1:14" ht="15.75" customHeight="1" x14ac:dyDescent="0.25">
      <c r="A2" s="165" t="s">
        <v>28</v>
      </c>
      <c r="B2" s="716"/>
      <c r="C2" s="716"/>
      <c r="D2" s="716"/>
      <c r="E2" s="716"/>
      <c r="F2" s="716"/>
      <c r="G2" s="716"/>
      <c r="H2" s="716"/>
      <c r="I2" s="716"/>
      <c r="J2" s="716"/>
    </row>
    <row r="3" spans="1:14" ht="15.75" customHeight="1" x14ac:dyDescent="0.25">
      <c r="A3" s="163"/>
      <c r="B3" s="300"/>
      <c r="C3" s="300"/>
      <c r="D3" s="300"/>
      <c r="E3" s="300"/>
      <c r="F3" s="300"/>
      <c r="G3" s="300"/>
      <c r="H3" s="300"/>
      <c r="I3" s="300"/>
      <c r="J3" s="300"/>
    </row>
    <row r="4" spans="1:14" ht="15.75" customHeight="1" x14ac:dyDescent="0.2">
      <c r="A4" s="144"/>
      <c r="B4" s="713" t="s">
        <v>0</v>
      </c>
      <c r="C4" s="714"/>
      <c r="D4" s="714"/>
      <c r="E4" s="713" t="s">
        <v>1</v>
      </c>
      <c r="F4" s="714"/>
      <c r="G4" s="714"/>
      <c r="H4" s="713" t="s">
        <v>2</v>
      </c>
      <c r="I4" s="714"/>
      <c r="J4" s="715"/>
    </row>
    <row r="5" spans="1:14" ht="15.75" customHeight="1" x14ac:dyDescent="0.2">
      <c r="A5" s="158"/>
      <c r="B5" s="20" t="s">
        <v>432</v>
      </c>
      <c r="C5" s="20" t="s">
        <v>433</v>
      </c>
      <c r="D5" s="251" t="s">
        <v>3</v>
      </c>
      <c r="E5" s="20" t="s">
        <v>432</v>
      </c>
      <c r="F5" s="20" t="s">
        <v>433</v>
      </c>
      <c r="G5" s="251" t="s">
        <v>3</v>
      </c>
      <c r="H5" s="20" t="s">
        <v>432</v>
      </c>
      <c r="I5" s="20" t="s">
        <v>433</v>
      </c>
      <c r="J5" s="251" t="s">
        <v>3</v>
      </c>
      <c r="M5" s="3"/>
      <c r="N5" s="3"/>
    </row>
    <row r="6" spans="1:14" ht="15.75" customHeight="1" x14ac:dyDescent="0.2">
      <c r="A6" s="679"/>
      <c r="B6" s="15"/>
      <c r="C6" s="15"/>
      <c r="D6" s="17" t="s">
        <v>4</v>
      </c>
      <c r="E6" s="16"/>
      <c r="F6" s="16"/>
      <c r="G6" s="15" t="s">
        <v>4</v>
      </c>
      <c r="H6" s="16"/>
      <c r="I6" s="16"/>
      <c r="J6" s="15" t="s">
        <v>4</v>
      </c>
      <c r="M6" s="332"/>
      <c r="N6" s="3"/>
    </row>
    <row r="7" spans="1:14" s="43" customFormat="1" ht="15.75" customHeight="1" x14ac:dyDescent="0.2">
      <c r="A7" s="14" t="s">
        <v>23</v>
      </c>
      <c r="B7" s="236">
        <f>'Fremtind Livsforsikring'!B7+'Storebrand Danica Pensjon'!B7+'DNB Livsforsikring'!B7+'Eika Forsikring AS'!B7+'Frende Livsforsikring'!B7+'Frende Skadeforsikring'!B7+'Gjensidige Forsikring'!B7+'Gjensidige Pensjon'!B7+'Handelsbanken Liv'!B7+'If Skadeforsikring NUF'!B7+KLP!B7+'KLP Skadeforsikring AS'!B7+'Landkreditt Forsikring'!B7+'Nordea Liv '!B7+'Oslo Pensjonsforsikring'!B7+'Protector Forsikring'!B7+'SHB Liv'!B7+'Sparebank 1 Forsikring'!B7+'Storebrand Livsforsikring'!B7+'Telenor Forsikring'!B7+'Tryg Forsikring'!B7+'WaterCircles F'!B7+'Codan Forsikring'!B7+'Euro Accident'!B7+'Ly Forsikring'!B7+'Youplus Livsforsikring'!B7</f>
        <v>1733602.9790164691</v>
      </c>
      <c r="C7" s="236">
        <f>'Fremtind Livsforsikring'!C7+'Storebrand Danica Pensjon'!C7+'DNB Livsforsikring'!C7+'Eika Forsikring AS'!C7+'Frende Livsforsikring'!C7+'Frende Skadeforsikring'!C7+'Gjensidige Forsikring'!C7+'Gjensidige Pensjon'!C7+'Handelsbanken Liv'!C7+'If Skadeforsikring NUF'!C7+KLP!C7+'KLP Skadeforsikring AS'!C7+'Landkreditt Forsikring'!C7+'Nordea Liv '!C7+'Oslo Pensjonsforsikring'!C7+'Protector Forsikring'!C7+'SHB Liv'!C7+'Sparebank 1 Forsikring'!C7+'Storebrand Livsforsikring'!C7+'Telenor Forsikring'!C7+'Tryg Forsikring'!C7+'WaterCircles F'!C7+'Codan Forsikring'!C7+'Euro Accident'!C7+'Ly Forsikring'!C7+'Youplus Livsforsikring'!C7</f>
        <v>1889203.174898416</v>
      </c>
      <c r="D7" s="160">
        <f t="shared" ref="D7:D12" si="0">IF(B7=0, "    ---- ", IF(ABS(ROUND(100/B7*C7-100,1))&lt;999,ROUND(100/B7*C7-100,1),IF(ROUND(100/B7*C7-100,1)&gt;999,999,-999)))</f>
        <v>9</v>
      </c>
      <c r="E7" s="236">
        <f>'Fremtind Livsforsikring'!F7+'Storebrand Danica Pensjon'!F7+'DNB Livsforsikring'!F7+'Eika Forsikring AS'!F7+'Frende Livsforsikring'!F7+'Frende Skadeforsikring'!F7+'Gjensidige Forsikring'!F7+'Gjensidige Pensjon'!F7+'Handelsbanken Liv'!F7+'If Skadeforsikring NUF'!F7+KLP!F7+'KLP Skadeforsikring AS'!F7+'Landkreditt Forsikring'!F7+'Nordea Liv '!F7+'Oslo Pensjonsforsikring'!F7+'Protector Forsikring'!F7+'SHB Liv'!F7+'Sparebank 1 Forsikring'!F7+'Storebrand Livsforsikring'!F7+'Telenor Forsikring'!F7+'Tryg Forsikring'!F7+'WaterCircles F'!F7+'Codan Forsikring'!F7+'Euro Accident'!F7+'Ly Forsikring'!F7+'Youplus Livsforsikring'!F7</f>
        <v>3435021.29073</v>
      </c>
      <c r="F7" s="236">
        <f>'Fremtind Livsforsikring'!G7+'Storebrand Danica Pensjon'!G7+'DNB Livsforsikring'!G7+'Eika Forsikring AS'!G7+'Frende Livsforsikring'!G7+'Frende Skadeforsikring'!G7+'Gjensidige Forsikring'!G7+'Gjensidige Pensjon'!G7+'Handelsbanken Liv'!G7+'If Skadeforsikring NUF'!G7+KLP!G7+'KLP Skadeforsikring AS'!G7+'Landkreditt Forsikring'!G7+'Nordea Liv '!G7+'Oslo Pensjonsforsikring'!G7+'Protector Forsikring'!G7+'SHB Liv'!G7+'Sparebank 1 Forsikring'!G7+'Storebrand Livsforsikring'!G7+'Telenor Forsikring'!G7+'Tryg Forsikring'!G7+'WaterCircles F'!G7+'Codan Forsikring'!G7+'Euro Accident'!G7+'Ly Forsikring'!G7+'Youplus Livsforsikring'!G7</f>
        <v>2702858.6687699999</v>
      </c>
      <c r="G7" s="160">
        <f t="shared" ref="G7:G12" si="1">IF(E7=0, "    ---- ", IF(ABS(ROUND(100/E7*F7-100,1))&lt;999,ROUND(100/E7*F7-100,1),IF(ROUND(100/E7*F7-100,1)&gt;999,999,-999)))</f>
        <v>-21.3</v>
      </c>
      <c r="H7" s="282">
        <f t="shared" ref="H7:H12" si="2">B7+E7</f>
        <v>5168624.2697464693</v>
      </c>
      <c r="I7" s="283">
        <f t="shared" ref="I7:I12" si="3">C7+F7</f>
        <v>4592061.8436684161</v>
      </c>
      <c r="J7" s="171">
        <f t="shared" ref="J7:J12" si="4">IF(H7=0, "    ---- ", IF(ABS(ROUND(100/H7*I7-100,1))&lt;999,ROUND(100/H7*I7-100,1),IF(ROUND(100/H7*I7-100,1)&gt;999,999,-999)))</f>
        <v>-11.2</v>
      </c>
      <c r="M7" s="417"/>
      <c r="N7" s="417"/>
    </row>
    <row r="8" spans="1:14" ht="15.75" customHeight="1" x14ac:dyDescent="0.2">
      <c r="A8" s="21" t="s">
        <v>25</v>
      </c>
      <c r="B8" s="44">
        <f>'Fremtind Livsforsikring'!B8+'Storebrand Danica Pensjon'!B8+'DNB Livsforsikring'!B8+'Eika Forsikring AS'!B8+'Frende Livsforsikring'!B8+'Frende Skadeforsikring'!B8+'Gjensidige Forsikring'!B8+'Gjensidige Pensjon'!B8+'Handelsbanken Liv'!B8+'If Skadeforsikring NUF'!B8+KLP!B8+'KLP Skadeforsikring AS'!B8+'Landkreditt Forsikring'!B8+'Nordea Liv '!B8+'Oslo Pensjonsforsikring'!B8+'Protector Forsikring'!B8+'SHB Liv'!B8+'Sparebank 1 Forsikring'!B8+'Storebrand Livsforsikring'!B8+'Telenor Forsikring'!B8+'Tryg Forsikring'!B8+'WaterCircles F'!B8+'Codan Forsikring'!B8+'Euro Accident'!B8+'Ly Forsikring'!B8+'Youplus Livsforsikring'!B8</f>
        <v>1162996.7122881413</v>
      </c>
      <c r="C8" s="44">
        <f>'Fremtind Livsforsikring'!C8+'Storebrand Danica Pensjon'!C8+'DNB Livsforsikring'!C8+'Eika Forsikring AS'!C8+'Frende Livsforsikring'!C8+'Frende Skadeforsikring'!C8+'Gjensidige Forsikring'!C8+'Gjensidige Pensjon'!C8+'Handelsbanken Liv'!C8+'If Skadeforsikring NUF'!C8+KLP!C8+'KLP Skadeforsikring AS'!C8+'Landkreditt Forsikring'!C8+'Nordea Liv '!C8+'Oslo Pensjonsforsikring'!C8+'Protector Forsikring'!C8+'SHB Liv'!C8+'Sparebank 1 Forsikring'!C8+'Storebrand Livsforsikring'!C8+'Telenor Forsikring'!C8+'Tryg Forsikring'!C8+'WaterCircles F'!C8+'Codan Forsikring'!C8+'Euro Accident'!C8+'Ly Forsikring'!C8+'Youplus Livsforsikring'!C8</f>
        <v>1219784.5800585281</v>
      </c>
      <c r="D8" s="166">
        <f t="shared" si="0"/>
        <v>4.9000000000000004</v>
      </c>
      <c r="E8" s="187"/>
      <c r="F8" s="187"/>
      <c r="G8" s="176"/>
      <c r="H8" s="189">
        <f t="shared" si="2"/>
        <v>1162996.7122881413</v>
      </c>
      <c r="I8" s="190">
        <f t="shared" si="3"/>
        <v>1219784.5800585281</v>
      </c>
      <c r="J8" s="171">
        <f t="shared" si="4"/>
        <v>4.9000000000000004</v>
      </c>
    </row>
    <row r="9" spans="1:14" ht="15.75" customHeight="1" x14ac:dyDescent="0.2">
      <c r="A9" s="21" t="s">
        <v>24</v>
      </c>
      <c r="B9" s="44">
        <f>'Fremtind Livsforsikring'!B9+'Storebrand Danica Pensjon'!B9+'DNB Livsforsikring'!B9+'Eika Forsikring AS'!B9+'Frende Livsforsikring'!B9+'Frende Skadeforsikring'!B9+'Gjensidige Forsikring'!B9+'Gjensidige Pensjon'!B9+'Handelsbanken Liv'!B9+'If Skadeforsikring NUF'!B9+KLP!B9+'KLP Skadeforsikring AS'!B9+'Landkreditt Forsikring'!B9+'Nordea Liv '!B9+'Oslo Pensjonsforsikring'!B9+'Protector Forsikring'!B9+'SHB Liv'!B9+'Sparebank 1 Forsikring'!B9+'Storebrand Livsforsikring'!B9+'Telenor Forsikring'!B9+'Tryg Forsikring'!B9+'WaterCircles F'!B9+'Codan Forsikring'!B9+'Euro Accident'!B9+'Ly Forsikring'!B9+'Youplus Livsforsikring'!B9</f>
        <v>361663.06589123519</v>
      </c>
      <c r="C9" s="44">
        <f>'Fremtind Livsforsikring'!C9+'Storebrand Danica Pensjon'!C9+'DNB Livsforsikring'!C9+'Eika Forsikring AS'!C9+'Frende Livsforsikring'!C9+'Frende Skadeforsikring'!C9+'Gjensidige Forsikring'!C9+'Gjensidige Pensjon'!C9+'Handelsbanken Liv'!C9+'If Skadeforsikring NUF'!C9+KLP!C9+'KLP Skadeforsikring AS'!C9+'Landkreditt Forsikring'!C9+'Nordea Liv '!C9+'Oslo Pensjonsforsikring'!C9+'Protector Forsikring'!C9+'SHB Liv'!C9+'Sparebank 1 Forsikring'!C9+'Storebrand Livsforsikring'!C9+'Telenor Forsikring'!C9+'Tryg Forsikring'!C9+'WaterCircles F'!C9+'Codan Forsikring'!C9+'Euro Accident'!C9+'Ly Forsikring'!C9+'Youplus Livsforsikring'!C9</f>
        <v>436563.21536672104</v>
      </c>
      <c r="D9" s="176">
        <f t="shared" si="0"/>
        <v>20.7</v>
      </c>
      <c r="E9" s="187"/>
      <c r="F9" s="187"/>
      <c r="G9" s="176"/>
      <c r="H9" s="189">
        <f t="shared" si="2"/>
        <v>361663.06589123519</v>
      </c>
      <c r="I9" s="190">
        <f t="shared" si="3"/>
        <v>436563.21536672104</v>
      </c>
      <c r="J9" s="171">
        <f t="shared" si="4"/>
        <v>20.7</v>
      </c>
    </row>
    <row r="10" spans="1:14" s="43" customFormat="1" ht="15.75" customHeight="1" x14ac:dyDescent="0.2">
      <c r="A10" s="39" t="s">
        <v>348</v>
      </c>
      <c r="B10" s="236">
        <f>'Fremtind Livsforsikring'!B10+'Storebrand Danica Pensjon'!B10+'DNB Livsforsikring'!B10+'Eika Forsikring AS'!B10+'Frende Livsforsikring'!B10+'Frende Skadeforsikring'!B10+'Gjensidige Forsikring'!B10+'Gjensidige Pensjon'!B10+'Handelsbanken Liv'!B10+'If Skadeforsikring NUF'!B10+KLP!B10+'KLP Skadeforsikring AS'!B10+'Landkreditt Forsikring'!B10+'Nordea Liv '!B10+'Oslo Pensjonsforsikring'!B10+'Protector Forsikring'!B10+'SHB Liv'!B10+'Sparebank 1 Forsikring'!B10+'Storebrand Livsforsikring'!B10+'Telenor Forsikring'!B10+'Tryg Forsikring'!B10+'WaterCircles F'!B10+'Codan Forsikring'!B10+'Euro Accident'!B10+'Ly Forsikring'!B10+'Youplus Livsforsikring'!B10</f>
        <v>16406101.241744703</v>
      </c>
      <c r="C10" s="236">
        <f>'Fremtind Livsforsikring'!C10+'Storebrand Danica Pensjon'!C10+'DNB Livsforsikring'!C10+'Eika Forsikring AS'!C10+'Frende Livsforsikring'!C10+'Frende Skadeforsikring'!C10+'Gjensidige Forsikring'!C10+'Gjensidige Pensjon'!C10+'Handelsbanken Liv'!C10+'If Skadeforsikring NUF'!C10+KLP!C10+'KLP Skadeforsikring AS'!C10+'Landkreditt Forsikring'!C10+'Nordea Liv '!C10+'Oslo Pensjonsforsikring'!C10+'Protector Forsikring'!C10+'SHB Liv'!C10+'Sparebank 1 Forsikring'!C10+'Storebrand Livsforsikring'!C10+'Telenor Forsikring'!C10+'Tryg Forsikring'!C10+'WaterCircles F'!C10+'Codan Forsikring'!C10+'Euro Accident'!C10+'Ly Forsikring'!C10+'Youplus Livsforsikring'!C10</f>
        <v>14743723.623452533</v>
      </c>
      <c r="D10" s="160">
        <f t="shared" si="0"/>
        <v>-10.1</v>
      </c>
      <c r="E10" s="236">
        <f>'Fremtind Livsforsikring'!F10+'Storebrand Danica Pensjon'!F10+'DNB Livsforsikring'!F10+'Eika Forsikring AS'!F10+'Frende Livsforsikring'!F10+'Frende Skadeforsikring'!F10+'Gjensidige Forsikring'!F10+'Gjensidige Pensjon'!F10+'Handelsbanken Liv'!F10+'If Skadeforsikring NUF'!F10+KLP!F10+'KLP Skadeforsikring AS'!F10+'Landkreditt Forsikring'!F10+'Nordea Liv '!F10+'Oslo Pensjonsforsikring'!F10+'Protector Forsikring'!F10+'SHB Liv'!F10+'Sparebank 1 Forsikring'!F10+'Storebrand Livsforsikring'!F10+'Telenor Forsikring'!F10+'Tryg Forsikring'!F10+'WaterCircles F'!F10+'Codan Forsikring'!F10+'Euro Accident'!F10+'Ly Forsikring'!F10+'Youplus Livsforsikring'!F10</f>
        <v>74929242.276765004</v>
      </c>
      <c r="F10" s="236">
        <f>'Fremtind Livsforsikring'!G10+'Storebrand Danica Pensjon'!G10+'DNB Livsforsikring'!G10+'Eika Forsikring AS'!G10+'Frende Livsforsikring'!G10+'Frende Skadeforsikring'!G10+'Gjensidige Forsikring'!G10+'Gjensidige Pensjon'!G10+'Handelsbanken Liv'!G10+'If Skadeforsikring NUF'!G10+KLP!G10+'KLP Skadeforsikring AS'!G10+'Landkreditt Forsikring'!G10+'Nordea Liv '!G10+'Oslo Pensjonsforsikring'!G10+'Protector Forsikring'!G10+'SHB Liv'!G10+'Sparebank 1 Forsikring'!G10+'Storebrand Livsforsikring'!G10+'Telenor Forsikring'!G10+'Tryg Forsikring'!G10+'WaterCircles F'!G10+'Codan Forsikring'!G10+'Euro Accident'!G10+'Ly Forsikring'!G10+'Youplus Livsforsikring'!G10</f>
        <v>75526249.806690007</v>
      </c>
      <c r="G10" s="160">
        <f t="shared" si="1"/>
        <v>0.8</v>
      </c>
      <c r="H10" s="282">
        <f t="shared" si="2"/>
        <v>91335343.518509701</v>
      </c>
      <c r="I10" s="283">
        <f t="shared" si="3"/>
        <v>90269973.430142537</v>
      </c>
      <c r="J10" s="171">
        <f t="shared" si="4"/>
        <v>-1.2</v>
      </c>
    </row>
    <row r="11" spans="1:14" s="43" customFormat="1" ht="15.75" customHeight="1" x14ac:dyDescent="0.2">
      <c r="A11" s="39" t="s">
        <v>349</v>
      </c>
      <c r="B11" s="236">
        <f>'Fremtind Livsforsikring'!B11+'Storebrand Danica Pensjon'!B11+'DNB Livsforsikring'!B11+'Eika Forsikring AS'!B11+'Frende Livsforsikring'!B11+'Frende Skadeforsikring'!B11+'Gjensidige Forsikring'!B11+'Gjensidige Pensjon'!B11+'Handelsbanken Liv'!B11+'If Skadeforsikring NUF'!B11+KLP!B11+'KLP Skadeforsikring AS'!B11+'Landkreditt Forsikring'!B11+'Nordea Liv '!B11+'Oslo Pensjonsforsikring'!B11+'Protector Forsikring'!B11+'SHB Liv'!B11+'Sparebank 1 Forsikring'!B11+'Storebrand Livsforsikring'!B11+'Telenor Forsikring'!B11+'Tryg Forsikring'!B11+'WaterCircles F'!B11+'Codan Forsikring'!B11+'Euro Accident'!B11+'Ly Forsikring'!B11+'Youplus Livsforsikring'!B11</f>
        <v>16931.237000000001</v>
      </c>
      <c r="C11" s="236">
        <f>'Fremtind Livsforsikring'!C11+'Storebrand Danica Pensjon'!C11+'DNB Livsforsikring'!C11+'Eika Forsikring AS'!C11+'Frende Livsforsikring'!C11+'Frende Skadeforsikring'!C11+'Gjensidige Forsikring'!C11+'Gjensidige Pensjon'!C11+'Handelsbanken Liv'!C11+'If Skadeforsikring NUF'!C11+KLP!C11+'KLP Skadeforsikring AS'!C11+'Landkreditt Forsikring'!C11+'Nordea Liv '!C11+'Oslo Pensjonsforsikring'!C11+'Protector Forsikring'!C11+'SHB Liv'!C11+'Sparebank 1 Forsikring'!C11+'Storebrand Livsforsikring'!C11+'Telenor Forsikring'!C11+'Tryg Forsikring'!C11+'WaterCircles F'!C11+'Codan Forsikring'!C11+'Euro Accident'!C11+'Ly Forsikring'!C11+'Youplus Livsforsikring'!C11</f>
        <v>24653</v>
      </c>
      <c r="D11" s="171">
        <f t="shared" si="0"/>
        <v>45.6</v>
      </c>
      <c r="E11" s="236">
        <f>'Fremtind Livsforsikring'!F11+'Storebrand Danica Pensjon'!F11+'DNB Livsforsikring'!F11+'Eika Forsikring AS'!F11+'Frende Livsforsikring'!F11+'Frende Skadeforsikring'!F11+'Gjensidige Forsikring'!F11+'Gjensidige Pensjon'!F11+'Handelsbanken Liv'!F11+'If Skadeforsikring NUF'!F11+KLP!F11+'KLP Skadeforsikring AS'!F11+'Landkreditt Forsikring'!F11+'Nordea Liv '!F11+'Oslo Pensjonsforsikring'!F11+'Protector Forsikring'!F11+'SHB Liv'!F11+'Sparebank 1 Forsikring'!F11+'Storebrand Livsforsikring'!F11+'Telenor Forsikring'!F11+'Tryg Forsikring'!F11+'WaterCircles F'!F11+'Codan Forsikring'!F11+'Euro Accident'!F11+'Ly Forsikring'!F11+'Youplus Livsforsikring'!F11</f>
        <v>299622.72640000004</v>
      </c>
      <c r="F11" s="236">
        <f>'Fremtind Livsforsikring'!G11+'Storebrand Danica Pensjon'!G11+'DNB Livsforsikring'!G11+'Eika Forsikring AS'!G11+'Frende Livsforsikring'!G11+'Frende Skadeforsikring'!G11+'Gjensidige Forsikring'!G11+'Gjensidige Pensjon'!G11+'Handelsbanken Liv'!G11+'If Skadeforsikring NUF'!G11+KLP!G11+'KLP Skadeforsikring AS'!G11+'Landkreditt Forsikring'!G11+'Nordea Liv '!G11+'Oslo Pensjonsforsikring'!G11+'Protector Forsikring'!G11+'SHB Liv'!G11+'Sparebank 1 Forsikring'!G11+'Storebrand Livsforsikring'!G11+'Telenor Forsikring'!G11+'Tryg Forsikring'!G11+'WaterCircles F'!G11+'Codan Forsikring'!G11+'Euro Accident'!G11+'Ly Forsikring'!G11+'Youplus Livsforsikring'!G11</f>
        <v>53338.788350000003</v>
      </c>
      <c r="G11" s="171">
        <f t="shared" si="1"/>
        <v>-82.2</v>
      </c>
      <c r="H11" s="282">
        <f t="shared" si="2"/>
        <v>316553.96340000007</v>
      </c>
      <c r="I11" s="283">
        <f t="shared" si="3"/>
        <v>77991.788350000003</v>
      </c>
      <c r="J11" s="171">
        <f t="shared" si="4"/>
        <v>-75.400000000000006</v>
      </c>
    </row>
    <row r="12" spans="1:14" s="43" customFormat="1" ht="15.75" customHeight="1" x14ac:dyDescent="0.2">
      <c r="A12" s="508" t="s">
        <v>350</v>
      </c>
      <c r="B12" s="281">
        <f>'Fremtind Livsforsikring'!B12+'Storebrand Danica Pensjon'!B12+'DNB Livsforsikring'!B12+'Eika Forsikring AS'!B12+'Frende Livsforsikring'!B12+'Frende Skadeforsikring'!B12+'Gjensidige Forsikring'!B12+'Gjensidige Pensjon'!B12+'Handelsbanken Liv'!B12+'If Skadeforsikring NUF'!B12+KLP!B12+'KLP Skadeforsikring AS'!B12+'Landkreditt Forsikring'!B12+'Nordea Liv '!B12+'Oslo Pensjonsforsikring'!B12+'Protector Forsikring'!B12+'SHB Liv'!B12+'Sparebank 1 Forsikring'!B12+'Storebrand Livsforsikring'!B12+'Telenor Forsikring'!B12+'Tryg Forsikring'!B12+'WaterCircles F'!B12+'Codan Forsikring'!B12+'Euro Accident'!B12+'Ly Forsikring'!B12+'Youplus Livsforsikring'!B12</f>
        <v>1556.90915</v>
      </c>
      <c r="C12" s="281">
        <f>'Fremtind Livsforsikring'!C12+'Storebrand Danica Pensjon'!C12+'DNB Livsforsikring'!C12+'Eika Forsikring AS'!C12+'Frende Livsforsikring'!C12+'Frende Skadeforsikring'!C12+'Gjensidige Forsikring'!C12+'Gjensidige Pensjon'!C12+'Handelsbanken Liv'!C12+'If Skadeforsikring NUF'!C12+KLP!C12+'KLP Skadeforsikring AS'!C12+'Landkreditt Forsikring'!C12+'Nordea Liv '!C12+'Oslo Pensjonsforsikring'!C12+'Protector Forsikring'!C12+'SHB Liv'!C12+'Sparebank 1 Forsikring'!C12+'Storebrand Livsforsikring'!C12+'Telenor Forsikring'!C12+'Tryg Forsikring'!C12+'WaterCircles F'!C12+'Codan Forsikring'!C12+'Euro Accident'!C12+'Ly Forsikring'!C12+'Youplus Livsforsikring'!C12</f>
        <v>0</v>
      </c>
      <c r="D12" s="170">
        <f t="shared" si="0"/>
        <v>-100</v>
      </c>
      <c r="E12" s="281">
        <f>'Fremtind Livsforsikring'!F12+'Storebrand Danica Pensjon'!F12+'DNB Livsforsikring'!F12+'Eika Forsikring AS'!F12+'Frende Livsforsikring'!F12+'Frende Skadeforsikring'!F12+'Gjensidige Forsikring'!F12+'Gjensidige Pensjon'!F12+'Handelsbanken Liv'!F12+'If Skadeforsikring NUF'!F12+KLP!F12+'KLP Skadeforsikring AS'!F12+'Landkreditt Forsikring'!F12+'Nordea Liv '!F12+'Oslo Pensjonsforsikring'!F12+'Protector Forsikring'!F12+'SHB Liv'!F12+'Sparebank 1 Forsikring'!F12+'Storebrand Livsforsikring'!F12+'Telenor Forsikring'!F12+'Tryg Forsikring'!F12+'WaterCircles F'!F12+'Codan Forsikring'!F12+'Euro Accident'!F12+'Ly Forsikring'!F12+'Youplus Livsforsikring'!F12</f>
        <v>53972.81237</v>
      </c>
      <c r="F12" s="281">
        <f>'Fremtind Livsforsikring'!G12+'Storebrand Danica Pensjon'!G12+'DNB Livsforsikring'!G12+'Eika Forsikring AS'!G12+'Frende Livsforsikring'!G12+'Frende Skadeforsikring'!G12+'Gjensidige Forsikring'!G12+'Gjensidige Pensjon'!G12+'Handelsbanken Liv'!G12+'If Skadeforsikring NUF'!G12+KLP!G12+'KLP Skadeforsikring AS'!G12+'Landkreditt Forsikring'!G12+'Nordea Liv '!G12+'Oslo Pensjonsforsikring'!G12+'Protector Forsikring'!G12+'SHB Liv'!G12+'Sparebank 1 Forsikring'!G12+'Storebrand Livsforsikring'!G12+'Telenor Forsikring'!G12+'Tryg Forsikring'!G12+'WaterCircles F'!G12+'Codan Forsikring'!G12+'Euro Accident'!G12+'Ly Forsikring'!G12+'Youplus Livsforsikring'!G12</f>
        <v>50404.203399999999</v>
      </c>
      <c r="G12" s="169">
        <f t="shared" si="1"/>
        <v>-6.6</v>
      </c>
      <c r="H12" s="284">
        <f t="shared" si="2"/>
        <v>55529.721519999999</v>
      </c>
      <c r="I12" s="285">
        <f t="shared" si="3"/>
        <v>50404.203399999999</v>
      </c>
      <c r="J12" s="169">
        <f t="shared" si="4"/>
        <v>-9.1999999999999993</v>
      </c>
    </row>
    <row r="13" spans="1:14" s="43" customFormat="1" ht="15.75" customHeight="1" x14ac:dyDescent="0.2">
      <c r="A13" s="168"/>
      <c r="B13" s="35"/>
      <c r="C13" s="5"/>
      <c r="D13" s="32"/>
      <c r="E13" s="35"/>
      <c r="F13" s="5"/>
      <c r="G13" s="32"/>
      <c r="H13" s="48"/>
      <c r="I13" s="48"/>
      <c r="J13" s="32"/>
    </row>
    <row r="14" spans="1:14" ht="15.75" customHeight="1" x14ac:dyDescent="0.2">
      <c r="A14" s="153" t="s">
        <v>268</v>
      </c>
    </row>
    <row r="15" spans="1:14" ht="15.75" customHeight="1" x14ac:dyDescent="0.2">
      <c r="A15" s="149"/>
      <c r="E15" s="7"/>
      <c r="F15" s="7"/>
      <c r="G15" s="7"/>
      <c r="H15" s="7"/>
      <c r="I15" s="7"/>
      <c r="J15" s="7"/>
    </row>
    <row r="16" spans="1:14" s="3" customFormat="1" ht="15.75" customHeight="1" x14ac:dyDescent="0.25">
      <c r="A16" s="164"/>
      <c r="C16" s="30"/>
      <c r="D16" s="30"/>
      <c r="E16" s="30"/>
      <c r="F16" s="30"/>
      <c r="G16" s="30"/>
      <c r="H16" s="30"/>
      <c r="I16" s="30"/>
      <c r="J16" s="30"/>
    </row>
    <row r="17" spans="1:11" ht="15.75" customHeight="1" x14ac:dyDescent="0.25">
      <c r="A17" s="147" t="s">
        <v>265</v>
      </c>
      <c r="B17" s="28"/>
      <c r="C17" s="28"/>
      <c r="D17" s="29"/>
      <c r="E17" s="28"/>
      <c r="F17" s="28"/>
      <c r="G17" s="28"/>
      <c r="H17" s="28"/>
      <c r="I17" s="28"/>
      <c r="J17" s="28"/>
    </row>
    <row r="18" spans="1:11" ht="15.75" customHeight="1" x14ac:dyDescent="0.25">
      <c r="A18" s="149"/>
      <c r="B18" s="716"/>
      <c r="C18" s="716"/>
      <c r="D18" s="716"/>
      <c r="E18" s="716"/>
      <c r="F18" s="716"/>
      <c r="G18" s="716"/>
      <c r="H18" s="716"/>
      <c r="I18" s="716"/>
      <c r="J18" s="716"/>
    </row>
    <row r="19" spans="1:11" ht="15.75" customHeight="1" x14ac:dyDescent="0.2">
      <c r="A19" s="144"/>
      <c r="B19" s="713" t="s">
        <v>0</v>
      </c>
      <c r="C19" s="714"/>
      <c r="D19" s="714"/>
      <c r="E19" s="713" t="s">
        <v>1</v>
      </c>
      <c r="F19" s="714"/>
      <c r="G19" s="715"/>
      <c r="H19" s="714" t="s">
        <v>2</v>
      </c>
      <c r="I19" s="714"/>
      <c r="J19" s="715"/>
    </row>
    <row r="20" spans="1:11" ht="15.75" customHeight="1" x14ac:dyDescent="0.2">
      <c r="A20" s="140" t="s">
        <v>5</v>
      </c>
      <c r="B20" s="20" t="s">
        <v>432</v>
      </c>
      <c r="C20" s="20" t="s">
        <v>433</v>
      </c>
      <c r="D20" s="251" t="s">
        <v>3</v>
      </c>
      <c r="E20" s="20" t="s">
        <v>432</v>
      </c>
      <c r="F20" s="20" t="s">
        <v>433</v>
      </c>
      <c r="G20" s="251" t="s">
        <v>3</v>
      </c>
      <c r="H20" s="20" t="s">
        <v>432</v>
      </c>
      <c r="I20" s="20" t="s">
        <v>433</v>
      </c>
      <c r="J20" s="251" t="s">
        <v>3</v>
      </c>
    </row>
    <row r="21" spans="1:11" ht="15.75" customHeight="1" x14ac:dyDescent="0.2">
      <c r="A21" s="680"/>
      <c r="B21" s="15"/>
      <c r="C21" s="15"/>
      <c r="D21" s="17" t="s">
        <v>4</v>
      </c>
      <c r="E21" s="16"/>
      <c r="F21" s="16"/>
      <c r="G21" s="15" t="s">
        <v>4</v>
      </c>
      <c r="H21" s="16"/>
      <c r="I21" s="16"/>
      <c r="J21" s="15" t="s">
        <v>4</v>
      </c>
    </row>
    <row r="22" spans="1:11" s="43" customFormat="1" ht="15.75" customHeight="1" x14ac:dyDescent="0.2">
      <c r="A22" s="14" t="s">
        <v>23</v>
      </c>
      <c r="B22" s="236">
        <f>'Fremtind Livsforsikring'!B22+'Storebrand Danica Pensjon'!B22+'DNB Livsforsikring'!B22+'Eika Forsikring AS'!B22+'Frende Livsforsikring'!B22+'Frende Skadeforsikring'!B22+'Gjensidige Forsikring'!B22+'Gjensidige Pensjon'!B22+'Handelsbanken Liv'!B22+'If Skadeforsikring NUF'!B22+KLP!B22+'KLP Skadeforsikring AS'!B22+'Landkreditt Forsikring'!B22+'Nordea Liv '!B22+'Oslo Pensjonsforsikring'!B22+'Protector Forsikring'!B22+'SHB Liv'!B22+'Sparebank 1 Forsikring'!B22+'Storebrand Livsforsikring'!B22+'Telenor Forsikring'!B22+'Tryg Forsikring'!B22+'WaterCircles F'!B22+'Codan Forsikring'!B22+'Euro Accident'!B22+'Ly Forsikring'!B22+'Youplus Livsforsikring'!B22</f>
        <v>761140.55146032688</v>
      </c>
      <c r="C22" s="236">
        <f>'Fremtind Livsforsikring'!C22+'Storebrand Danica Pensjon'!C22+'DNB Livsforsikring'!C22+'Eika Forsikring AS'!C22+'Frende Livsforsikring'!C22+'Frende Skadeforsikring'!C22+'Gjensidige Forsikring'!C22+'Gjensidige Pensjon'!C22+'Handelsbanken Liv'!C22+'If Skadeforsikring NUF'!C22+KLP!C22+'KLP Skadeforsikring AS'!C22+'Landkreditt Forsikring'!C22+'Nordea Liv '!C22+'Oslo Pensjonsforsikring'!C22+'Protector Forsikring'!C22+'SHB Liv'!C22+'Sparebank 1 Forsikring'!C22+'Storebrand Livsforsikring'!C22+'Telenor Forsikring'!C22+'Tryg Forsikring'!C22+'WaterCircles F'!C22+'Codan Forsikring'!C22+'Euro Accident'!C22+'Ly Forsikring'!C22+'Youplus Livsforsikring'!C22</f>
        <v>822367.65775933326</v>
      </c>
      <c r="D22" s="11">
        <f t="shared" ref="D22:D39" si="5">IF(B22=0, "    ---- ", IF(ABS(ROUND(100/B22*C22-100,1))&lt;999,ROUND(100/B22*C22-100,1),IF(ROUND(100/B22*C22-100,1)&gt;999,999,-999)))</f>
        <v>8</v>
      </c>
      <c r="E22" s="236">
        <f>'Fremtind Livsforsikring'!F22+'Storebrand Danica Pensjon'!F22+'DNB Livsforsikring'!F22+'Eika Forsikring AS'!F22+'Frende Livsforsikring'!F22+'Frende Skadeforsikring'!F22+'Gjensidige Forsikring'!F22+'Gjensidige Pensjon'!F22+'Handelsbanken Liv'!F22+'If Skadeforsikring NUF'!F22+KLP!F22+'KLP Skadeforsikring AS'!F22+'Landkreditt Forsikring'!F22+'Nordea Liv '!F22+'Oslo Pensjonsforsikring'!F22+'Protector Forsikring'!F22+'SHB Liv'!F22+'Sparebank 1 Forsikring'!F22+'Storebrand Livsforsikring'!F22+'Telenor Forsikring'!F22+'Tryg Forsikring'!F22+'WaterCircles F'!F22+'Codan Forsikring'!F22+'Euro Accident'!F22+'Ly Forsikring'!F22+'Youplus Livsforsikring'!F22</f>
        <v>273386.00956999999</v>
      </c>
      <c r="F22" s="236">
        <f>'Fremtind Livsforsikring'!G22+'Storebrand Danica Pensjon'!G22+'DNB Livsforsikring'!G22+'Eika Forsikring AS'!G22+'Frende Livsforsikring'!G22+'Frende Skadeforsikring'!G22+'Gjensidige Forsikring'!G22+'Gjensidige Pensjon'!G22+'Handelsbanken Liv'!G22+'If Skadeforsikring NUF'!G22+KLP!G22+'KLP Skadeforsikring AS'!G22+'Landkreditt Forsikring'!G22+'Nordea Liv '!G22+'Oslo Pensjonsforsikring'!G22+'Protector Forsikring'!G22+'SHB Liv'!G22+'Sparebank 1 Forsikring'!G22+'Storebrand Livsforsikring'!G22+'Telenor Forsikring'!G22+'Tryg Forsikring'!G22+'WaterCircles F'!G22+'Codan Forsikring'!G22+'Euro Accident'!G22+'Ly Forsikring'!G22+'Youplus Livsforsikring'!G22</f>
        <v>232680.74925000002</v>
      </c>
      <c r="G22" s="352">
        <f t="shared" ref="G22:G35" si="6">IF(E22=0, "    ---- ", IF(ABS(ROUND(100/E22*F22-100,1))&lt;999,ROUND(100/E22*F22-100,1),IF(ROUND(100/E22*F22-100,1)&gt;999,999,-999)))</f>
        <v>-14.9</v>
      </c>
      <c r="H22" s="311">
        <f>SUM(B22,E22)</f>
        <v>1034526.5610303269</v>
      </c>
      <c r="I22" s="236">
        <f t="shared" ref="I22:I39" si="7">SUM(C22,F22)</f>
        <v>1055048.4070093334</v>
      </c>
      <c r="J22" s="24">
        <f t="shared" ref="J22:J39" si="8">IF(H22=0, "    ---- ", IF(ABS(ROUND(100/H22*I22-100,1))&lt;999,ROUND(100/H22*I22-100,1),IF(ROUND(100/H22*I22-100,1)&gt;999,999,-999)))</f>
        <v>2</v>
      </c>
    </row>
    <row r="23" spans="1:11" ht="15.75" customHeight="1" x14ac:dyDescent="0.2">
      <c r="A23" s="509" t="s">
        <v>351</v>
      </c>
      <c r="B23" s="44">
        <f>'Fremtind Livsforsikring'!B23+'Storebrand Danica Pensjon'!B23+'DNB Livsforsikring'!B23+'Eika Forsikring AS'!B23+'Frende Livsforsikring'!B23+'Frende Skadeforsikring'!B23+'Gjensidige Forsikring'!B23+'Gjensidige Pensjon'!B23+'Handelsbanken Liv'!B23+'If Skadeforsikring NUF'!B23+KLP!B23+'KLP Skadeforsikring AS'!B23+'Landkreditt Forsikring'!B23+'Nordea Liv '!B23+'Oslo Pensjonsforsikring'!B23+'Protector Forsikring'!B23+'SHB Liv'!B23+'Sparebank 1 Forsikring'!B23+'Storebrand Livsforsikring'!B23+'Telenor Forsikring'!B23+'Tryg Forsikring'!B23+'WaterCircles F'!B23+'Codan Forsikring'!B23+'Euro Accident'!B23+'Ly Forsikring'!B23+'Youplus Livsforsikring'!B23</f>
        <v>546097.56698826118</v>
      </c>
      <c r="C23" s="44">
        <f>'Fremtind Livsforsikring'!C23+'Storebrand Danica Pensjon'!C23+'DNB Livsforsikring'!C23+'Eika Forsikring AS'!C23+'Frende Livsforsikring'!C23+'Frende Skadeforsikring'!C23+'Gjensidige Forsikring'!C23+'Gjensidige Pensjon'!C23+'Handelsbanken Liv'!C23+'If Skadeforsikring NUF'!C23+KLP!C23+'KLP Skadeforsikring AS'!C23+'Landkreditt Forsikring'!C23+'Nordea Liv '!C23+'Oslo Pensjonsforsikring'!C23+'Protector Forsikring'!C23+'SHB Liv'!C23+'Sparebank 1 Forsikring'!C23+'Storebrand Livsforsikring'!C23+'Telenor Forsikring'!C23+'Tryg Forsikring'!C23+'WaterCircles F'!C23+'Codan Forsikring'!C23+'Euro Accident'!C23+'Ly Forsikring'!C23+'Youplus Livsforsikring'!C23</f>
        <v>587860.09204620554</v>
      </c>
      <c r="D23" s="27">
        <f>IF($A$1=4,IF(B23=0, "    ---- ", IF(ABS(ROUND(100/B23*C23-100,1))&lt;999,ROUND(100/B23*C23-100,1),IF(ROUND(100/B23*C23-100,1)&gt;999,999,-999))),"")</f>
        <v>7.6</v>
      </c>
      <c r="E23" s="44">
        <f>'Fremtind Livsforsikring'!F23+'Storebrand Danica Pensjon'!F23+'DNB Livsforsikring'!F23+'Eika Forsikring AS'!F23+'Frende Livsforsikring'!F23+'Frende Skadeforsikring'!F23+'Gjensidige Forsikring'!F23+'Gjensidige Pensjon'!F23+'Handelsbanken Liv'!F23+'If Skadeforsikring NUF'!F23+KLP!F23+'KLP Skadeforsikring AS'!F23+'Landkreditt Forsikring'!F23+'Nordea Liv '!F23+'Oslo Pensjonsforsikring'!F23+'Protector Forsikring'!F23+'SHB Liv'!F23+'Sparebank 1 Forsikring'!F23+'Storebrand Livsforsikring'!F23+'Telenor Forsikring'!F23+'Tryg Forsikring'!F23+'WaterCircles F'!F23+'Codan Forsikring'!F23+'Euro Accident'!F23+'Ly Forsikring'!F23+'Youplus Livsforsikring'!F23</f>
        <v>19132.956119999999</v>
      </c>
      <c r="F23" s="44">
        <f>'Fremtind Livsforsikring'!G23+'Storebrand Danica Pensjon'!G23+'DNB Livsforsikring'!G23+'Eika Forsikring AS'!G23+'Frende Livsforsikring'!G23+'Frende Skadeforsikring'!G23+'Gjensidige Forsikring'!G23+'Gjensidige Pensjon'!G23+'Handelsbanken Liv'!G23+'If Skadeforsikring NUF'!G23+KLP!G23+'KLP Skadeforsikring AS'!G23+'Landkreditt Forsikring'!G23+'Nordea Liv '!G23+'Oslo Pensjonsforsikring'!G23+'Protector Forsikring'!G23+'SHB Liv'!G23+'Sparebank 1 Forsikring'!G23+'Storebrand Livsforsikring'!G23+'Telenor Forsikring'!G23+'Tryg Forsikring'!G23+'WaterCircles F'!G23+'Codan Forsikring'!G23+'Euro Accident'!G23+'Ly Forsikring'!G23+'Youplus Livsforsikring'!G23</f>
        <v>12436.926599999999</v>
      </c>
      <c r="G23" s="166">
        <f>IF($A$1=4,IF(E23=0, "    ---- ", IF(ABS(ROUND(100/E23*F23-100,1))&lt;999,ROUND(100/E23*F23-100,1),IF(ROUND(100/E23*F23-100,1)&gt;999,999,-999))),"")</f>
        <v>-35</v>
      </c>
      <c r="H23" s="234">
        <f t="shared" ref="H23:H39" si="9">SUM(B23,E23)</f>
        <v>565230.52310826117</v>
      </c>
      <c r="I23" s="44">
        <f t="shared" si="7"/>
        <v>600297.01864620554</v>
      </c>
      <c r="J23" s="23">
        <f t="shared" si="8"/>
        <v>6.2</v>
      </c>
    </row>
    <row r="24" spans="1:11" ht="15.75" customHeight="1" x14ac:dyDescent="0.2">
      <c r="A24" s="509" t="s">
        <v>352</v>
      </c>
      <c r="B24" s="44">
        <f>'Fremtind Livsforsikring'!B24+'Storebrand Danica Pensjon'!B24+'DNB Livsforsikring'!B24+'Eika Forsikring AS'!B24+'Frende Livsforsikring'!B24+'Frende Skadeforsikring'!B24+'Gjensidige Forsikring'!B24+'Gjensidige Pensjon'!B24+'Handelsbanken Liv'!B24+'If Skadeforsikring NUF'!B24+KLP!B24+'KLP Skadeforsikring AS'!B24+'Landkreditt Forsikring'!B24+'Nordea Liv '!B24+'Oslo Pensjonsforsikring'!B24+'Protector Forsikring'!B24+'SHB Liv'!B24+'Sparebank 1 Forsikring'!B24+'Storebrand Livsforsikring'!B24+'Telenor Forsikring'!B24+'Tryg Forsikring'!B24+'WaterCircles F'!B24+'Codan Forsikring'!B24+'Euro Accident'!B24+'Ly Forsikring'!B24+'Youplus Livsforsikring'!B24</f>
        <v>4893.9427685989203</v>
      </c>
      <c r="C24" s="44">
        <f>'Fremtind Livsforsikring'!C24+'Storebrand Danica Pensjon'!C24+'DNB Livsforsikring'!C24+'Eika Forsikring AS'!C24+'Frende Livsforsikring'!C24+'Frende Skadeforsikring'!C24+'Gjensidige Forsikring'!C24+'Gjensidige Pensjon'!C24+'Handelsbanken Liv'!C24+'If Skadeforsikring NUF'!C24+KLP!C24+'KLP Skadeforsikring AS'!C24+'Landkreditt Forsikring'!C24+'Nordea Liv '!C24+'Oslo Pensjonsforsikring'!C24+'Protector Forsikring'!C24+'SHB Liv'!C24+'Sparebank 1 Forsikring'!C24+'Storebrand Livsforsikring'!C24+'Telenor Forsikring'!C24+'Tryg Forsikring'!C24+'WaterCircles F'!C24+'Codan Forsikring'!C24+'Euro Accident'!C24+'Ly Forsikring'!C24+'Youplus Livsforsikring'!C24</f>
        <v>2250.5930131277701</v>
      </c>
      <c r="D24" s="27">
        <f t="shared" ref="D24:D25" si="10">IF($A$1=4,IF(B24=0, "    ---- ", IF(ABS(ROUND(100/B24*C24-100,1))&lt;999,ROUND(100/B24*C24-100,1),IF(ROUND(100/B24*C24-100,1)&gt;999,999,-999))),"")</f>
        <v>-54</v>
      </c>
      <c r="E24" s="44">
        <f>'Fremtind Livsforsikring'!F24+'Storebrand Danica Pensjon'!F24+'DNB Livsforsikring'!F24+'Eika Forsikring AS'!F24+'Frende Livsforsikring'!F24+'Frende Skadeforsikring'!F24+'Gjensidige Forsikring'!F24+'Gjensidige Pensjon'!F24+'Handelsbanken Liv'!F24+'If Skadeforsikring NUF'!F24+KLP!F24+'KLP Skadeforsikring AS'!F24+'Landkreditt Forsikring'!F24+'Nordea Liv '!F24+'Oslo Pensjonsforsikring'!F24+'Protector Forsikring'!F24+'SHB Liv'!F24+'Sparebank 1 Forsikring'!F24+'Storebrand Livsforsikring'!F24+'Telenor Forsikring'!F24+'Tryg Forsikring'!F24+'WaterCircles F'!F24+'Codan Forsikring'!F24+'Euro Accident'!F24+'Ly Forsikring'!F24+'Youplus Livsforsikring'!F24</f>
        <v>170.92162999999999</v>
      </c>
      <c r="F24" s="44">
        <f>'Fremtind Livsforsikring'!G24+'Storebrand Danica Pensjon'!G24+'DNB Livsforsikring'!G24+'Eika Forsikring AS'!G24+'Frende Livsforsikring'!G24+'Frende Skadeforsikring'!G24+'Gjensidige Forsikring'!G24+'Gjensidige Pensjon'!G24+'Handelsbanken Liv'!G24+'If Skadeforsikring NUF'!G24+KLP!G24+'KLP Skadeforsikring AS'!G24+'Landkreditt Forsikring'!G24+'Nordea Liv '!G24+'Oslo Pensjonsforsikring'!G24+'Protector Forsikring'!G24+'SHB Liv'!G24+'Sparebank 1 Forsikring'!G24+'Storebrand Livsforsikring'!G24+'Telenor Forsikring'!G24+'Tryg Forsikring'!G24+'WaterCircles F'!G24+'Codan Forsikring'!G24+'Euro Accident'!G24+'Ly Forsikring'!G24+'Youplus Livsforsikring'!G24</f>
        <v>216</v>
      </c>
      <c r="G24" s="166">
        <f t="shared" ref="G24:G25" si="11">IF($A$1=4,IF(E24=0, "    ---- ", IF(ABS(ROUND(100/E24*F24-100,1))&lt;999,ROUND(100/E24*F24-100,1),IF(ROUND(100/E24*F24-100,1)&gt;999,999,-999))),"")</f>
        <v>26.4</v>
      </c>
      <c r="H24" s="234">
        <f t="shared" si="9"/>
        <v>5064.8643985989202</v>
      </c>
      <c r="I24" s="44">
        <f t="shared" si="7"/>
        <v>2466.5930131277701</v>
      </c>
      <c r="J24" s="11">
        <f t="shared" si="8"/>
        <v>-51.3</v>
      </c>
    </row>
    <row r="25" spans="1:11" ht="15.75" customHeight="1" x14ac:dyDescent="0.2">
      <c r="A25" s="509" t="s">
        <v>353</v>
      </c>
      <c r="B25" s="44">
        <f>'Fremtind Livsforsikring'!B25+'Storebrand Danica Pensjon'!B25+'DNB Livsforsikring'!B25+'Eika Forsikring AS'!B25+'Frende Livsforsikring'!B25+'Frende Skadeforsikring'!B25+'Gjensidige Forsikring'!B25+'Gjensidige Pensjon'!B25+'Handelsbanken Liv'!B25+'If Skadeforsikring NUF'!B25+KLP!B25+'KLP Skadeforsikring AS'!B25+'Landkreditt Forsikring'!B25+'Nordea Liv '!B25+'Oslo Pensjonsforsikring'!B25+'Protector Forsikring'!B25+'SHB Liv'!B25+'Sparebank 1 Forsikring'!B25+'Storebrand Livsforsikring'!B25+'Telenor Forsikring'!B25+'Tryg Forsikring'!B25+'WaterCircles F'!B25+'Codan Forsikring'!B25+'Euro Accident'!B25+'Ly Forsikring'!B25+'Youplus Livsforsikring'!B25</f>
        <v>7496.21141346685</v>
      </c>
      <c r="C25" s="44">
        <f>'Fremtind Livsforsikring'!C25+'Storebrand Danica Pensjon'!C25+'DNB Livsforsikring'!C25+'Eika Forsikring AS'!C25+'Frende Livsforsikring'!C25+'Frende Skadeforsikring'!C25+'Gjensidige Forsikring'!C25+'Gjensidige Pensjon'!C25+'Handelsbanken Liv'!C25+'If Skadeforsikring NUF'!C25+KLP!C25+'KLP Skadeforsikring AS'!C25+'Landkreditt Forsikring'!C25+'Nordea Liv '!C25+'Oslo Pensjonsforsikring'!C25+'Protector Forsikring'!C25+'SHB Liv'!C25+'Sparebank 1 Forsikring'!C25+'Storebrand Livsforsikring'!C25+'Telenor Forsikring'!C25+'Tryg Forsikring'!C25+'WaterCircles F'!C25+'Codan Forsikring'!C25+'Euro Accident'!C25+'Ly Forsikring'!C25+'Youplus Livsforsikring'!C25</f>
        <v>3594.2890000000002</v>
      </c>
      <c r="D25" s="27">
        <f t="shared" si="10"/>
        <v>-52.1</v>
      </c>
      <c r="E25" s="44">
        <f>'Fremtind Livsforsikring'!F25+'Storebrand Danica Pensjon'!F25+'DNB Livsforsikring'!F25+'Eika Forsikring AS'!F25+'Frende Livsforsikring'!F25+'Frende Skadeforsikring'!F25+'Gjensidige Forsikring'!F25+'Gjensidige Pensjon'!F25+'Handelsbanken Liv'!F25+'If Skadeforsikring NUF'!F25+KLP!F25+'KLP Skadeforsikring AS'!F25+'Landkreditt Forsikring'!F25+'Nordea Liv '!F25+'Oslo Pensjonsforsikring'!F25+'Protector Forsikring'!F25+'SHB Liv'!F25+'Sparebank 1 Forsikring'!F25+'Storebrand Livsforsikring'!F25+'Telenor Forsikring'!F25+'Tryg Forsikring'!F25+'WaterCircles F'!F25+'Codan Forsikring'!F25+'Euro Accident'!F25+'Ly Forsikring'!F25+'Youplus Livsforsikring'!F25</f>
        <v>4546.2729499999987</v>
      </c>
      <c r="F25" s="44">
        <f>'Fremtind Livsforsikring'!G25+'Storebrand Danica Pensjon'!G25+'DNB Livsforsikring'!G25+'Eika Forsikring AS'!G25+'Frende Livsforsikring'!G25+'Frende Skadeforsikring'!G25+'Gjensidige Forsikring'!G25+'Gjensidige Pensjon'!G25+'Handelsbanken Liv'!G25+'If Skadeforsikring NUF'!G25+KLP!G25+'KLP Skadeforsikring AS'!G25+'Landkreditt Forsikring'!G25+'Nordea Liv '!G25+'Oslo Pensjonsforsikring'!G25+'Protector Forsikring'!G25+'SHB Liv'!G25+'Sparebank 1 Forsikring'!G25+'Storebrand Livsforsikring'!G25+'Telenor Forsikring'!G25+'Tryg Forsikring'!G25+'WaterCircles F'!G25+'Codan Forsikring'!G25+'Euro Accident'!G25+'Ly Forsikring'!G25+'Youplus Livsforsikring'!G25</f>
        <v>4172.0167099999999</v>
      </c>
      <c r="G25" s="166">
        <f t="shared" si="11"/>
        <v>-8.1999999999999993</v>
      </c>
      <c r="H25" s="234">
        <f t="shared" si="9"/>
        <v>12042.484363466849</v>
      </c>
      <c r="I25" s="44">
        <f t="shared" si="7"/>
        <v>7766.3057100000005</v>
      </c>
      <c r="J25" s="27">
        <f t="shared" si="8"/>
        <v>-35.5</v>
      </c>
    </row>
    <row r="26" spans="1:11" ht="15.75" customHeight="1" x14ac:dyDescent="0.2">
      <c r="A26" s="509" t="s">
        <v>354</v>
      </c>
      <c r="B26" s="44"/>
      <c r="C26" s="44"/>
      <c r="D26" s="27"/>
      <c r="E26" s="44">
        <f>'Fremtind Livsforsikring'!F26+'Storebrand Danica Pensjon'!F26+'DNB Livsforsikring'!F26+'Eika Forsikring AS'!F26+'Frende Livsforsikring'!F26+'Frende Skadeforsikring'!F26+'Gjensidige Forsikring'!F26+'Gjensidige Pensjon'!F26+'Handelsbanken Liv'!F26+'If Skadeforsikring NUF'!F26+KLP!F26+'KLP Skadeforsikring AS'!F26+'Landkreditt Forsikring'!F26+'Nordea Liv '!F26+'Oslo Pensjonsforsikring'!F26+'Protector Forsikring'!F26+'SHB Liv'!F26+'Sparebank 1 Forsikring'!F26+'Storebrand Livsforsikring'!F26+'Telenor Forsikring'!F26+'Tryg Forsikring'!F26+'WaterCircles F'!F26+'Codan Forsikring'!F26+'Euro Accident'!F26+'Ly Forsikring'!F26+'Youplus Livsforsikring'!F26</f>
        <v>249535.85887</v>
      </c>
      <c r="F26" s="44">
        <f>'Fremtind Livsforsikring'!G26+'Storebrand Danica Pensjon'!G26+'DNB Livsforsikring'!G26+'Eika Forsikring AS'!G26+'Frende Livsforsikring'!G26+'Frende Skadeforsikring'!G26+'Gjensidige Forsikring'!G26+'Gjensidige Pensjon'!G26+'Handelsbanken Liv'!G26+'If Skadeforsikring NUF'!G26+KLP!G26+'KLP Skadeforsikring AS'!G26+'Landkreditt Forsikring'!G26+'Nordea Liv '!G26+'Oslo Pensjonsforsikring'!G26+'Protector Forsikring'!G26+'SHB Liv'!G26+'Sparebank 1 Forsikring'!G26+'Storebrand Livsforsikring'!G26+'Telenor Forsikring'!G26+'Tryg Forsikring'!G26+'WaterCircles F'!G26+'Codan Forsikring'!G26+'Euro Accident'!G26+'Ly Forsikring'!G26+'Youplus Livsforsikring'!G26</f>
        <v>215855.80593999999</v>
      </c>
      <c r="G26" s="166">
        <f t="shared" ref="G26" si="12">IF($A$1=4,IF(E26=0, "    ---- ", IF(ABS(ROUND(100/E26*F26-100,1))&lt;999,ROUND(100/E26*F26-100,1),IF(ROUND(100/E26*F26-100,1)&gt;999,999,-999))),"")</f>
        <v>-13.5</v>
      </c>
      <c r="H26" s="234">
        <f t="shared" ref="H26" si="13">SUM(B26,E26)</f>
        <v>249535.85887</v>
      </c>
      <c r="I26" s="44">
        <f t="shared" ref="I26" si="14">SUM(C26,F26)</f>
        <v>215855.80593999999</v>
      </c>
      <c r="J26" s="27">
        <f t="shared" ref="J26" si="15">IF(H26=0, "    ---- ", IF(ABS(ROUND(100/H26*I26-100,1))&lt;999,ROUND(100/H26*I26-100,1),IF(ROUND(100/H26*I26-100,1)&gt;999,999,-999)))</f>
        <v>-13.5</v>
      </c>
    </row>
    <row r="27" spans="1:11" ht="15.75" customHeight="1" x14ac:dyDescent="0.2">
      <c r="A27" s="507" t="s">
        <v>11</v>
      </c>
      <c r="B27" s="44"/>
      <c r="C27" s="44"/>
      <c r="D27" s="27"/>
      <c r="E27" s="44"/>
      <c r="F27" s="44"/>
      <c r="G27" s="166"/>
      <c r="H27" s="234"/>
      <c r="I27" s="44"/>
      <c r="J27" s="27"/>
    </row>
    <row r="28" spans="1:11" ht="15.75" customHeight="1" x14ac:dyDescent="0.2">
      <c r="A28" s="49" t="s">
        <v>269</v>
      </c>
      <c r="B28" s="44">
        <f>'Fremtind Livsforsikring'!B28+'Storebrand Danica Pensjon'!B28+'DNB Livsforsikring'!B28+'Eika Forsikring AS'!B28+'Frende Livsforsikring'!B28+'Frende Skadeforsikring'!B28+'Gjensidige Forsikring'!B28+'Gjensidige Pensjon'!B28+'Handelsbanken Liv'!B28+'If Skadeforsikring NUF'!B28+KLP!B28+'KLP Skadeforsikring AS'!B28+'Landkreditt Forsikring'!B28+'Nordea Liv '!B28+'Oslo Pensjonsforsikring'!B28+'Protector Forsikring'!B28+'SHB Liv'!B28+'Sparebank 1 Forsikring'!B28+'Storebrand Livsforsikring'!B28+'Telenor Forsikring'!B28+'Tryg Forsikring'!B28+'WaterCircles F'!B28+'Codan Forsikring'!B28+'Euro Accident'!B28+'Ly Forsikring'!B28+'Youplus Livsforsikring'!B28</f>
        <v>838840.45714362303</v>
      </c>
      <c r="C28" s="44">
        <f>'Fremtind Livsforsikring'!C28+'Storebrand Danica Pensjon'!C28+'DNB Livsforsikring'!C28+'Eika Forsikring AS'!C28+'Frende Livsforsikring'!C28+'Frende Skadeforsikring'!C28+'Gjensidige Forsikring'!C28+'Gjensidige Pensjon'!C28+'Handelsbanken Liv'!C28+'If Skadeforsikring NUF'!C28+KLP!C28+'KLP Skadeforsikring AS'!C28+'Landkreditt Forsikring'!C28+'Nordea Liv '!C28+'Oslo Pensjonsforsikring'!C28+'Protector Forsikring'!C28+'SHB Liv'!C28+'Sparebank 1 Forsikring'!C28+'Storebrand Livsforsikring'!C28+'Telenor Forsikring'!C28+'Tryg Forsikring'!C28+'WaterCircles F'!C28+'Codan Forsikring'!C28+'Euro Accident'!C28+'Ly Forsikring'!C28+'Youplus Livsforsikring'!C28</f>
        <v>949506.77359984396</v>
      </c>
      <c r="D28" s="23">
        <f t="shared" si="5"/>
        <v>13.2</v>
      </c>
      <c r="E28" s="187"/>
      <c r="F28" s="187"/>
      <c r="G28" s="166"/>
      <c r="H28" s="234">
        <f t="shared" si="9"/>
        <v>838840.45714362303</v>
      </c>
      <c r="I28" s="44">
        <f t="shared" si="7"/>
        <v>949506.77359984396</v>
      </c>
      <c r="J28" s="23">
        <f t="shared" si="8"/>
        <v>13.2</v>
      </c>
      <c r="K28" s="3"/>
    </row>
    <row r="29" spans="1:11" s="417" customFormat="1" ht="15.75" customHeight="1" x14ac:dyDescent="0.2">
      <c r="A29" s="39" t="s">
        <v>355</v>
      </c>
      <c r="B29" s="236">
        <f>'Fremtind Livsforsikring'!B29+'Storebrand Danica Pensjon'!B29+'DNB Livsforsikring'!B29+'Eika Forsikring AS'!B29+'Frende Livsforsikring'!B29+'Frende Skadeforsikring'!B29+'Gjensidige Forsikring'!B29+'Gjensidige Pensjon'!B29+'Handelsbanken Liv'!B29+'If Skadeforsikring NUF'!B29+KLP!B29+'KLP Skadeforsikring AS'!B29+'Landkreditt Forsikring'!B29+'Nordea Liv '!B29+'Oslo Pensjonsforsikring'!B29+'Protector Forsikring'!B29+'SHB Liv'!B29+'Sparebank 1 Forsikring'!B29+'Storebrand Livsforsikring'!B29+'Telenor Forsikring'!B29+'Tryg Forsikring'!B29+'WaterCircles F'!B29+'Codan Forsikring'!B29+'Euro Accident'!B29+'Ly Forsikring'!B29+'Youplus Livsforsikring'!B29</f>
        <v>45439786.669384629</v>
      </c>
      <c r="C29" s="236">
        <f>'Fremtind Livsforsikring'!C29+'Storebrand Danica Pensjon'!C29+'DNB Livsforsikring'!C29+'Eika Forsikring AS'!C29+'Frende Livsforsikring'!C29+'Frende Skadeforsikring'!C29+'Gjensidige Forsikring'!C29+'Gjensidige Pensjon'!C29+'Handelsbanken Liv'!C29+'If Skadeforsikring NUF'!C29+KLP!C29+'KLP Skadeforsikring AS'!C29+'Landkreditt Forsikring'!C29+'Nordea Liv '!C29+'Oslo Pensjonsforsikring'!C29+'Protector Forsikring'!C29+'SHB Liv'!C29+'Sparebank 1 Forsikring'!C29+'Storebrand Livsforsikring'!C29+'Telenor Forsikring'!C29+'Tryg Forsikring'!C29+'WaterCircles F'!C29+'Codan Forsikring'!C29+'Euro Accident'!C29+'Ly Forsikring'!C29+'Youplus Livsforsikring'!C29</f>
        <v>44128806.218797386</v>
      </c>
      <c r="D29" s="24">
        <f t="shared" si="5"/>
        <v>-2.9</v>
      </c>
      <c r="E29" s="311">
        <f>'Fremtind Livsforsikring'!F29+'Storebrand Danica Pensjon'!F29+'DNB Livsforsikring'!F29+'Eika Forsikring AS'!F29+'Frende Livsforsikring'!F29+'Frende Skadeforsikring'!F29+'Gjensidige Forsikring'!F29+'Gjensidige Pensjon'!F29+'Handelsbanken Liv'!F29+'If Skadeforsikring NUF'!F29+KLP!F29+'KLP Skadeforsikring AS'!F29+'Landkreditt Forsikring'!F29+'Nordea Liv '!F29+'Oslo Pensjonsforsikring'!F29+'Protector Forsikring'!F29+'SHB Liv'!F29+'Sparebank 1 Forsikring'!F29+'Storebrand Livsforsikring'!F29+'Telenor Forsikring'!F29+'Tryg Forsikring'!F29+'WaterCircles F'!F29+'Codan Forsikring'!F29+'Euro Accident'!F29+'Ly Forsikring'!F29+'Youplus Livsforsikring'!F29</f>
        <v>25266915.540480003</v>
      </c>
      <c r="F29" s="311">
        <f>'Fremtind Livsforsikring'!G29+'Storebrand Danica Pensjon'!G29+'DNB Livsforsikring'!G29+'Eika Forsikring AS'!G29+'Frende Livsforsikring'!G29+'Frende Skadeforsikring'!G29+'Gjensidige Forsikring'!G29+'Gjensidige Pensjon'!G29+'Handelsbanken Liv'!G29+'If Skadeforsikring NUF'!G29+KLP!G29+'KLP Skadeforsikring AS'!G29+'Landkreditt Forsikring'!G29+'Nordea Liv '!G29+'Oslo Pensjonsforsikring'!G29+'Protector Forsikring'!G29+'SHB Liv'!G29+'Sparebank 1 Forsikring'!G29+'Storebrand Livsforsikring'!G29+'Telenor Forsikring'!G29+'Tryg Forsikring'!G29+'WaterCircles F'!G29+'Codan Forsikring'!G29+'Euro Accident'!G29+'Ly Forsikring'!G29+'Youplus Livsforsikring'!G29</f>
        <v>24814782.459380001</v>
      </c>
      <c r="G29" s="171">
        <f t="shared" si="6"/>
        <v>-1.8</v>
      </c>
      <c r="H29" s="311">
        <f t="shared" si="9"/>
        <v>70706702.209864631</v>
      </c>
      <c r="I29" s="236">
        <f t="shared" si="7"/>
        <v>68943588.678177387</v>
      </c>
      <c r="J29" s="24">
        <f t="shared" si="8"/>
        <v>-2.5</v>
      </c>
    </row>
    <row r="30" spans="1:11" s="3" customFormat="1" ht="15.75" customHeight="1" x14ac:dyDescent="0.2">
      <c r="A30" s="509" t="s">
        <v>351</v>
      </c>
      <c r="B30" s="44">
        <f>'Fremtind Livsforsikring'!B30+'Storebrand Danica Pensjon'!B30+'DNB Livsforsikring'!B30+'Eika Forsikring AS'!B30+'Frende Livsforsikring'!B30+'Frende Skadeforsikring'!B30+'Gjensidige Forsikring'!B30+'Gjensidige Pensjon'!B30+'Handelsbanken Liv'!B30+'If Skadeforsikring NUF'!B30+KLP!B30+'KLP Skadeforsikring AS'!B30+'Landkreditt Forsikring'!B30+'Nordea Liv '!B30+'Oslo Pensjonsforsikring'!B30+'Protector Forsikring'!B30+'SHB Liv'!B30+'Sparebank 1 Forsikring'!B30+'Storebrand Livsforsikring'!B30+'Telenor Forsikring'!B30+'Tryg Forsikring'!B30+'WaterCircles F'!B30+'Codan Forsikring'!B30+'Euro Accident'!B30+'Ly Forsikring'!B30+'Youplus Livsforsikring'!B30</f>
        <v>12961447.490622716</v>
      </c>
      <c r="C30" s="44">
        <f>'Fremtind Livsforsikring'!C30+'Storebrand Danica Pensjon'!C30+'DNB Livsforsikring'!C30+'Eika Forsikring AS'!C30+'Frende Livsforsikring'!C30+'Frende Skadeforsikring'!C30+'Gjensidige Forsikring'!C30+'Gjensidige Pensjon'!C30+'Handelsbanken Liv'!C30+'If Skadeforsikring NUF'!C30+KLP!C30+'KLP Skadeforsikring AS'!C30+'Landkreditt Forsikring'!C30+'Nordea Liv '!C30+'Oslo Pensjonsforsikring'!C30+'Protector Forsikring'!C30+'SHB Liv'!C30+'Sparebank 1 Forsikring'!C30+'Storebrand Livsforsikring'!C30+'Telenor Forsikring'!C30+'Tryg Forsikring'!C30+'WaterCircles F'!C30+'Codan Forsikring'!C30+'Euro Accident'!C30+'Ly Forsikring'!C30+'Youplus Livsforsikring'!C30</f>
        <v>17442226.152933218</v>
      </c>
      <c r="D30" s="27">
        <f t="shared" ref="D30:D32" si="16">IF($A$1=4,IF(B30=0, "    ---- ", IF(ABS(ROUND(100/B30*C30-100,1))&lt;999,ROUND(100/B30*C30-100,1),IF(ROUND(100/B30*C30-100,1)&gt;999,999,-999))),"")</f>
        <v>34.6</v>
      </c>
      <c r="E30" s="44">
        <f>'Fremtind Livsforsikring'!F30+'Storebrand Danica Pensjon'!F30+'DNB Livsforsikring'!F30+'Eika Forsikring AS'!F30+'Frende Livsforsikring'!F30+'Frende Skadeforsikring'!F30+'Gjensidige Forsikring'!F30+'Gjensidige Pensjon'!F30+'Handelsbanken Liv'!F30+'If Skadeforsikring NUF'!F30+KLP!F30+'KLP Skadeforsikring AS'!F30+'Landkreditt Forsikring'!F30+'Nordea Liv '!F30+'Oslo Pensjonsforsikring'!F30+'Protector Forsikring'!F30+'SHB Liv'!F30+'Sparebank 1 Forsikring'!F30+'Storebrand Livsforsikring'!F30+'Telenor Forsikring'!F30+'Tryg Forsikring'!F30+'WaterCircles F'!F30+'Codan Forsikring'!F30+'Euro Accident'!F30+'Ly Forsikring'!F30+'Youplus Livsforsikring'!F30</f>
        <v>3811176.2602476408</v>
      </c>
      <c r="F30" s="44">
        <f>'Fremtind Livsforsikring'!G30+'Storebrand Danica Pensjon'!G30+'DNB Livsforsikring'!G30+'Eika Forsikring AS'!G30+'Frende Livsforsikring'!G30+'Frende Skadeforsikring'!G30+'Gjensidige Forsikring'!G30+'Gjensidige Pensjon'!G30+'Handelsbanken Liv'!G30+'If Skadeforsikring NUF'!G30+KLP!G30+'KLP Skadeforsikring AS'!G30+'Landkreditt Forsikring'!G30+'Nordea Liv '!G30+'Oslo Pensjonsforsikring'!G30+'Protector Forsikring'!G30+'SHB Liv'!G30+'Sparebank 1 Forsikring'!G30+'Storebrand Livsforsikring'!G30+'Telenor Forsikring'!G30+'Tryg Forsikring'!G30+'WaterCircles F'!G30+'Codan Forsikring'!G30+'Euro Accident'!G30+'Ly Forsikring'!G30+'Youplus Livsforsikring'!G30</f>
        <v>3500821.1449039681</v>
      </c>
      <c r="G30" s="166">
        <f t="shared" ref="G30:G32" si="17">IF($A$1=4,IF(E30=0, "    ---- ", IF(ABS(ROUND(100/E30*F30-100,1))&lt;999,ROUND(100/E30*F30-100,1),IF(ROUND(100/E30*F30-100,1)&gt;999,999,-999))),"")</f>
        <v>-8.1</v>
      </c>
      <c r="H30" s="234">
        <f t="shared" si="9"/>
        <v>16772623.750870356</v>
      </c>
      <c r="I30" s="44">
        <f t="shared" si="7"/>
        <v>20943047.297837187</v>
      </c>
      <c r="J30" s="23">
        <f t="shared" si="8"/>
        <v>24.9</v>
      </c>
    </row>
    <row r="31" spans="1:11" s="3" customFormat="1" ht="15.75" customHeight="1" x14ac:dyDescent="0.2">
      <c r="A31" s="509" t="s">
        <v>352</v>
      </c>
      <c r="B31" s="44">
        <f>'Fremtind Livsforsikring'!B31+'Storebrand Danica Pensjon'!B31+'DNB Livsforsikring'!B31+'Eika Forsikring AS'!B31+'Frende Livsforsikring'!B31+'Frende Skadeforsikring'!B31+'Gjensidige Forsikring'!B31+'Gjensidige Pensjon'!B31+'Handelsbanken Liv'!B31+'If Skadeforsikring NUF'!B31+KLP!B31+'KLP Skadeforsikring AS'!B31+'Landkreditt Forsikring'!B31+'Nordea Liv '!B31+'Oslo Pensjonsforsikring'!B31+'Protector Forsikring'!B31+'SHB Liv'!B31+'Sparebank 1 Forsikring'!B31+'Storebrand Livsforsikring'!B31+'Telenor Forsikring'!B31+'Tryg Forsikring'!B31+'WaterCircles F'!B31+'Codan Forsikring'!B31+'Euro Accident'!B31+'Ly Forsikring'!B31+'Youplus Livsforsikring'!B31</f>
        <v>26028844.02188202</v>
      </c>
      <c r="C31" s="44">
        <f>'Fremtind Livsforsikring'!C31+'Storebrand Danica Pensjon'!C31+'DNB Livsforsikring'!C31+'Eika Forsikring AS'!C31+'Frende Livsforsikring'!C31+'Frende Skadeforsikring'!C31+'Gjensidige Forsikring'!C31+'Gjensidige Pensjon'!C31+'Handelsbanken Liv'!C31+'If Skadeforsikring NUF'!C31+KLP!C31+'KLP Skadeforsikring AS'!C31+'Landkreditt Forsikring'!C31+'Nordea Liv '!C31+'Oslo Pensjonsforsikring'!C31+'Protector Forsikring'!C31+'SHB Liv'!C31+'Sparebank 1 Forsikring'!C31+'Storebrand Livsforsikring'!C31+'Telenor Forsikring'!C31+'Tryg Forsikring'!C31+'WaterCircles F'!C31+'Codan Forsikring'!C31+'Euro Accident'!C31+'Ly Forsikring'!C31+'Youplus Livsforsikring'!C31</f>
        <v>23921055.558879532</v>
      </c>
      <c r="D31" s="27">
        <f t="shared" si="16"/>
        <v>-8.1</v>
      </c>
      <c r="E31" s="44">
        <f>'Fremtind Livsforsikring'!F31+'Storebrand Danica Pensjon'!F31+'DNB Livsforsikring'!F31+'Eika Forsikring AS'!F31+'Frende Livsforsikring'!F31+'Frende Skadeforsikring'!F31+'Gjensidige Forsikring'!F31+'Gjensidige Pensjon'!F31+'Handelsbanken Liv'!F31+'If Skadeforsikring NUF'!F31+KLP!F31+'KLP Skadeforsikring AS'!F31+'Landkreditt Forsikring'!F31+'Nordea Liv '!F31+'Oslo Pensjonsforsikring'!F31+'Protector Forsikring'!F31+'SHB Liv'!F31+'Sparebank 1 Forsikring'!F31+'Storebrand Livsforsikring'!F31+'Telenor Forsikring'!F31+'Tryg Forsikring'!F31+'WaterCircles F'!F31+'Codan Forsikring'!F31+'Euro Accident'!F31+'Ly Forsikring'!F31+'Youplus Livsforsikring'!F31</f>
        <v>8632125.82140534</v>
      </c>
      <c r="F31" s="44">
        <f>'Fremtind Livsforsikring'!G31+'Storebrand Danica Pensjon'!G31+'DNB Livsforsikring'!G31+'Eika Forsikring AS'!G31+'Frende Livsforsikring'!G31+'Frende Skadeforsikring'!G31+'Gjensidige Forsikring'!G31+'Gjensidige Pensjon'!G31+'Handelsbanken Liv'!G31+'If Skadeforsikring NUF'!G31+KLP!G31+'KLP Skadeforsikring AS'!G31+'Landkreditt Forsikring'!G31+'Nordea Liv '!G31+'Oslo Pensjonsforsikring'!G31+'Protector Forsikring'!G31+'SHB Liv'!G31+'Sparebank 1 Forsikring'!G31+'Storebrand Livsforsikring'!G31+'Telenor Forsikring'!G31+'Tryg Forsikring'!G31+'WaterCircles F'!G31+'Codan Forsikring'!G31+'Euro Accident'!G31+'Ly Forsikring'!G31+'Youplus Livsforsikring'!G31</f>
        <v>7639101.2781338384</v>
      </c>
      <c r="G31" s="166">
        <f t="shared" si="17"/>
        <v>-11.5</v>
      </c>
      <c r="H31" s="234">
        <f t="shared" si="9"/>
        <v>34660969.843287364</v>
      </c>
      <c r="I31" s="44">
        <f t="shared" si="7"/>
        <v>31560156.837013371</v>
      </c>
      <c r="J31" s="23">
        <f t="shared" si="8"/>
        <v>-8.9</v>
      </c>
    </row>
    <row r="32" spans="1:11" ht="15.75" customHeight="1" x14ac:dyDescent="0.2">
      <c r="A32" s="509" t="s">
        <v>353</v>
      </c>
      <c r="B32" s="44">
        <f>'Fremtind Livsforsikring'!B32+'Storebrand Danica Pensjon'!B32+'DNB Livsforsikring'!B32+'Eika Forsikring AS'!B32+'Frende Livsforsikring'!B32+'Frende Skadeforsikring'!B32+'Gjensidige Forsikring'!B32+'Gjensidige Pensjon'!B32+'Handelsbanken Liv'!B32+'If Skadeforsikring NUF'!B32+KLP!B32+'KLP Skadeforsikring AS'!B32+'Landkreditt Forsikring'!B32+'Nordea Liv '!B32+'Oslo Pensjonsforsikring'!B32+'Protector Forsikring'!B32+'SHB Liv'!B32+'Sparebank 1 Forsikring'!B32+'Storebrand Livsforsikring'!B32+'Telenor Forsikring'!B32+'Tryg Forsikring'!B32+'WaterCircles F'!B32+'Codan Forsikring'!B32+'Euro Accident'!B32+'Ly Forsikring'!B32+'Youplus Livsforsikring'!B32</f>
        <v>2423256.1267799102</v>
      </c>
      <c r="C32" s="44">
        <f>'Fremtind Livsforsikring'!C32+'Storebrand Danica Pensjon'!C32+'DNB Livsforsikring'!C32+'Eika Forsikring AS'!C32+'Frende Livsforsikring'!C32+'Frende Skadeforsikring'!C32+'Gjensidige Forsikring'!C32+'Gjensidige Pensjon'!C32+'Handelsbanken Liv'!C32+'If Skadeforsikring NUF'!C32+KLP!C32+'KLP Skadeforsikring AS'!C32+'Landkreditt Forsikring'!C32+'Nordea Liv '!C32+'Oslo Pensjonsforsikring'!C32+'Protector Forsikring'!C32+'SHB Liv'!C32+'Sparebank 1 Forsikring'!C32+'Storebrand Livsforsikring'!C32+'Telenor Forsikring'!C32+'Tryg Forsikring'!C32+'WaterCircles F'!C32+'Codan Forsikring'!C32+'Euro Accident'!C32+'Ly Forsikring'!C32+'Youplus Livsforsikring'!C32</f>
        <v>2505082.2449845942</v>
      </c>
      <c r="D32" s="27">
        <f t="shared" si="16"/>
        <v>3.4</v>
      </c>
      <c r="E32" s="44">
        <f>'Fremtind Livsforsikring'!F32+'Storebrand Danica Pensjon'!F32+'DNB Livsforsikring'!F32+'Eika Forsikring AS'!F32+'Frende Livsforsikring'!F32+'Frende Skadeforsikring'!F32+'Gjensidige Forsikring'!F32+'Gjensidige Pensjon'!F32+'Handelsbanken Liv'!F32+'If Skadeforsikring NUF'!F32+KLP!F32+'KLP Skadeforsikring AS'!F32+'Landkreditt Forsikring'!F32+'Nordea Liv '!F32+'Oslo Pensjonsforsikring'!F32+'Protector Forsikring'!F32+'SHB Liv'!F32+'Sparebank 1 Forsikring'!F32+'Storebrand Livsforsikring'!F32+'Telenor Forsikring'!F32+'Tryg Forsikring'!F32+'WaterCircles F'!F32+'Codan Forsikring'!F32+'Euro Accident'!F32+'Ly Forsikring'!F32+'Youplus Livsforsikring'!F32</f>
        <v>5642164.9323859997</v>
      </c>
      <c r="F32" s="44">
        <f>'Fremtind Livsforsikring'!G32+'Storebrand Danica Pensjon'!G32+'DNB Livsforsikring'!G32+'Eika Forsikring AS'!G32+'Frende Livsforsikring'!G32+'Frende Skadeforsikring'!G32+'Gjensidige Forsikring'!G32+'Gjensidige Pensjon'!G32+'Handelsbanken Liv'!G32+'If Skadeforsikring NUF'!G32+KLP!G32+'KLP Skadeforsikring AS'!G32+'Landkreditt Forsikring'!G32+'Nordea Liv '!G32+'Oslo Pensjonsforsikring'!G32+'Protector Forsikring'!G32+'SHB Liv'!G32+'Sparebank 1 Forsikring'!G32+'Storebrand Livsforsikring'!G32+'Telenor Forsikring'!G32+'Tryg Forsikring'!G32+'WaterCircles F'!G32+'Codan Forsikring'!G32+'Euro Accident'!G32+'Ly Forsikring'!G32+'Youplus Livsforsikring'!G32</f>
        <v>5508959.8326390795</v>
      </c>
      <c r="G32" s="166">
        <f t="shared" si="17"/>
        <v>-2.4</v>
      </c>
      <c r="H32" s="234">
        <f t="shared" si="9"/>
        <v>8065421.0591659099</v>
      </c>
      <c r="I32" s="44">
        <f t="shared" si="7"/>
        <v>8014042.0776236737</v>
      </c>
      <c r="J32" s="24">
        <f t="shared" si="8"/>
        <v>-0.6</v>
      </c>
    </row>
    <row r="33" spans="1:10" ht="15.75" customHeight="1" x14ac:dyDescent="0.2">
      <c r="A33" s="509" t="s">
        <v>354</v>
      </c>
      <c r="B33" s="44"/>
      <c r="C33" s="44"/>
      <c r="D33" s="27"/>
      <c r="E33" s="44">
        <f>'Fremtind Livsforsikring'!F33+'Storebrand Danica Pensjon'!F33+'DNB Livsforsikring'!F33+'Eika Forsikring AS'!F33+'Frende Livsforsikring'!F33+'Frende Skadeforsikring'!F33+'Gjensidige Forsikring'!F33+'Gjensidige Pensjon'!F33+'Handelsbanken Liv'!F33+'If Skadeforsikring NUF'!F33+KLP!F33+'KLP Skadeforsikring AS'!F33+'Landkreditt Forsikring'!F33+'Nordea Liv '!F33+'Oslo Pensjonsforsikring'!F33+'Protector Forsikring'!F33+'SHB Liv'!F33+'Sparebank 1 Forsikring'!F33+'Storebrand Livsforsikring'!F33+'Telenor Forsikring'!F33+'Tryg Forsikring'!F33+'WaterCircles F'!F33+'Codan Forsikring'!F33+'Euro Accident'!F33+'Ly Forsikring'!F33+'Youplus Livsforsikring'!F33</f>
        <v>7205685.7837210195</v>
      </c>
      <c r="F33" s="44">
        <f>'Fremtind Livsforsikring'!G33+'Storebrand Danica Pensjon'!G33+'DNB Livsforsikring'!G33+'Eika Forsikring AS'!G33+'Frende Livsforsikring'!G33+'Frende Skadeforsikring'!G33+'Gjensidige Forsikring'!G33+'Gjensidige Pensjon'!G33+'Handelsbanken Liv'!G33+'If Skadeforsikring NUF'!G33+KLP!G33+'KLP Skadeforsikring AS'!G33+'Landkreditt Forsikring'!G33+'Nordea Liv '!G33+'Oslo Pensjonsforsikring'!G33+'Protector Forsikring'!G33+'SHB Liv'!G33+'Sparebank 1 Forsikring'!G33+'Storebrand Livsforsikring'!G33+'Telenor Forsikring'!G33+'Tryg Forsikring'!G33+'WaterCircles F'!G33+'Codan Forsikring'!G33+'Euro Accident'!G33+'Ly Forsikring'!G33+'Youplus Livsforsikring'!G33</f>
        <v>8165900.203703111</v>
      </c>
      <c r="G33" s="166">
        <f t="shared" ref="G33" si="18">IF($A$1=4,IF(E33=0, "    ---- ", IF(ABS(ROUND(100/E33*F33-100,1))&lt;999,ROUND(100/E33*F33-100,1),IF(ROUND(100/E33*F33-100,1)&gt;999,999,-999))),"")</f>
        <v>13.3</v>
      </c>
      <c r="H33" s="234">
        <f t="shared" ref="H33" si="19">SUM(B33,E33)</f>
        <v>7205685.7837210195</v>
      </c>
      <c r="I33" s="44">
        <f t="shared" ref="I33" si="20">SUM(C33,F33)</f>
        <v>8165900.203703111</v>
      </c>
      <c r="J33" s="24">
        <f t="shared" ref="J33" si="21">IF(H33=0, "    ---- ", IF(ABS(ROUND(100/H33*I33-100,1))&lt;999,ROUND(100/H33*I33-100,1),IF(ROUND(100/H33*I33-100,1)&gt;999,999,-999)))</f>
        <v>13.3</v>
      </c>
    </row>
    <row r="34" spans="1:10" s="43" customFormat="1" ht="15.75" customHeight="1" x14ac:dyDescent="0.2">
      <c r="A34" s="39" t="s">
        <v>349</v>
      </c>
      <c r="B34" s="236">
        <f>'Fremtind Livsforsikring'!B34+'Storebrand Danica Pensjon'!B34+'DNB Livsforsikring'!B34+'Eika Forsikring AS'!B34+'Frende Livsforsikring'!B34+'Frende Skadeforsikring'!B34+'Gjensidige Forsikring'!B34+'Gjensidige Pensjon'!B34+'Handelsbanken Liv'!B34+'If Skadeforsikring NUF'!B34+KLP!B34+'KLP Skadeforsikring AS'!B34+'Landkreditt Forsikring'!B34+'Nordea Liv '!B34+'Oslo Pensjonsforsikring'!B34+'Protector Forsikring'!B34+'SHB Liv'!B34+'Sparebank 1 Forsikring'!B34+'Storebrand Livsforsikring'!B34+'Telenor Forsikring'!B34+'Tryg Forsikring'!B34+'WaterCircles F'!B34+'Codan Forsikring'!B34+'Euro Accident'!B34+'Ly Forsikring'!B34+'Youplus Livsforsikring'!B34</f>
        <v>6142.8929200000002</v>
      </c>
      <c r="C34" s="236">
        <f>'Fremtind Livsforsikring'!C34+'Storebrand Danica Pensjon'!C34+'DNB Livsforsikring'!C34+'Eika Forsikring AS'!C34+'Frende Livsforsikring'!C34+'Frende Skadeforsikring'!C34+'Gjensidige Forsikring'!C34+'Gjensidige Pensjon'!C34+'Handelsbanken Liv'!C34+'If Skadeforsikring NUF'!C34+KLP!C34+'KLP Skadeforsikring AS'!C34+'Landkreditt Forsikring'!C34+'Nordea Liv '!C34+'Oslo Pensjonsforsikring'!C34+'Protector Forsikring'!C34+'SHB Liv'!C34+'Sparebank 1 Forsikring'!C34+'Storebrand Livsforsikring'!C34+'Telenor Forsikring'!C34+'Tryg Forsikring'!C34+'WaterCircles F'!C34+'Codan Forsikring'!C34+'Euro Accident'!C34+'Ly Forsikring'!C34+'Youplus Livsforsikring'!C34</f>
        <v>8687.9259999999995</v>
      </c>
      <c r="D34" s="24">
        <f t="shared" si="5"/>
        <v>41.4</v>
      </c>
      <c r="E34" s="311">
        <f>'Fremtind Livsforsikring'!F34+'Storebrand Danica Pensjon'!F34+'DNB Livsforsikring'!F34+'Eika Forsikring AS'!F34+'Frende Livsforsikring'!F34+'Frende Skadeforsikring'!F34+'Gjensidige Forsikring'!F34+'Gjensidige Pensjon'!F34+'Handelsbanken Liv'!F34+'If Skadeforsikring NUF'!F34+KLP!F34+'KLP Skadeforsikring AS'!F34+'Landkreditt Forsikring'!F34+'Nordea Liv '!F34+'Oslo Pensjonsforsikring'!F34+'Protector Forsikring'!F34+'SHB Liv'!F34+'Sparebank 1 Forsikring'!F34+'Storebrand Livsforsikring'!F34+'Telenor Forsikring'!F34+'Tryg Forsikring'!F34+'WaterCircles F'!F34+'Codan Forsikring'!F34+'Euro Accident'!F34+'Ly Forsikring'!F34+'Youplus Livsforsikring'!F34</f>
        <v>23490.501960000001</v>
      </c>
      <c r="F34" s="311">
        <f>'Fremtind Livsforsikring'!G34+'Storebrand Danica Pensjon'!G34+'DNB Livsforsikring'!G34+'Eika Forsikring AS'!G34+'Frende Livsforsikring'!G34+'Frende Skadeforsikring'!G34+'Gjensidige Forsikring'!G34+'Gjensidige Pensjon'!G34+'Handelsbanken Liv'!G34+'If Skadeforsikring NUF'!G34+KLP!G34+'KLP Skadeforsikring AS'!G34+'Landkreditt Forsikring'!G34+'Nordea Liv '!G34+'Oslo Pensjonsforsikring'!G34+'Protector Forsikring'!G34+'SHB Liv'!G34+'Sparebank 1 Forsikring'!G34+'Storebrand Livsforsikring'!G34+'Telenor Forsikring'!G34+'Tryg Forsikring'!G34+'WaterCircles F'!G34+'Codan Forsikring'!G34+'Euro Accident'!G34+'Ly Forsikring'!G34+'Youplus Livsforsikring'!G34</f>
        <v>9769.1812799999989</v>
      </c>
      <c r="G34" s="171">
        <f t="shared" si="6"/>
        <v>-58.4</v>
      </c>
      <c r="H34" s="311">
        <f t="shared" si="9"/>
        <v>29633.39488</v>
      </c>
      <c r="I34" s="236">
        <f t="shared" si="7"/>
        <v>18457.107279999997</v>
      </c>
      <c r="J34" s="24">
        <f t="shared" si="8"/>
        <v>-37.700000000000003</v>
      </c>
    </row>
    <row r="35" spans="1:10" s="43" customFormat="1" ht="15.75" customHeight="1" x14ac:dyDescent="0.2">
      <c r="A35" s="39" t="s">
        <v>350</v>
      </c>
      <c r="B35" s="236">
        <f>'Fremtind Livsforsikring'!B35+'Storebrand Danica Pensjon'!B35+'DNB Livsforsikring'!B35+'Eika Forsikring AS'!B35+'Frende Livsforsikring'!B35+'Frende Skadeforsikring'!B35+'Gjensidige Forsikring'!B35+'Gjensidige Pensjon'!B35+'Handelsbanken Liv'!B35+'If Skadeforsikring NUF'!B35+KLP!B35+'KLP Skadeforsikring AS'!B35+'Landkreditt Forsikring'!B35+'Nordea Liv '!B35+'Oslo Pensjonsforsikring'!B35+'Protector Forsikring'!B35+'SHB Liv'!B35+'Sparebank 1 Forsikring'!B35+'Storebrand Livsforsikring'!B35+'Telenor Forsikring'!B35+'Tryg Forsikring'!B35+'WaterCircles F'!B35+'Codan Forsikring'!B35+'Euro Accident'!B35+'Ly Forsikring'!B35+'Youplus Livsforsikring'!B35</f>
        <v>-444.16361000000001</v>
      </c>
      <c r="C35" s="236">
        <f>'Fremtind Livsforsikring'!C35+'Storebrand Danica Pensjon'!C35+'DNB Livsforsikring'!C35+'Eika Forsikring AS'!C35+'Frende Livsforsikring'!C35+'Frende Skadeforsikring'!C35+'Gjensidige Forsikring'!C35+'Gjensidige Pensjon'!C35+'Handelsbanken Liv'!C35+'If Skadeforsikring NUF'!C35+KLP!C35+'KLP Skadeforsikring AS'!C35+'Landkreditt Forsikring'!C35+'Nordea Liv '!C35+'Oslo Pensjonsforsikring'!C35+'Protector Forsikring'!C35+'SHB Liv'!C35+'Sparebank 1 Forsikring'!C35+'Storebrand Livsforsikring'!C35+'Telenor Forsikring'!C35+'Tryg Forsikring'!C35+'WaterCircles F'!C35+'Codan Forsikring'!C35+'Euro Accident'!C35+'Ly Forsikring'!C35+'Youplus Livsforsikring'!C35</f>
        <v>-21920</v>
      </c>
      <c r="D35" s="24">
        <f t="shared" si="5"/>
        <v>999</v>
      </c>
      <c r="E35" s="311">
        <f>'Fremtind Livsforsikring'!F35+'Storebrand Danica Pensjon'!F35+'DNB Livsforsikring'!F35+'Eika Forsikring AS'!F35+'Frende Livsforsikring'!F35+'Frende Skadeforsikring'!F35+'Gjensidige Forsikring'!F35+'Gjensidige Pensjon'!F35+'Handelsbanken Liv'!F35+'If Skadeforsikring NUF'!F35+KLP!F35+'KLP Skadeforsikring AS'!F35+'Landkreditt Forsikring'!F35+'Nordea Liv '!F35+'Oslo Pensjonsforsikring'!F35+'Protector Forsikring'!F35+'SHB Liv'!F35+'Sparebank 1 Forsikring'!F35+'Storebrand Livsforsikring'!F35+'Telenor Forsikring'!F35+'Tryg Forsikring'!F35+'WaterCircles F'!F35+'Codan Forsikring'!F35+'Euro Accident'!F35+'Ly Forsikring'!F35+'Youplus Livsforsikring'!F35</f>
        <v>25074.088000000003</v>
      </c>
      <c r="F35" s="311">
        <f>'Fremtind Livsforsikring'!G35+'Storebrand Danica Pensjon'!G35+'DNB Livsforsikring'!G35+'Eika Forsikring AS'!G35+'Frende Livsforsikring'!G35+'Frende Skadeforsikring'!G35+'Gjensidige Forsikring'!G35+'Gjensidige Pensjon'!G35+'Handelsbanken Liv'!G35+'If Skadeforsikring NUF'!G35+KLP!G35+'KLP Skadeforsikring AS'!G35+'Landkreditt Forsikring'!G35+'Nordea Liv '!G35+'Oslo Pensjonsforsikring'!G35+'Protector Forsikring'!G35+'SHB Liv'!G35+'Sparebank 1 Forsikring'!G35+'Storebrand Livsforsikring'!G35+'Telenor Forsikring'!G35+'Tryg Forsikring'!G35+'WaterCircles F'!G35+'Codan Forsikring'!G35+'Euro Accident'!G35+'Ly Forsikring'!G35+'Youplus Livsforsikring'!G35</f>
        <v>40988.69025</v>
      </c>
      <c r="G35" s="171">
        <f t="shared" si="6"/>
        <v>63.5</v>
      </c>
      <c r="H35" s="311">
        <f t="shared" si="9"/>
        <v>24629.924390000004</v>
      </c>
      <c r="I35" s="236">
        <f t="shared" si="7"/>
        <v>19068.69025</v>
      </c>
      <c r="J35" s="24">
        <f t="shared" si="8"/>
        <v>-22.6</v>
      </c>
    </row>
    <row r="36" spans="1:10" s="43" customFormat="1" ht="15.75" customHeight="1" x14ac:dyDescent="0.2">
      <c r="A36" s="12" t="s">
        <v>277</v>
      </c>
      <c r="B36" s="236">
        <f>'Fremtind Livsforsikring'!B36+'Storebrand Danica Pensjon'!B36+'DNB Livsforsikring'!B36+'Eika Forsikring AS'!B36+'Frende Livsforsikring'!B36+'Frende Skadeforsikring'!B36+'Gjensidige Forsikring'!B36+'Gjensidige Pensjon'!B36+'Handelsbanken Liv'!B36+'If Skadeforsikring NUF'!B36+KLP!B36+'KLP Skadeforsikring AS'!B36+'Landkreditt Forsikring'!B36+'Nordea Liv '!B36+'Oslo Pensjonsforsikring'!B36+'Protector Forsikring'!B36+'SHB Liv'!B36+'Sparebank 1 Forsikring'!B36+'Storebrand Livsforsikring'!B36+'Telenor Forsikring'!B36+'Tryg Forsikring'!B36+'WaterCircles F'!B36+'Codan Forsikring'!B36+'Euro Accident'!B36+'Ly Forsikring'!B36+'Youplus Livsforsikring'!B36</f>
        <v>1039.7314000000001</v>
      </c>
      <c r="C36" s="236">
        <f>'Fremtind Livsforsikring'!C36+'Storebrand Danica Pensjon'!C36+'DNB Livsforsikring'!C36+'Eika Forsikring AS'!C36+'Frende Livsforsikring'!C36+'Frende Skadeforsikring'!C36+'Gjensidige Forsikring'!C36+'Gjensidige Pensjon'!C36+'Handelsbanken Liv'!C36+'If Skadeforsikring NUF'!C36+KLP!C36+'KLP Skadeforsikring AS'!C36+'Landkreditt Forsikring'!C36+'Nordea Liv '!C36+'Oslo Pensjonsforsikring'!C36+'Protector Forsikring'!C36+'SHB Liv'!C36+'Sparebank 1 Forsikring'!C36+'Storebrand Livsforsikring'!C36+'Telenor Forsikring'!C36+'Tryg Forsikring'!C36+'WaterCircles F'!C36+'Codan Forsikring'!C36+'Euro Accident'!C36+'Ly Forsikring'!C36+'Youplus Livsforsikring'!C36</f>
        <v>358.87200000000001</v>
      </c>
      <c r="D36" s="11">
        <f t="shared" si="5"/>
        <v>-65.5</v>
      </c>
      <c r="E36" s="322"/>
      <c r="F36" s="322"/>
      <c r="G36" s="171"/>
      <c r="H36" s="311">
        <f t="shared" si="9"/>
        <v>1039.7314000000001</v>
      </c>
      <c r="I36" s="236">
        <f t="shared" si="7"/>
        <v>358.87200000000001</v>
      </c>
      <c r="J36" s="11">
        <f t="shared" si="8"/>
        <v>-65.5</v>
      </c>
    </row>
    <row r="37" spans="1:10" s="43" customFormat="1" ht="15.75" customHeight="1" x14ac:dyDescent="0.2">
      <c r="A37" s="510" t="s">
        <v>356</v>
      </c>
      <c r="B37" s="236">
        <f>'Fremtind Livsforsikring'!B37+'Storebrand Danica Pensjon'!B37+'DNB Livsforsikring'!B37+'Eika Forsikring AS'!B37+'Frende Livsforsikring'!B37+'Frende Skadeforsikring'!B37+'Gjensidige Forsikring'!B37+'Gjensidige Pensjon'!B37+'Handelsbanken Liv'!B37+'If Skadeforsikring NUF'!B37+KLP!B37+'KLP Skadeforsikring AS'!B37+'Landkreditt Forsikring'!B37+'Nordea Liv '!B37+'Oslo Pensjonsforsikring'!B37+'Protector Forsikring'!B37+'SHB Liv'!B37+'Sparebank 1 Forsikring'!B37+'Storebrand Livsforsikring'!B37+'Telenor Forsikring'!B37+'Tryg Forsikring'!B37+'WaterCircles F'!B37+'Codan Forsikring'!B37+'Euro Accident'!B37+'Ly Forsikring'!B37+'Youplus Livsforsikring'!B37</f>
        <v>3114349.8629999999</v>
      </c>
      <c r="C37" s="236">
        <f>'Fremtind Livsforsikring'!C37+'Storebrand Danica Pensjon'!C37+'DNB Livsforsikring'!C37+'Eika Forsikring AS'!C37+'Frende Livsforsikring'!C37+'Frende Skadeforsikring'!C37+'Gjensidige Forsikring'!C37+'Gjensidige Pensjon'!C37+'Handelsbanken Liv'!C37+'If Skadeforsikring NUF'!C37+KLP!C37+'KLP Skadeforsikring AS'!C37+'Landkreditt Forsikring'!C37+'Nordea Liv '!C37+'Oslo Pensjonsforsikring'!C37+'Protector Forsikring'!C37+'SHB Liv'!C37+'Sparebank 1 Forsikring'!C37+'Storebrand Livsforsikring'!C37+'Telenor Forsikring'!C37+'Tryg Forsikring'!C37+'WaterCircles F'!C37+'Codan Forsikring'!C37+'Euro Accident'!C37+'Ly Forsikring'!C37+'Youplus Livsforsikring'!C37</f>
        <v>2856071.43646</v>
      </c>
      <c r="D37" s="24">
        <f t="shared" si="5"/>
        <v>-8.3000000000000007</v>
      </c>
      <c r="E37" s="327"/>
      <c r="F37" s="327"/>
      <c r="G37" s="171"/>
      <c r="H37" s="311">
        <f t="shared" si="9"/>
        <v>3114349.8629999999</v>
      </c>
      <c r="I37" s="236">
        <f t="shared" si="7"/>
        <v>2856071.43646</v>
      </c>
      <c r="J37" s="24">
        <f t="shared" si="8"/>
        <v>-8.3000000000000007</v>
      </c>
    </row>
    <row r="38" spans="1:10" s="43" customFormat="1" ht="15.75" customHeight="1" x14ac:dyDescent="0.2">
      <c r="A38" s="510" t="s">
        <v>357</v>
      </c>
      <c r="B38" s="236"/>
      <c r="C38" s="236"/>
      <c r="D38" s="24"/>
      <c r="E38" s="322"/>
      <c r="F38" s="322"/>
      <c r="G38" s="171"/>
      <c r="H38" s="311"/>
      <c r="I38" s="236"/>
      <c r="J38" s="24"/>
    </row>
    <row r="39" spans="1:10" s="43" customFormat="1" ht="15.75" customHeight="1" x14ac:dyDescent="0.2">
      <c r="A39" s="511" t="s">
        <v>358</v>
      </c>
      <c r="B39" s="281">
        <f>'Fremtind Livsforsikring'!B39+'Storebrand Danica Pensjon'!B39+'DNB Livsforsikring'!B39+'Eika Forsikring AS'!B39+'Frende Livsforsikring'!B39+'Frende Skadeforsikring'!B39+'Gjensidige Forsikring'!B39+'Gjensidige Pensjon'!B39+'Handelsbanken Liv'!B39+'If Skadeforsikring NUF'!B39+KLP!B39+'KLP Skadeforsikring AS'!B39+'Landkreditt Forsikring'!B39+'Nordea Liv '!B39+'Oslo Pensjonsforsikring'!B39+'Protector Forsikring'!B39+'SHB Liv'!B39+'Sparebank 1 Forsikring'!B39+'Storebrand Livsforsikring'!B39+'Telenor Forsikring'!B39+'Tryg Forsikring'!B39+'WaterCircles F'!B39+'Codan Forsikring'!B39+'Euro Accident'!B39+'Ly Forsikring'!B39+'Youplus Livsforsikring'!B39</f>
        <v>2</v>
      </c>
      <c r="C39" s="281">
        <f>'Fremtind Livsforsikring'!C39+'Storebrand Danica Pensjon'!C39+'DNB Livsforsikring'!C39+'Eika Forsikring AS'!C39+'Frende Livsforsikring'!C39+'Frende Skadeforsikring'!C39+'Gjensidige Forsikring'!C39+'Gjensidige Pensjon'!C39+'Handelsbanken Liv'!C39+'If Skadeforsikring NUF'!C39+KLP!C39+'KLP Skadeforsikring AS'!C39+'Landkreditt Forsikring'!C39+'Nordea Liv '!C39+'Oslo Pensjonsforsikring'!C39+'Protector Forsikring'!C39+'SHB Liv'!C39+'Sparebank 1 Forsikring'!C39+'Storebrand Livsforsikring'!C39+'Telenor Forsikring'!C39+'Tryg Forsikring'!C39+'WaterCircles F'!C39+'Codan Forsikring'!C39+'Euro Accident'!C39+'Ly Forsikring'!C39+'Youplus Livsforsikring'!C39</f>
        <v>7</v>
      </c>
      <c r="D39" s="36">
        <f t="shared" si="5"/>
        <v>250</v>
      </c>
      <c r="E39" s="328"/>
      <c r="F39" s="328"/>
      <c r="G39" s="169"/>
      <c r="H39" s="317">
        <f t="shared" si="9"/>
        <v>2</v>
      </c>
      <c r="I39" s="281">
        <f t="shared" si="7"/>
        <v>7</v>
      </c>
      <c r="J39" s="36">
        <f t="shared" si="8"/>
        <v>250</v>
      </c>
    </row>
    <row r="40" spans="1:10" ht="15.75" customHeight="1" x14ac:dyDescent="0.2">
      <c r="A40" s="47"/>
    </row>
    <row r="41" spans="1:10" ht="15.75" customHeight="1" x14ac:dyDescent="0.2">
      <c r="A41" s="155"/>
    </row>
    <row r="42" spans="1:10" ht="15.75" customHeight="1" x14ac:dyDescent="0.25">
      <c r="A42" s="147" t="s">
        <v>266</v>
      </c>
      <c r="B42" s="716"/>
      <c r="C42" s="716"/>
      <c r="D42" s="716"/>
      <c r="E42" s="717"/>
      <c r="F42" s="717"/>
      <c r="G42" s="717"/>
      <c r="H42" s="717"/>
      <c r="I42" s="717"/>
      <c r="J42" s="717"/>
    </row>
    <row r="43" spans="1:10" ht="15.75" customHeight="1" x14ac:dyDescent="0.25">
      <c r="A43" s="163"/>
      <c r="B43" s="432"/>
      <c r="C43" s="432"/>
      <c r="D43" s="432"/>
      <c r="E43" s="301"/>
      <c r="F43" s="301"/>
      <c r="G43" s="301"/>
      <c r="H43" s="301"/>
      <c r="I43" s="301"/>
      <c r="J43" s="301"/>
    </row>
    <row r="44" spans="1:10" s="3" customFormat="1" ht="15.75" customHeight="1" x14ac:dyDescent="0.25">
      <c r="A44" s="249"/>
      <c r="B44" s="329" t="s">
        <v>0</v>
      </c>
      <c r="C44" s="330"/>
      <c r="D44" s="257"/>
      <c r="E44" s="42"/>
      <c r="F44" s="42"/>
      <c r="G44" s="40"/>
      <c r="H44" s="42"/>
      <c r="I44" s="42"/>
      <c r="J44" s="40"/>
    </row>
    <row r="45" spans="1:10" s="3" customFormat="1" ht="15.75" customHeight="1" x14ac:dyDescent="0.2">
      <c r="A45" s="140"/>
      <c r="B45" s="254" t="s">
        <v>432</v>
      </c>
      <c r="C45" s="255" t="s">
        <v>433</v>
      </c>
      <c r="D45" s="252" t="s">
        <v>3</v>
      </c>
      <c r="E45" s="42"/>
      <c r="F45" s="42"/>
      <c r="G45" s="40"/>
      <c r="H45" s="42"/>
      <c r="I45" s="42"/>
      <c r="J45" s="40"/>
    </row>
    <row r="46" spans="1:10" s="3" customFormat="1" ht="15.75" customHeight="1" x14ac:dyDescent="0.2">
      <c r="A46" s="680"/>
      <c r="B46" s="46"/>
      <c r="C46" s="256"/>
      <c r="D46" s="17" t="s">
        <v>4</v>
      </c>
      <c r="E46" s="40"/>
      <c r="F46" s="40"/>
      <c r="G46" s="40"/>
      <c r="H46" s="40"/>
      <c r="I46" s="40"/>
      <c r="J46" s="40"/>
    </row>
    <row r="47" spans="1:10" s="417" customFormat="1" ht="15.75" customHeight="1" x14ac:dyDescent="0.2">
      <c r="A47" s="14" t="s">
        <v>23</v>
      </c>
      <c r="B47" s="236">
        <f>'Fremtind Livsforsikring'!B47+'Storebrand Danica Pensjon'!B47+'DNB Livsforsikring'!B47+'Eika Forsikring AS'!B47+'Frende Livsforsikring'!B47+'Frende Skadeforsikring'!B47+'Gjensidige Forsikring'!B47+'Gjensidige Pensjon'!B47+'Handelsbanken Liv'!B47+'If Skadeforsikring NUF'!B47+KLP!B47+'KLP Skadeforsikring AS'!B47+'Landkreditt Forsikring'!B47+'Nordea Liv '!B47+'Oslo Pensjonsforsikring'!B47+'Protector Forsikring'!B47+'SHB Liv'!B47+'Sparebank 1 Forsikring'!B47+'Storebrand Livsforsikring'!B47+'Telenor Forsikring'!B47+'Tryg Forsikring'!B47+'WaterCircles F'!B47+'Codan Forsikring'!B47+'Euro Accident'!B47+'Ly Forsikring'!B47+'Youplus Livsforsikring'!B47</f>
        <v>3455491.0555133065</v>
      </c>
      <c r="C47" s="236">
        <f>'Fremtind Livsforsikring'!C47+'Storebrand Danica Pensjon'!C47+'DNB Livsforsikring'!C47+'Eika Forsikring AS'!C47+'Frende Livsforsikring'!C47+'Frende Skadeforsikring'!C47+'Gjensidige Forsikring'!C47+'Gjensidige Pensjon'!C47+'Handelsbanken Liv'!C47+'If Skadeforsikring NUF'!C47+KLP!C47+'KLP Skadeforsikring AS'!C47+'Landkreditt Forsikring'!C47+'Nordea Liv '!C47+'Oslo Pensjonsforsikring'!C47+'Protector Forsikring'!C47+'SHB Liv'!C47+'Sparebank 1 Forsikring'!C47+'Storebrand Livsforsikring'!C47+'Telenor Forsikring'!C47+'Tryg Forsikring'!C47+'WaterCircles F'!C47+'Codan Forsikring'!C47+'Euro Accident'!C47+'Ly Forsikring'!C47+'Youplus Livsforsikring'!C47</f>
        <v>3736795.0532203927</v>
      </c>
      <c r="D47" s="24">
        <f t="shared" ref="D47:D57" si="22">IF(B47=0, "    ---- ", IF(ABS(ROUND(100/B47*C47-100,1))&lt;999,ROUND(100/B47*C47-100,1),IF(ROUND(100/B47*C47-100,1)&gt;999,999,-999)))</f>
        <v>8.1</v>
      </c>
      <c r="E47" s="418"/>
      <c r="F47" s="419"/>
      <c r="G47" s="32"/>
      <c r="H47" s="420"/>
      <c r="I47" s="420"/>
      <c r="J47" s="32"/>
    </row>
    <row r="48" spans="1:10" s="3" customFormat="1" ht="15.75" customHeight="1" x14ac:dyDescent="0.2">
      <c r="A48" s="38" t="s">
        <v>359</v>
      </c>
      <c r="B48" s="44">
        <f>'Fremtind Livsforsikring'!B48+'Storebrand Danica Pensjon'!B48+'DNB Livsforsikring'!B48+'Eika Forsikring AS'!B48+'Frende Livsforsikring'!B48+'Frende Skadeforsikring'!B48+'Gjensidige Forsikring'!B48+'Gjensidige Pensjon'!B48+'Handelsbanken Liv'!B48+'If Skadeforsikring NUF'!B48+KLP!B48+'KLP Skadeforsikring AS'!B48+'Landkreditt Forsikring'!B48+'Nordea Liv '!B48+'Oslo Pensjonsforsikring'!B48+'Protector Forsikring'!B48+'SHB Liv'!B48+'Sparebank 1 Forsikring'!B48+'Storebrand Livsforsikring'!B48+'Telenor Forsikring'!B48+'Tryg Forsikring'!B48+'WaterCircles F'!B48+'Codan Forsikring'!B48+'Euro Accident'!B48+'Ly Forsikring'!B48+'Youplus Livsforsikring'!B48</f>
        <v>1889708.7202633061</v>
      </c>
      <c r="C48" s="44">
        <f>'Fremtind Livsforsikring'!C48+'Storebrand Danica Pensjon'!C48+'DNB Livsforsikring'!C48+'Eika Forsikring AS'!C48+'Frende Livsforsikring'!C48+'Frende Skadeforsikring'!C48+'Gjensidige Forsikring'!C48+'Gjensidige Pensjon'!C48+'Handelsbanken Liv'!C48+'If Skadeforsikring NUF'!C48+KLP!C48+'KLP Skadeforsikring AS'!C48+'Landkreditt Forsikring'!C48+'Nordea Liv '!C48+'Oslo Pensjonsforsikring'!C48+'Protector Forsikring'!C48+'SHB Liv'!C48+'Sparebank 1 Forsikring'!C48+'Storebrand Livsforsikring'!C48+'Telenor Forsikring'!C48+'Tryg Forsikring'!C48+'WaterCircles F'!C48+'Codan Forsikring'!C48+'Euro Accident'!C48+'Ly Forsikring'!C48+'Youplus Livsforsikring'!C48</f>
        <v>2019173.5151303927</v>
      </c>
      <c r="D48" s="24">
        <f t="shared" si="22"/>
        <v>6.9</v>
      </c>
      <c r="E48" s="35"/>
      <c r="F48" s="5"/>
      <c r="G48" s="34"/>
      <c r="H48" s="33"/>
      <c r="I48" s="33"/>
      <c r="J48" s="32"/>
    </row>
    <row r="49" spans="1:10" s="3" customFormat="1" ht="15.75" customHeight="1" x14ac:dyDescent="0.2">
      <c r="A49" s="38" t="s">
        <v>360</v>
      </c>
      <c r="B49" s="191">
        <f>'Fremtind Livsforsikring'!B49+'Storebrand Danica Pensjon'!B49+'DNB Livsforsikring'!B49+'Eika Forsikring AS'!B49+'Frende Livsforsikring'!B49+'Frende Skadeforsikring'!B49+'Gjensidige Forsikring'!B49+'Gjensidige Pensjon'!B49+'Handelsbanken Liv'!B49+'If Skadeforsikring NUF'!B49+KLP!B49+'KLP Skadeforsikring AS'!B49+'Landkreditt Forsikring'!B49+'Nordea Liv '!B49+'Oslo Pensjonsforsikring'!B49+'Protector Forsikring'!B49+'SHB Liv'!B49+'Sparebank 1 Forsikring'!B49+'Storebrand Livsforsikring'!B49+'Telenor Forsikring'!B49+'Tryg Forsikring'!B49+'WaterCircles F'!B49+'Codan Forsikring'!B49+'Euro Accident'!B49+'Ly Forsikring'!B49+'Youplus Livsforsikring'!B49</f>
        <v>1565782.33525</v>
      </c>
      <c r="C49" s="191">
        <f>'Fremtind Livsforsikring'!C49+'Storebrand Danica Pensjon'!C49+'DNB Livsforsikring'!C49+'Eika Forsikring AS'!C49+'Frende Livsforsikring'!C49+'Frende Skadeforsikring'!C49+'Gjensidige Forsikring'!C49+'Gjensidige Pensjon'!C49+'Handelsbanken Liv'!C49+'If Skadeforsikring NUF'!C49+KLP!C49+'KLP Skadeforsikring AS'!C49+'Landkreditt Forsikring'!C49+'Nordea Liv '!C49+'Oslo Pensjonsforsikring'!C49+'Protector Forsikring'!C49+'SHB Liv'!C49+'Sparebank 1 Forsikring'!C49+'Storebrand Livsforsikring'!C49+'Telenor Forsikring'!C49+'Tryg Forsikring'!C49+'WaterCircles F'!C49+'Codan Forsikring'!C49+'Euro Accident'!C49+'Ly Forsikring'!C49+'Youplus Livsforsikring'!C49</f>
        <v>1717621.5380900002</v>
      </c>
      <c r="D49" s="24">
        <f t="shared" si="22"/>
        <v>9.6999999999999993</v>
      </c>
      <c r="E49" s="35"/>
      <c r="F49" s="5"/>
      <c r="G49" s="34"/>
      <c r="H49" s="37"/>
      <c r="I49" s="37"/>
      <c r="J49" s="32"/>
    </row>
    <row r="50" spans="1:10" s="3" customFormat="1" ht="15.75" customHeight="1" x14ac:dyDescent="0.2">
      <c r="A50" s="299" t="s">
        <v>6</v>
      </c>
      <c r="B50" s="44"/>
      <c r="C50" s="44"/>
      <c r="D50" s="27"/>
      <c r="E50" s="35"/>
      <c r="F50" s="5"/>
      <c r="G50" s="34"/>
      <c r="H50" s="33"/>
      <c r="I50" s="33"/>
      <c r="J50" s="32"/>
    </row>
    <row r="51" spans="1:10" s="3" customFormat="1" ht="15.75" customHeight="1" x14ac:dyDescent="0.2">
      <c r="A51" s="299" t="s">
        <v>7</v>
      </c>
      <c r="B51" s="44"/>
      <c r="C51" s="44"/>
      <c r="D51" s="27"/>
      <c r="E51" s="35"/>
      <c r="F51" s="5"/>
      <c r="G51" s="34"/>
      <c r="H51" s="33"/>
      <c r="I51" s="33"/>
      <c r="J51" s="32"/>
    </row>
    <row r="52" spans="1:10" s="3" customFormat="1" ht="15.75" customHeight="1" x14ac:dyDescent="0.2">
      <c r="A52" s="299" t="s">
        <v>8</v>
      </c>
      <c r="B52" s="44"/>
      <c r="C52" s="44"/>
      <c r="D52" s="27"/>
      <c r="E52" s="35"/>
      <c r="F52" s="5"/>
      <c r="G52" s="34"/>
      <c r="H52" s="33"/>
      <c r="I52" s="33"/>
      <c r="J52" s="32"/>
    </row>
    <row r="53" spans="1:10" s="417" customFormat="1" ht="15.75" customHeight="1" x14ac:dyDescent="0.2">
      <c r="A53" s="39" t="s">
        <v>361</v>
      </c>
      <c r="B53" s="236">
        <f>'Fremtind Livsforsikring'!B53+'Storebrand Danica Pensjon'!B53+'DNB Livsforsikring'!B53+'Eika Forsikring AS'!B53+'Frende Livsforsikring'!B53+'Frende Skadeforsikring'!B53+'Gjensidige Forsikring'!B53+'Gjensidige Pensjon'!B53+'Handelsbanken Liv'!B53+'If Skadeforsikring NUF'!B53+KLP!B53+'KLP Skadeforsikring AS'!B53+'Landkreditt Forsikring'!B53+'Nordea Liv '!B53+'Oslo Pensjonsforsikring'!B53+'Protector Forsikring'!B53+'SHB Liv'!B53+'Sparebank 1 Forsikring'!B53+'Storebrand Livsforsikring'!B53+'Telenor Forsikring'!B53+'Tryg Forsikring'!B53+'WaterCircles F'!B53+'Codan Forsikring'!B53+'Euro Accident'!B53+'Ly Forsikring'!B53+'Youplus Livsforsikring'!B53</f>
        <v>106971.553</v>
      </c>
      <c r="C53" s="236">
        <f>'Fremtind Livsforsikring'!C53+'Storebrand Danica Pensjon'!C53+'DNB Livsforsikring'!C53+'Eika Forsikring AS'!C53+'Frende Livsforsikring'!C53+'Frende Skadeforsikring'!C53+'Gjensidige Forsikring'!C53+'Gjensidige Pensjon'!C53+'Handelsbanken Liv'!C53+'If Skadeforsikring NUF'!C53+KLP!C53+'KLP Skadeforsikring AS'!C53+'Landkreditt Forsikring'!C53+'Nordea Liv '!C53+'Oslo Pensjonsforsikring'!C53+'Protector Forsikring'!C53+'SHB Liv'!C53+'Sparebank 1 Forsikring'!C53+'Storebrand Livsforsikring'!C53+'Telenor Forsikring'!C53+'Tryg Forsikring'!C53+'WaterCircles F'!C53+'Codan Forsikring'!C53+'Euro Accident'!C53+'Ly Forsikring'!C53+'Youplus Livsforsikring'!C53</f>
        <v>98708.926999999996</v>
      </c>
      <c r="D53" s="24">
        <f t="shared" si="22"/>
        <v>-7.7</v>
      </c>
      <c r="E53" s="418"/>
      <c r="F53" s="419"/>
      <c r="G53" s="32"/>
      <c r="H53" s="174"/>
      <c r="I53" s="174"/>
      <c r="J53" s="32"/>
    </row>
    <row r="54" spans="1:10" s="3" customFormat="1" ht="15.75" customHeight="1" x14ac:dyDescent="0.2">
      <c r="A54" s="38" t="s">
        <v>359</v>
      </c>
      <c r="B54" s="44">
        <f>'Fremtind Livsforsikring'!B54+'Storebrand Danica Pensjon'!B54+'DNB Livsforsikring'!B54+'Eika Forsikring AS'!B54+'Frende Livsforsikring'!B54+'Frende Skadeforsikring'!B54+'Gjensidige Forsikring'!B54+'Gjensidige Pensjon'!B54+'Handelsbanken Liv'!B54+'If Skadeforsikring NUF'!B54+KLP!B54+'KLP Skadeforsikring AS'!B54+'Landkreditt Forsikring'!B54+'Nordea Liv '!B54+'Oslo Pensjonsforsikring'!B54+'Protector Forsikring'!B54+'SHB Liv'!B54+'Sparebank 1 Forsikring'!B54+'Storebrand Livsforsikring'!B54+'Telenor Forsikring'!B54+'Tryg Forsikring'!B54+'WaterCircles F'!B54+'Codan Forsikring'!B54+'Euro Accident'!B54+'Ly Forsikring'!B54+'Youplus Livsforsikring'!B54</f>
        <v>93022.553</v>
      </c>
      <c r="C54" s="44">
        <f>'Fremtind Livsforsikring'!C54+'Storebrand Danica Pensjon'!C54+'DNB Livsforsikring'!C54+'Eika Forsikring AS'!C54+'Frende Livsforsikring'!C54+'Frende Skadeforsikring'!C54+'Gjensidige Forsikring'!C54+'Gjensidige Pensjon'!C54+'Handelsbanken Liv'!C54+'If Skadeforsikring NUF'!C54+KLP!C54+'KLP Skadeforsikring AS'!C54+'Landkreditt Forsikring'!C54+'Nordea Liv '!C54+'Oslo Pensjonsforsikring'!C54+'Protector Forsikring'!C54+'SHB Liv'!C54+'Sparebank 1 Forsikring'!C54+'Storebrand Livsforsikring'!C54+'Telenor Forsikring'!C54+'Tryg Forsikring'!C54+'WaterCircles F'!C54+'Codan Forsikring'!C54+'Euro Accident'!C54+'Ly Forsikring'!C54+'Youplus Livsforsikring'!C54</f>
        <v>97762.926999999996</v>
      </c>
      <c r="D54" s="24">
        <f t="shared" si="22"/>
        <v>5.0999999999999996</v>
      </c>
      <c r="E54" s="35"/>
      <c r="F54" s="5"/>
      <c r="G54" s="34"/>
      <c r="H54" s="33"/>
      <c r="I54" s="33"/>
      <c r="J54" s="32"/>
    </row>
    <row r="55" spans="1:10" s="3" customFormat="1" ht="15.75" customHeight="1" x14ac:dyDescent="0.2">
      <c r="A55" s="38" t="s">
        <v>360</v>
      </c>
      <c r="B55" s="44">
        <f>'Fremtind Livsforsikring'!B55+'Storebrand Danica Pensjon'!B55+'DNB Livsforsikring'!B55+'Eika Forsikring AS'!B55+'Frende Livsforsikring'!B55+'Frende Skadeforsikring'!B55+'Gjensidige Forsikring'!B55+'Gjensidige Pensjon'!B55+'Handelsbanken Liv'!B55+'If Skadeforsikring NUF'!B55+KLP!B55+'KLP Skadeforsikring AS'!B55+'Landkreditt Forsikring'!B55+'Nordea Liv '!B55+'Oslo Pensjonsforsikring'!B55+'Protector Forsikring'!B55+'SHB Liv'!B55+'Sparebank 1 Forsikring'!B55+'Storebrand Livsforsikring'!B55+'Telenor Forsikring'!B55+'Tryg Forsikring'!B55+'WaterCircles F'!B55+'Codan Forsikring'!B55+'Euro Accident'!B55+'Ly Forsikring'!B55+'Youplus Livsforsikring'!B55</f>
        <v>13949</v>
      </c>
      <c r="C55" s="44">
        <f>'Fremtind Livsforsikring'!C55+'Storebrand Danica Pensjon'!C55+'DNB Livsforsikring'!C55+'Eika Forsikring AS'!C55+'Frende Livsforsikring'!C55+'Frende Skadeforsikring'!C55+'Gjensidige Forsikring'!C55+'Gjensidige Pensjon'!C55+'Handelsbanken Liv'!C55+'If Skadeforsikring NUF'!C55+KLP!C55+'KLP Skadeforsikring AS'!C55+'Landkreditt Forsikring'!C55+'Nordea Liv '!C55+'Oslo Pensjonsforsikring'!C55+'Protector Forsikring'!C55+'SHB Liv'!C55+'Sparebank 1 Forsikring'!C55+'Storebrand Livsforsikring'!C55+'Telenor Forsikring'!C55+'Tryg Forsikring'!C55+'WaterCircles F'!C55+'Codan Forsikring'!C55+'Euro Accident'!C55+'Ly Forsikring'!C55+'Youplus Livsforsikring'!C55</f>
        <v>946</v>
      </c>
      <c r="D55" s="24">
        <f t="shared" si="22"/>
        <v>-93.2</v>
      </c>
      <c r="E55" s="35"/>
      <c r="F55" s="5"/>
      <c r="G55" s="34"/>
      <c r="H55" s="33"/>
      <c r="I55" s="33"/>
      <c r="J55" s="32"/>
    </row>
    <row r="56" spans="1:10" s="417" customFormat="1" ht="15.75" customHeight="1" x14ac:dyDescent="0.2">
      <c r="A56" s="39" t="s">
        <v>362</v>
      </c>
      <c r="B56" s="236">
        <f>'Fremtind Livsforsikring'!B56+'Storebrand Danica Pensjon'!B56+'DNB Livsforsikring'!B56+'Eika Forsikring AS'!B56+'Frende Livsforsikring'!B56+'Frende Skadeforsikring'!B56+'Gjensidige Forsikring'!B56+'Gjensidige Pensjon'!B56+'Handelsbanken Liv'!B56+'If Skadeforsikring NUF'!B56+KLP!B56+'KLP Skadeforsikring AS'!B56+'Landkreditt Forsikring'!B56+'Nordea Liv '!B56+'Oslo Pensjonsforsikring'!B56+'Protector Forsikring'!B56+'SHB Liv'!B56+'Sparebank 1 Forsikring'!B56+'Storebrand Livsforsikring'!B56+'Telenor Forsikring'!B56+'Tryg Forsikring'!B56+'WaterCircles F'!B56+'Codan Forsikring'!B56+'Euro Accident'!B56+'Ly Forsikring'!B56+'Youplus Livsforsikring'!B56</f>
        <v>59141.354999999996</v>
      </c>
      <c r="C56" s="236">
        <f>'Fremtind Livsforsikring'!C56+'Storebrand Danica Pensjon'!C56+'DNB Livsforsikring'!C56+'Eika Forsikring AS'!C56+'Frende Livsforsikring'!C56+'Frende Skadeforsikring'!C56+'Gjensidige Forsikring'!C56+'Gjensidige Pensjon'!C56+'Handelsbanken Liv'!C56+'If Skadeforsikring NUF'!C56+KLP!C56+'KLP Skadeforsikring AS'!C56+'Landkreditt Forsikring'!C56+'Nordea Liv '!C56+'Oslo Pensjonsforsikring'!C56+'Protector Forsikring'!C56+'SHB Liv'!C56+'Sparebank 1 Forsikring'!C56+'Storebrand Livsforsikring'!C56+'Telenor Forsikring'!C56+'Tryg Forsikring'!C56+'WaterCircles F'!C56+'Codan Forsikring'!C56+'Euro Accident'!C56+'Ly Forsikring'!C56+'Youplus Livsforsikring'!C56</f>
        <v>59547.007999999994</v>
      </c>
      <c r="D56" s="24">
        <f t="shared" si="22"/>
        <v>0.7</v>
      </c>
      <c r="E56" s="418"/>
      <c r="F56" s="419"/>
      <c r="G56" s="32"/>
      <c r="H56" s="174"/>
      <c r="I56" s="174"/>
      <c r="J56" s="32"/>
    </row>
    <row r="57" spans="1:10" s="3" customFormat="1" ht="15.75" customHeight="1" x14ac:dyDescent="0.2">
      <c r="A57" s="38" t="s">
        <v>359</v>
      </c>
      <c r="B57" s="44">
        <f>'Fremtind Livsforsikring'!B57+'Storebrand Danica Pensjon'!B57+'DNB Livsforsikring'!B57+'Eika Forsikring AS'!B57+'Frende Livsforsikring'!B57+'Frende Skadeforsikring'!B57+'Gjensidige Forsikring'!B57+'Gjensidige Pensjon'!B57+'Handelsbanken Liv'!B57+'If Skadeforsikring NUF'!B57+KLP!B57+'KLP Skadeforsikring AS'!B57+'Landkreditt Forsikring'!B57+'Nordea Liv '!B57+'Oslo Pensjonsforsikring'!B57+'Protector Forsikring'!B57+'SHB Liv'!B57+'Sparebank 1 Forsikring'!B57+'Storebrand Livsforsikring'!B57+'Telenor Forsikring'!B57+'Tryg Forsikring'!B57+'WaterCircles F'!B57+'Codan Forsikring'!B57+'Euro Accident'!B57+'Ly Forsikring'!B57+'Youplus Livsforsikring'!B57</f>
        <v>59141.354999999996</v>
      </c>
      <c r="C57" s="44">
        <f>'Fremtind Livsforsikring'!C57+'Storebrand Danica Pensjon'!C57+'DNB Livsforsikring'!C57+'Eika Forsikring AS'!C57+'Frende Livsforsikring'!C57+'Frende Skadeforsikring'!C57+'Gjensidige Forsikring'!C57+'Gjensidige Pensjon'!C57+'Handelsbanken Liv'!C57+'If Skadeforsikring NUF'!C57+KLP!C57+'KLP Skadeforsikring AS'!C57+'Landkreditt Forsikring'!C57+'Nordea Liv '!C57+'Oslo Pensjonsforsikring'!C57+'Protector Forsikring'!C57+'SHB Liv'!C57+'Sparebank 1 Forsikring'!C57+'Storebrand Livsforsikring'!C57+'Telenor Forsikring'!C57+'Tryg Forsikring'!C57+'WaterCircles F'!C57+'Codan Forsikring'!C57+'Euro Accident'!C57+'Ly Forsikring'!C57+'Youplus Livsforsikring'!C57</f>
        <v>59547.007999999994</v>
      </c>
      <c r="D57" s="24">
        <f t="shared" si="22"/>
        <v>0.7</v>
      </c>
      <c r="E57" s="35"/>
      <c r="F57" s="5"/>
      <c r="G57" s="34"/>
      <c r="H57" s="33"/>
      <c r="I57" s="33"/>
      <c r="J57" s="32"/>
    </row>
    <row r="58" spans="1:10" s="3" customFormat="1" ht="15.75" customHeight="1" x14ac:dyDescent="0.2">
      <c r="A58" s="38" t="s">
        <v>360</v>
      </c>
      <c r="B58" s="45"/>
      <c r="C58" s="45"/>
      <c r="D58" s="36"/>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267</v>
      </c>
      <c r="C61" s="26"/>
      <c r="D61" s="25"/>
      <c r="E61" s="26"/>
      <c r="F61" s="26"/>
      <c r="G61" s="25"/>
      <c r="H61" s="26"/>
      <c r="I61" s="26"/>
      <c r="J61" s="25"/>
    </row>
    <row r="62" spans="1:10" ht="20.100000000000001" customHeight="1" x14ac:dyDescent="0.25">
      <c r="A62" s="149"/>
      <c r="B62" s="716"/>
      <c r="C62" s="716"/>
      <c r="D62" s="716"/>
      <c r="E62" s="716"/>
      <c r="F62" s="716"/>
      <c r="G62" s="716"/>
      <c r="H62" s="716"/>
      <c r="I62" s="716"/>
      <c r="J62" s="716"/>
    </row>
    <row r="63" spans="1:10" ht="15.75" customHeight="1" x14ac:dyDescent="0.2">
      <c r="A63" s="144"/>
      <c r="B63" s="713" t="s">
        <v>0</v>
      </c>
      <c r="C63" s="714"/>
      <c r="D63" s="714"/>
      <c r="E63" s="713" t="s">
        <v>1</v>
      </c>
      <c r="F63" s="714"/>
      <c r="G63" s="715"/>
      <c r="H63" s="714" t="s">
        <v>2</v>
      </c>
      <c r="I63" s="714"/>
      <c r="J63" s="715"/>
    </row>
    <row r="64" spans="1:10" ht="15.75" customHeight="1" x14ac:dyDescent="0.2">
      <c r="A64" s="140"/>
      <c r="B64" s="253" t="s">
        <v>432</v>
      </c>
      <c r="C64" s="253" t="s">
        <v>433</v>
      </c>
      <c r="D64" s="19" t="s">
        <v>3</v>
      </c>
      <c r="E64" s="253" t="s">
        <v>432</v>
      </c>
      <c r="F64" s="253" t="s">
        <v>433</v>
      </c>
      <c r="G64" s="19" t="s">
        <v>3</v>
      </c>
      <c r="H64" s="253" t="s">
        <v>432</v>
      </c>
      <c r="I64" s="253" t="s">
        <v>433</v>
      </c>
      <c r="J64" s="19" t="s">
        <v>3</v>
      </c>
    </row>
    <row r="65" spans="1:10" ht="15.75" customHeight="1" x14ac:dyDescent="0.2">
      <c r="A65" s="680"/>
      <c r="B65" s="15"/>
      <c r="C65" s="15"/>
      <c r="D65" s="17" t="s">
        <v>4</v>
      </c>
      <c r="E65" s="16"/>
      <c r="F65" s="16"/>
      <c r="G65" s="15" t="s">
        <v>4</v>
      </c>
      <c r="H65" s="16"/>
      <c r="I65" s="16"/>
      <c r="J65" s="15" t="s">
        <v>4</v>
      </c>
    </row>
    <row r="66" spans="1:10" s="43" customFormat="1" ht="15.75" customHeight="1" x14ac:dyDescent="0.2">
      <c r="A66" s="14" t="s">
        <v>23</v>
      </c>
      <c r="B66" s="331">
        <f>'Fremtind Livsforsikring'!B66+'Storebrand Danica Pensjon'!B66+'DNB Livsforsikring'!B66+'Eika Forsikring AS'!B66+'Frende Livsforsikring'!B66+'Frende Skadeforsikring'!B66+'Gjensidige Forsikring'!B66+'Gjensidige Pensjon'!B66+'Handelsbanken Liv'!B66+'If Skadeforsikring NUF'!B66+KLP!B66+'KLP Skadeforsikring AS'!B66+'Landkreditt Forsikring'!B66+'Nordea Liv '!B66+'Oslo Pensjonsforsikring'!B66+'Protector Forsikring'!B66+'SHB Liv'!B66+'Sparebank 1 Forsikring'!B66+'Storebrand Livsforsikring'!B66+'Telenor Forsikring'!B66+'Tryg Forsikring'!B66+'WaterCircles F'!B66+'Codan Forsikring'!B66+'Euro Accident'!B66+'Ly Forsikring'!B66+'Youplus Livsforsikring'!B66</f>
        <v>2652926.0376300002</v>
      </c>
      <c r="C66" s="331">
        <f>'Fremtind Livsforsikring'!C66+'Storebrand Danica Pensjon'!C66+'DNB Livsforsikring'!C66+'Eika Forsikring AS'!C66+'Frende Livsforsikring'!C66+'Frende Skadeforsikring'!C66+'Gjensidige Forsikring'!C66+'Gjensidige Pensjon'!C66+'Handelsbanken Liv'!C66+'If Skadeforsikring NUF'!C66+KLP!C66+'KLP Skadeforsikring AS'!C66+'Landkreditt Forsikring'!C66+'Nordea Liv '!C66+'Oslo Pensjonsforsikring'!C66+'Protector Forsikring'!C66+'SHB Liv'!C66+'Sparebank 1 Forsikring'!C66+'Storebrand Livsforsikring'!C66+'Telenor Forsikring'!C66+'Tryg Forsikring'!C66+'WaterCircles F'!C66+'Codan Forsikring'!C66+'Euro Accident'!C66+'Ly Forsikring'!C66+'Youplus Livsforsikring'!C66</f>
        <v>3124219.96612</v>
      </c>
      <c r="D66" s="24">
        <f t="shared" ref="D66:D111" si="23">IF(B66=0, "    ---- ", IF(ABS(ROUND(100/B66*C66-100,1))&lt;999,ROUND(100/B66*C66-100,1),IF(ROUND(100/B66*C66-100,1)&gt;999,999,-999)))</f>
        <v>17.8</v>
      </c>
      <c r="E66" s="236">
        <f>'Fremtind Livsforsikring'!F66+'Storebrand Danica Pensjon'!F66+'DNB Livsforsikring'!F66+'Eika Forsikring AS'!F66+'Frende Livsforsikring'!F66+'Frende Skadeforsikring'!F66+'Gjensidige Forsikring'!F66+'Gjensidige Pensjon'!F66+'Handelsbanken Liv'!F66+'If Skadeforsikring NUF'!F66+KLP!F66+'KLP Skadeforsikring AS'!F66+'Landkreditt Forsikring'!F66+'Nordea Liv '!F66+'Oslo Pensjonsforsikring'!F66+'Protector Forsikring'!F66+'SHB Liv'!F66+'Sparebank 1 Forsikring'!F66+'Storebrand Livsforsikring'!F66+'Telenor Forsikring'!F66+'Tryg Forsikring'!F66+'WaterCircles F'!F66+'Codan Forsikring'!F66+'Euro Accident'!F66+'Ly Forsikring'!F66+'Youplus Livsforsikring'!F66</f>
        <v>9894167.8760999981</v>
      </c>
      <c r="F66" s="236">
        <f>'Fremtind Livsforsikring'!G66+'Storebrand Danica Pensjon'!G66+'DNB Livsforsikring'!G66+'Eika Forsikring AS'!G66+'Frende Livsforsikring'!G66+'Frende Skadeforsikring'!G66+'Gjensidige Forsikring'!G66+'Gjensidige Pensjon'!G66+'Handelsbanken Liv'!G66+'If Skadeforsikring NUF'!G66+KLP!G66+'KLP Skadeforsikring AS'!G66+'Landkreditt Forsikring'!G66+'Nordea Liv '!G66+'Oslo Pensjonsforsikring'!G66+'Protector Forsikring'!G66+'SHB Liv'!G66+'Sparebank 1 Forsikring'!G66+'Storebrand Livsforsikring'!G66+'Telenor Forsikring'!G66+'Tryg Forsikring'!G66+'WaterCircles F'!G66+'Codan Forsikring'!G66+'Euro Accident'!G66+'Ly Forsikring'!G66+'Youplus Livsforsikring'!G66</f>
        <v>12099385.04476</v>
      </c>
      <c r="G66" s="171">
        <f t="shared" ref="G66:G68" si="24">IF(E66=0, "    ---- ", IF(ABS(ROUND(100/E66*F66-100,1))&lt;999,ROUND(100/E66*F66-100,1),IF(ROUND(100/E66*F66-100,1)&gt;999,999,-999)))</f>
        <v>22.3</v>
      </c>
      <c r="H66" s="331">
        <f t="shared" ref="H66:H86" si="25">SUM(B66,E66)</f>
        <v>12547093.913729999</v>
      </c>
      <c r="I66" s="331">
        <f t="shared" ref="I66:I86" si="26">SUM(C66,F66)</f>
        <v>15223605.010880001</v>
      </c>
      <c r="J66" s="24">
        <f t="shared" ref="J66:J111" si="27">IF(H66=0, "    ---- ", IF(ABS(ROUND(100/H66*I66-100,1))&lt;999,ROUND(100/H66*I66-100,1),IF(ROUND(100/H66*I66-100,1)&gt;999,999,-999)))</f>
        <v>21.3</v>
      </c>
    </row>
    <row r="67" spans="1:10" ht="15.75" customHeight="1" x14ac:dyDescent="0.25">
      <c r="A67" s="21" t="s">
        <v>9</v>
      </c>
      <c r="B67" s="234">
        <f>'Fremtind Livsforsikring'!B67+'Storebrand Danica Pensjon'!B67+'DNB Livsforsikring'!B67+'Eika Forsikring AS'!B67+'Frende Livsforsikring'!B67+'Frende Skadeforsikring'!B67+'Gjensidige Forsikring'!B67+'Gjensidige Pensjon'!B67+'Handelsbanken Liv'!B67+'If Skadeforsikring NUF'!B67+KLP!B67+'KLP Skadeforsikring AS'!B67+'Landkreditt Forsikring'!B67+'Nordea Liv '!B67+'Oslo Pensjonsforsikring'!B67+'Protector Forsikring'!B67+'SHB Liv'!B67+'Sparebank 1 Forsikring'!B67+'Storebrand Livsforsikring'!B67+'Telenor Forsikring'!B67+'Tryg Forsikring'!B67+'WaterCircles F'!B67+'Codan Forsikring'!B67+'Euro Accident'!B67+'Ly Forsikring'!B67+'Youplus Livsforsikring'!B67</f>
        <v>1948809.770789799</v>
      </c>
      <c r="C67" s="234">
        <f>'Fremtind Livsforsikring'!C67+'Storebrand Danica Pensjon'!C67+'DNB Livsforsikring'!C67+'Eika Forsikring AS'!C67+'Frende Livsforsikring'!C67+'Frende Skadeforsikring'!C67+'Gjensidige Forsikring'!C67+'Gjensidige Pensjon'!C67+'Handelsbanken Liv'!C67+'If Skadeforsikring NUF'!C67+KLP!C67+'KLP Skadeforsikring AS'!C67+'Landkreditt Forsikring'!C67+'Nordea Liv '!C67+'Oslo Pensjonsforsikring'!C67+'Protector Forsikring'!C67+'SHB Liv'!C67+'Sparebank 1 Forsikring'!C67+'Storebrand Livsforsikring'!C67+'Telenor Forsikring'!C67+'Tryg Forsikring'!C67+'WaterCircles F'!C67+'Codan Forsikring'!C67+'Euro Accident'!C67+'Ly Forsikring'!C67+'Youplus Livsforsikring'!C67</f>
        <v>2278038.1224372881</v>
      </c>
      <c r="D67" s="241">
        <f t="shared" si="23"/>
        <v>16.899999999999999</v>
      </c>
      <c r="E67" s="44"/>
      <c r="F67" s="44"/>
      <c r="G67" s="166"/>
      <c r="H67" s="237">
        <f t="shared" si="25"/>
        <v>1948809.770789799</v>
      </c>
      <c r="I67" s="237">
        <f t="shared" si="26"/>
        <v>2278038.1224372881</v>
      </c>
      <c r="J67" s="23">
        <f t="shared" si="27"/>
        <v>16.899999999999999</v>
      </c>
    </row>
    <row r="68" spans="1:10" ht="15.75" customHeight="1" x14ac:dyDescent="0.25">
      <c r="A68" s="21" t="s">
        <v>10</v>
      </c>
      <c r="B68" s="234">
        <f>'Fremtind Livsforsikring'!B68+'Storebrand Danica Pensjon'!B68+'DNB Livsforsikring'!B68+'Eika Forsikring AS'!B68+'Frende Livsforsikring'!B68+'Frende Skadeforsikring'!B68+'Gjensidige Forsikring'!B68+'Gjensidige Pensjon'!B68+'Handelsbanken Liv'!B68+'If Skadeforsikring NUF'!B68+KLP!B68+'KLP Skadeforsikring AS'!B68+'Landkreditt Forsikring'!B68+'Nordea Liv '!B68+'Oslo Pensjonsforsikring'!B68+'Protector Forsikring'!B68+'SHB Liv'!B68+'Sparebank 1 Forsikring'!B68+'Storebrand Livsforsikring'!B68+'Telenor Forsikring'!B68+'Tryg Forsikring'!B68+'WaterCircles F'!B68+'Codan Forsikring'!B68+'Euro Accident'!B68+'Ly Forsikring'!B68+'Youplus Livsforsikring'!B68</f>
        <v>10400.841469999999</v>
      </c>
      <c r="C68" s="234">
        <f>'Fremtind Livsforsikring'!C68+'Storebrand Danica Pensjon'!C68+'DNB Livsforsikring'!C68+'Eika Forsikring AS'!C68+'Frende Livsforsikring'!C68+'Frende Skadeforsikring'!C68+'Gjensidige Forsikring'!C68+'Gjensidige Pensjon'!C68+'Handelsbanken Liv'!C68+'If Skadeforsikring NUF'!C68+KLP!C68+'KLP Skadeforsikring AS'!C68+'Landkreditt Forsikring'!C68+'Nordea Liv '!C68+'Oslo Pensjonsforsikring'!C68+'Protector Forsikring'!C68+'SHB Liv'!C68+'Sparebank 1 Forsikring'!C68+'Storebrand Livsforsikring'!C68+'Telenor Forsikring'!C68+'Tryg Forsikring'!C68+'WaterCircles F'!C68+'Codan Forsikring'!C68+'Euro Accident'!C68+'Ly Forsikring'!C68+'Youplus Livsforsikring'!C68</f>
        <v>10743.69318</v>
      </c>
      <c r="D68" s="241">
        <f t="shared" si="23"/>
        <v>3.3</v>
      </c>
      <c r="E68" s="44">
        <f>'Fremtind Livsforsikring'!F68+'Storebrand Danica Pensjon'!F68+'DNB Livsforsikring'!F68+'Eika Forsikring AS'!F68+'Frende Livsforsikring'!F68+'Frende Skadeforsikring'!F68+'Gjensidige Forsikring'!F68+'Gjensidige Pensjon'!F68+'Handelsbanken Liv'!F68+'If Skadeforsikring NUF'!F68+KLP!F68+'KLP Skadeforsikring AS'!F68+'Landkreditt Forsikring'!F68+'Nordea Liv '!F68+'Oslo Pensjonsforsikring'!F68+'Protector Forsikring'!F68+'SHB Liv'!F68+'Sparebank 1 Forsikring'!F68+'Storebrand Livsforsikring'!F68+'Telenor Forsikring'!F68+'Tryg Forsikring'!F68+'WaterCircles F'!F68+'Codan Forsikring'!F68+'Euro Accident'!F68+'Ly Forsikring'!F68+'Youplus Livsforsikring'!F68</f>
        <v>9498593.5002799984</v>
      </c>
      <c r="F68" s="44">
        <f>'Fremtind Livsforsikring'!G68+'Storebrand Danica Pensjon'!G68+'DNB Livsforsikring'!G68+'Eika Forsikring AS'!G68+'Frende Livsforsikring'!G68+'Frende Skadeforsikring'!G68+'Gjensidige Forsikring'!G68+'Gjensidige Pensjon'!G68+'Handelsbanken Liv'!G68+'If Skadeforsikring NUF'!G68+KLP!G68+'KLP Skadeforsikring AS'!G68+'Landkreditt Forsikring'!G68+'Nordea Liv '!G68+'Oslo Pensjonsforsikring'!G68+'Protector Forsikring'!G68+'SHB Liv'!G68+'Sparebank 1 Forsikring'!G68+'Storebrand Livsforsikring'!G68+'Telenor Forsikring'!G68+'Tryg Forsikring'!G68+'WaterCircles F'!G68+'Codan Forsikring'!G68+'Euro Accident'!G68+'Ly Forsikring'!G68+'Youplus Livsforsikring'!G68</f>
        <v>11503074.73161</v>
      </c>
      <c r="G68" s="166">
        <f t="shared" si="24"/>
        <v>21.1</v>
      </c>
      <c r="H68" s="237">
        <f t="shared" si="25"/>
        <v>9508994.3417499978</v>
      </c>
      <c r="I68" s="237">
        <f t="shared" si="26"/>
        <v>11513818.424790001</v>
      </c>
      <c r="J68" s="23">
        <f t="shared" si="27"/>
        <v>21.1</v>
      </c>
    </row>
    <row r="69" spans="1:10" ht="15.75" customHeight="1" x14ac:dyDescent="0.2">
      <c r="A69" s="299" t="s">
        <v>363</v>
      </c>
      <c r="B69" s="44"/>
      <c r="C69" s="44"/>
      <c r="D69" s="27"/>
      <c r="E69" s="44"/>
      <c r="F69" s="44"/>
      <c r="G69" s="166"/>
      <c r="H69" s="237"/>
      <c r="I69" s="237"/>
      <c r="J69" s="23"/>
    </row>
    <row r="70" spans="1:10" ht="15.75" customHeight="1" x14ac:dyDescent="0.2">
      <c r="A70" s="299" t="s">
        <v>12</v>
      </c>
      <c r="B70" s="235"/>
      <c r="C70" s="235"/>
      <c r="D70" s="27"/>
      <c r="E70" s="44"/>
      <c r="F70" s="44"/>
      <c r="G70" s="166"/>
      <c r="H70" s="237"/>
      <c r="I70" s="237"/>
      <c r="J70" s="23"/>
    </row>
    <row r="71" spans="1:10" ht="15.75" customHeight="1" x14ac:dyDescent="0.2">
      <c r="A71" s="299" t="s">
        <v>13</v>
      </c>
      <c r="B71" s="235"/>
      <c r="C71" s="235"/>
      <c r="D71" s="27"/>
      <c r="E71" s="44"/>
      <c r="F71" s="44"/>
      <c r="G71" s="166"/>
      <c r="H71" s="237"/>
      <c r="I71" s="237"/>
      <c r="J71" s="23"/>
    </row>
    <row r="72" spans="1:10" ht="15.75" customHeight="1" x14ac:dyDescent="0.2">
      <c r="A72" s="299" t="s">
        <v>364</v>
      </c>
      <c r="B72" s="44"/>
      <c r="C72" s="44"/>
      <c r="D72" s="27"/>
      <c r="E72" s="44"/>
      <c r="F72" s="44"/>
      <c r="G72" s="166"/>
      <c r="H72" s="237"/>
      <c r="I72" s="237"/>
      <c r="J72" s="24"/>
    </row>
    <row r="73" spans="1:10" ht="15.75" customHeight="1" x14ac:dyDescent="0.2">
      <c r="A73" s="299" t="s">
        <v>12</v>
      </c>
      <c r="B73" s="235"/>
      <c r="C73" s="235"/>
      <c r="D73" s="27"/>
      <c r="E73" s="44"/>
      <c r="F73" s="44"/>
      <c r="G73" s="166"/>
      <c r="H73" s="237"/>
      <c r="I73" s="237"/>
      <c r="J73" s="23"/>
    </row>
    <row r="74" spans="1:10" s="3" customFormat="1" ht="15.75" customHeight="1" x14ac:dyDescent="0.2">
      <c r="A74" s="299" t="s">
        <v>13</v>
      </c>
      <c r="B74" s="235"/>
      <c r="C74" s="235"/>
      <c r="D74" s="27"/>
      <c r="E74" s="44"/>
      <c r="F74" s="44"/>
      <c r="G74" s="166"/>
      <c r="H74" s="237"/>
      <c r="I74" s="237"/>
      <c r="J74" s="23"/>
    </row>
    <row r="75" spans="1:10" s="3" customFormat="1" ht="15.75" customHeight="1" x14ac:dyDescent="0.2">
      <c r="A75" s="21" t="s">
        <v>335</v>
      </c>
      <c r="B75" s="44">
        <f>'Fremtind Livsforsikring'!B75+'Storebrand Danica Pensjon'!B75+'DNB Livsforsikring'!B75+'Eika Forsikring AS'!B75+'Frende Livsforsikring'!B75+'Frende Skadeforsikring'!B75+'Gjensidige Forsikring'!B75+'Gjensidige Pensjon'!B75+'Handelsbanken Liv'!B75+'If Skadeforsikring NUF'!B75+KLP!B75+'KLP Skadeforsikring AS'!B75+'Landkreditt Forsikring'!B75+'Nordea Liv '!B75+'Oslo Pensjonsforsikring'!B75+'Protector Forsikring'!B75+'SHB Liv'!B75+'Sparebank 1 Forsikring'!B75+'Storebrand Livsforsikring'!B75+'Telenor Forsikring'!B75+'Tryg Forsikring'!B75+'WaterCircles F'!B75+'Codan Forsikring'!B75+'Euro Accident'!B75+'Ly Forsikring'!B75+'Youplus Livsforsikring'!B75</f>
        <v>143305.45416000002</v>
      </c>
      <c r="C75" s="44">
        <f>'Fremtind Livsforsikring'!C75+'Storebrand Danica Pensjon'!C75+'DNB Livsforsikring'!C75+'Eika Forsikring AS'!C75+'Frende Livsforsikring'!C75+'Frende Skadeforsikring'!C75+'Gjensidige Forsikring'!C75+'Gjensidige Pensjon'!C75+'Handelsbanken Liv'!C75+'If Skadeforsikring NUF'!C75+KLP!C75+'KLP Skadeforsikring AS'!C75+'Landkreditt Forsikring'!C75+'Nordea Liv '!C75+'Oslo Pensjonsforsikring'!C75+'Protector Forsikring'!C75+'SHB Liv'!C75+'Sparebank 1 Forsikring'!C75+'Storebrand Livsforsikring'!C75+'Telenor Forsikring'!C75+'Tryg Forsikring'!C75+'WaterCircles F'!C75+'Codan Forsikring'!C75+'Euro Accident'!C75+'Ly Forsikring'!C75+'Youplus Livsforsikring'!C75</f>
        <v>168036.90376000002</v>
      </c>
      <c r="D75" s="23">
        <f t="shared" si="23"/>
        <v>17.3</v>
      </c>
      <c r="E75" s="44">
        <f>'Fremtind Livsforsikring'!F75+'Storebrand Danica Pensjon'!F75+'DNB Livsforsikring'!F75+'Eika Forsikring AS'!F75+'Frende Livsforsikring'!F75+'Frende Skadeforsikring'!F75+'Gjensidige Forsikring'!F75+'Gjensidige Pensjon'!F75+'Handelsbanken Liv'!F75+'If Skadeforsikring NUF'!F75+KLP!F75+'KLP Skadeforsikring AS'!F75+'Landkreditt Forsikring'!F75+'Nordea Liv '!F75+'Oslo Pensjonsforsikring'!F75+'Protector Forsikring'!F75+'SHB Liv'!F75+'Sparebank 1 Forsikring'!F75+'Storebrand Livsforsikring'!F75+'Telenor Forsikring'!F75+'Tryg Forsikring'!F75+'WaterCircles F'!F75+'Codan Forsikring'!F75+'Euro Accident'!F75+'Ly Forsikring'!F75+'Youplus Livsforsikring'!F75</f>
        <v>395574.37582000002</v>
      </c>
      <c r="F75" s="44">
        <f>'Fremtind Livsforsikring'!G75+'Storebrand Danica Pensjon'!G75+'DNB Livsforsikring'!G75+'Eika Forsikring AS'!G75+'Frende Livsforsikring'!G75+'Frende Skadeforsikring'!G75+'Gjensidige Forsikring'!G75+'Gjensidige Pensjon'!G75+'Handelsbanken Liv'!G75+'If Skadeforsikring NUF'!G75+KLP!G75+'KLP Skadeforsikring AS'!G75+'Landkreditt Forsikring'!G75+'Nordea Liv '!G75+'Oslo Pensjonsforsikring'!G75+'Protector Forsikring'!G75+'SHB Liv'!G75+'Sparebank 1 Forsikring'!G75+'Storebrand Livsforsikring'!G75+'Telenor Forsikring'!G75+'Tryg Forsikring'!G75+'WaterCircles F'!G75+'Codan Forsikring'!G75+'Euro Accident'!G75+'Ly Forsikring'!G75+'Youplus Livsforsikring'!G75</f>
        <v>596310.31315000006</v>
      </c>
      <c r="G75" s="166">
        <f t="shared" ref="G75" si="28">IF(E75=0, "    ---- ", IF(ABS(ROUND(100/E75*F75-100,1))&lt;999,ROUND(100/E75*F75-100,1),IF(ROUND(100/E75*F75-100,1)&gt;999,999,-999)))</f>
        <v>50.7</v>
      </c>
      <c r="H75" s="237">
        <f t="shared" si="25"/>
        <v>538879.82998000004</v>
      </c>
      <c r="I75" s="237">
        <f t="shared" si="26"/>
        <v>764347.21691000008</v>
      </c>
      <c r="J75" s="23">
        <f t="shared" si="27"/>
        <v>41.8</v>
      </c>
    </row>
    <row r="76" spans="1:10" s="3" customFormat="1" ht="15.75" customHeight="1" x14ac:dyDescent="0.2">
      <c r="A76" s="21" t="s">
        <v>334</v>
      </c>
      <c r="B76" s="44">
        <f>'Fremtind Livsforsikring'!B76+'Storebrand Danica Pensjon'!B76+'DNB Livsforsikring'!B76+'Eika Forsikring AS'!B76+'Frende Livsforsikring'!B76+'Frende Skadeforsikring'!B76+'Gjensidige Forsikring'!B76+'Gjensidige Pensjon'!B76+'Handelsbanken Liv'!B76+'If Skadeforsikring NUF'!B76+KLP!B76+'KLP Skadeforsikring AS'!B76+'Landkreditt Forsikring'!B76+'Nordea Liv '!B76+'Oslo Pensjonsforsikring'!B76+'Protector Forsikring'!B76+'SHB Liv'!B76+'Sparebank 1 Forsikring'!B76+'Storebrand Livsforsikring'!B76+'Telenor Forsikring'!B76+'Tryg Forsikring'!B76+'WaterCircles F'!B76+'Codan Forsikring'!B76+'Euro Accident'!B76+'Ly Forsikring'!B76+'Youplus Livsforsikring'!B76</f>
        <v>550409.97121020115</v>
      </c>
      <c r="C76" s="44">
        <f>'Fremtind Livsforsikring'!C76+'Storebrand Danica Pensjon'!C76+'DNB Livsforsikring'!C76+'Eika Forsikring AS'!C76+'Frende Livsforsikring'!C76+'Frende Skadeforsikring'!C76+'Gjensidige Forsikring'!C76+'Gjensidige Pensjon'!C76+'Handelsbanken Liv'!C76+'If Skadeforsikring NUF'!C76+KLP!C76+'KLP Skadeforsikring AS'!C76+'Landkreditt Forsikring'!C76+'Nordea Liv '!C76+'Oslo Pensjonsforsikring'!C76+'Protector Forsikring'!C76+'SHB Liv'!C76+'Sparebank 1 Forsikring'!C76+'Storebrand Livsforsikring'!C76+'Telenor Forsikring'!C76+'Tryg Forsikring'!C76+'WaterCircles F'!C76+'Codan Forsikring'!C76+'Euro Accident'!C76+'Ly Forsikring'!C76+'Youplus Livsforsikring'!C76</f>
        <v>667401.24674271222</v>
      </c>
      <c r="D76" s="23">
        <f t="shared" ref="D76" si="29">IF(B76=0, "    ---- ", IF(ABS(ROUND(100/B76*C76-100,1))&lt;999,ROUND(100/B76*C76-100,1),IF(ROUND(100/B76*C76-100,1)&gt;999,999,-999)))</f>
        <v>21.3</v>
      </c>
      <c r="E76" s="44"/>
      <c r="F76" s="44"/>
      <c r="G76" s="166"/>
      <c r="H76" s="237">
        <f t="shared" ref="H76" si="30">SUM(B76,E76)</f>
        <v>550409.97121020115</v>
      </c>
      <c r="I76" s="237">
        <f t="shared" ref="I76" si="31">SUM(C76,F76)</f>
        <v>667401.24674271222</v>
      </c>
      <c r="J76" s="23">
        <f t="shared" ref="J76" si="32">IF(H76=0, "    ---- ", IF(ABS(ROUND(100/H76*I76-100,1))&lt;999,ROUND(100/H76*I76-100,1),IF(ROUND(100/H76*I76-100,1)&gt;999,999,-999)))</f>
        <v>21.3</v>
      </c>
    </row>
    <row r="77" spans="1:10" ht="15.75" customHeight="1" x14ac:dyDescent="0.2">
      <c r="A77" s="21" t="s">
        <v>365</v>
      </c>
      <c r="B77" s="44">
        <f>'Fremtind Livsforsikring'!B77+'Storebrand Danica Pensjon'!B77+'DNB Livsforsikring'!B77+'Eika Forsikring AS'!B77+'Frende Livsforsikring'!B77+'Frende Skadeforsikring'!B77+'Gjensidige Forsikring'!B77+'Gjensidige Pensjon'!B77+'Handelsbanken Liv'!B77+'If Skadeforsikring NUF'!B77+KLP!B77+'KLP Skadeforsikring AS'!B77+'Landkreditt Forsikring'!B77+'Nordea Liv '!B77+'Oslo Pensjonsforsikring'!B77+'Protector Forsikring'!B77+'SHB Liv'!B77+'Sparebank 1 Forsikring'!B77+'Storebrand Livsforsikring'!B77+'Telenor Forsikring'!B77+'Tryg Forsikring'!B77+'WaterCircles F'!B77+'Codan Forsikring'!B77+'Euro Accident'!B77+'Ly Forsikring'!B77+'Youplus Livsforsikring'!B77</f>
        <v>1863822.094259799</v>
      </c>
      <c r="C77" s="44">
        <f>'Fremtind Livsforsikring'!C77+'Storebrand Danica Pensjon'!C77+'DNB Livsforsikring'!C77+'Eika Forsikring AS'!C77+'Frende Livsforsikring'!C77+'Frende Skadeforsikring'!C77+'Gjensidige Forsikring'!C77+'Gjensidige Pensjon'!C77+'Handelsbanken Liv'!C77+'If Skadeforsikring NUF'!C77+KLP!C77+'KLP Skadeforsikring AS'!C77+'Landkreditt Forsikring'!C77+'Nordea Liv '!C77+'Oslo Pensjonsforsikring'!C77+'Protector Forsikring'!C77+'SHB Liv'!C77+'Sparebank 1 Forsikring'!C77+'Storebrand Livsforsikring'!C77+'Telenor Forsikring'!C77+'Tryg Forsikring'!C77+'WaterCircles F'!C77+'Codan Forsikring'!C77+'Euro Accident'!C77+'Ly Forsikring'!C77+'Youplus Livsforsikring'!C77</f>
        <v>2214409.3656172883</v>
      </c>
      <c r="D77" s="23">
        <f t="shared" si="23"/>
        <v>18.8</v>
      </c>
      <c r="E77" s="44">
        <f>'Fremtind Livsforsikring'!F77+'Storebrand Danica Pensjon'!F77+'DNB Livsforsikring'!F77+'Eika Forsikring AS'!F77+'Frende Livsforsikring'!F77+'Frende Skadeforsikring'!F77+'Gjensidige Forsikring'!F77+'Gjensidige Pensjon'!F77+'Handelsbanken Liv'!F77+'If Skadeforsikring NUF'!F77+KLP!F77+'KLP Skadeforsikring AS'!F77+'Landkreditt Forsikring'!F77+'Nordea Liv '!F77+'Oslo Pensjonsforsikring'!F77+'Protector Forsikring'!F77+'SHB Liv'!F77+'Sparebank 1 Forsikring'!F77+'Storebrand Livsforsikring'!F77+'Telenor Forsikring'!F77+'Tryg Forsikring'!F77+'WaterCircles F'!F77+'Codan Forsikring'!F77+'Euro Accident'!F77+'Ly Forsikring'!F77+'Youplus Livsforsikring'!F77</f>
        <v>9494952.4133599997</v>
      </c>
      <c r="F77" s="44">
        <f>'Fremtind Livsforsikring'!G77+'Storebrand Danica Pensjon'!G77+'DNB Livsforsikring'!G77+'Eika Forsikring AS'!G77+'Frende Livsforsikring'!G77+'Frende Skadeforsikring'!G77+'Gjensidige Forsikring'!G77+'Gjensidige Pensjon'!G77+'Handelsbanken Liv'!G77+'If Skadeforsikring NUF'!G77+KLP!G77+'KLP Skadeforsikring AS'!G77+'Landkreditt Forsikring'!G77+'Nordea Liv '!G77+'Oslo Pensjonsforsikring'!G77+'Protector Forsikring'!G77+'SHB Liv'!G77+'Sparebank 1 Forsikring'!G77+'Storebrand Livsforsikring'!G77+'Telenor Forsikring'!G77+'Tryg Forsikring'!G77+'WaterCircles F'!G77+'Codan Forsikring'!G77+'Euro Accident'!G77+'Ly Forsikring'!G77+'Youplus Livsforsikring'!G77</f>
        <v>11499296.935419999</v>
      </c>
      <c r="G77" s="166">
        <f t="shared" ref="G77:G125" si="33">IF(E77=0, "    ---- ", IF(ABS(ROUND(100/E77*F77-100,1))&lt;999,ROUND(100/E77*F77-100,1),IF(ROUND(100/E77*F77-100,1)&gt;999,999,-999)))</f>
        <v>21.1</v>
      </c>
      <c r="H77" s="237">
        <f t="shared" si="25"/>
        <v>11358774.507619798</v>
      </c>
      <c r="I77" s="237">
        <f t="shared" si="26"/>
        <v>13713706.301037287</v>
      </c>
      <c r="J77" s="23">
        <f t="shared" si="27"/>
        <v>20.7</v>
      </c>
    </row>
    <row r="78" spans="1:10" ht="15.75" customHeight="1" x14ac:dyDescent="0.2">
      <c r="A78" s="21" t="s">
        <v>9</v>
      </c>
      <c r="B78" s="44">
        <f>'Fremtind Livsforsikring'!B78+'Storebrand Danica Pensjon'!B78+'DNB Livsforsikring'!B78+'Eika Forsikring AS'!B78+'Frende Livsforsikring'!B78+'Frende Skadeforsikring'!B78+'Gjensidige Forsikring'!B78+'Gjensidige Pensjon'!B78+'Handelsbanken Liv'!B78+'If Skadeforsikring NUF'!B78+KLP!B78+'KLP Skadeforsikring AS'!B78+'Landkreditt Forsikring'!B78+'Nordea Liv '!B78+'Oslo Pensjonsforsikring'!B78+'Protector Forsikring'!B78+'SHB Liv'!B78+'Sparebank 1 Forsikring'!B78+'Storebrand Livsforsikring'!B78+'Telenor Forsikring'!B78+'Tryg Forsikring'!B78+'WaterCircles F'!B78+'Codan Forsikring'!B78+'Euro Accident'!B78+'Ly Forsikring'!B78+'Youplus Livsforsikring'!B78</f>
        <v>1854455.0707897989</v>
      </c>
      <c r="C78" s="44">
        <f>'Fremtind Livsforsikring'!C78+'Storebrand Danica Pensjon'!C78+'DNB Livsforsikring'!C78+'Eika Forsikring AS'!C78+'Frende Livsforsikring'!C78+'Frende Skadeforsikring'!C78+'Gjensidige Forsikring'!C78+'Gjensidige Pensjon'!C78+'Handelsbanken Liv'!C78+'If Skadeforsikring NUF'!C78+KLP!C78+'KLP Skadeforsikring AS'!C78+'Landkreditt Forsikring'!C78+'Nordea Liv '!C78+'Oslo Pensjonsforsikring'!C78+'Protector Forsikring'!C78+'SHB Liv'!C78+'Sparebank 1 Forsikring'!C78+'Storebrand Livsforsikring'!C78+'Telenor Forsikring'!C78+'Tryg Forsikring'!C78+'WaterCircles F'!C78+'Codan Forsikring'!C78+'Euro Accident'!C78+'Ly Forsikring'!C78+'Youplus Livsforsikring'!C78</f>
        <v>2203665.6724372879</v>
      </c>
      <c r="D78" s="23">
        <f t="shared" si="23"/>
        <v>18.8</v>
      </c>
      <c r="E78" s="44"/>
      <c r="F78" s="44"/>
      <c r="G78" s="166"/>
      <c r="H78" s="237">
        <f t="shared" si="25"/>
        <v>1854455.0707897989</v>
      </c>
      <c r="I78" s="237">
        <f t="shared" si="26"/>
        <v>2203665.6724372879</v>
      </c>
      <c r="J78" s="23">
        <f t="shared" si="27"/>
        <v>18.8</v>
      </c>
    </row>
    <row r="79" spans="1:10" ht="15.75" customHeight="1" x14ac:dyDescent="0.2">
      <c r="A79" s="38" t="s">
        <v>399</v>
      </c>
      <c r="B79" s="44">
        <f>'Fremtind Livsforsikring'!B79+'Storebrand Danica Pensjon'!B79+'DNB Livsforsikring'!B79+'Eika Forsikring AS'!B79+'Frende Livsforsikring'!B79+'Frende Skadeforsikring'!B79+'Gjensidige Forsikring'!B79+'Gjensidige Pensjon'!B79+'Handelsbanken Liv'!B79+'If Skadeforsikring NUF'!B79+KLP!B79+'KLP Skadeforsikring AS'!B79+'Landkreditt Forsikring'!B79+'Nordea Liv '!B79+'Oslo Pensjonsforsikring'!B79+'Protector Forsikring'!B79+'SHB Liv'!B79+'Sparebank 1 Forsikring'!B79+'Storebrand Livsforsikring'!B79+'Telenor Forsikring'!B79+'Tryg Forsikring'!B79+'WaterCircles F'!B79+'Codan Forsikring'!B79+'Euro Accident'!B79+'Ly Forsikring'!B79+'Youplus Livsforsikring'!B79</f>
        <v>9367.0234700000001</v>
      </c>
      <c r="C79" s="44">
        <f>'Fremtind Livsforsikring'!C79+'Storebrand Danica Pensjon'!C79+'DNB Livsforsikring'!C79+'Eika Forsikring AS'!C79+'Frende Livsforsikring'!C79+'Frende Skadeforsikring'!C79+'Gjensidige Forsikring'!C79+'Gjensidige Pensjon'!C79+'Handelsbanken Liv'!C79+'If Skadeforsikring NUF'!C79+KLP!C79+'KLP Skadeforsikring AS'!C79+'Landkreditt Forsikring'!C79+'Nordea Liv '!C79+'Oslo Pensjonsforsikring'!C79+'Protector Forsikring'!C79+'SHB Liv'!C79+'Sparebank 1 Forsikring'!C79+'Storebrand Livsforsikring'!C79+'Telenor Forsikring'!C79+'Tryg Forsikring'!C79+'WaterCircles F'!C79+'Codan Forsikring'!C79+'Euro Accident'!C79+'Ly Forsikring'!C79+'Youplus Livsforsikring'!C79</f>
        <v>10743.69318</v>
      </c>
      <c r="D79" s="23">
        <f t="shared" si="23"/>
        <v>14.7</v>
      </c>
      <c r="E79" s="44">
        <f>'Fremtind Livsforsikring'!F79+'Storebrand Danica Pensjon'!F79+'DNB Livsforsikring'!F79+'Eika Forsikring AS'!F79+'Frende Livsforsikring'!F79+'Frende Skadeforsikring'!F79+'Gjensidige Forsikring'!F79+'Gjensidige Pensjon'!F79+'Handelsbanken Liv'!F79+'If Skadeforsikring NUF'!F79+KLP!F79+'KLP Skadeforsikring AS'!F79+'Landkreditt Forsikring'!F79+'Nordea Liv '!F79+'Oslo Pensjonsforsikring'!F79+'Protector Forsikring'!F79+'SHB Liv'!F79+'Sparebank 1 Forsikring'!F79+'Storebrand Livsforsikring'!F79+'Telenor Forsikring'!F79+'Tryg Forsikring'!F79+'WaterCircles F'!F79+'Codan Forsikring'!F79+'Euro Accident'!F79+'Ly Forsikring'!F79+'Youplus Livsforsikring'!F79</f>
        <v>9494952.4133599997</v>
      </c>
      <c r="F79" s="44">
        <f>'Fremtind Livsforsikring'!G79+'Storebrand Danica Pensjon'!G79+'DNB Livsforsikring'!G79+'Eika Forsikring AS'!G79+'Frende Livsforsikring'!G79+'Frende Skadeforsikring'!G79+'Gjensidige Forsikring'!G79+'Gjensidige Pensjon'!G79+'Handelsbanken Liv'!G79+'If Skadeforsikring NUF'!G79+KLP!G79+'KLP Skadeforsikring AS'!G79+'Landkreditt Forsikring'!G79+'Nordea Liv '!G79+'Oslo Pensjonsforsikring'!G79+'Protector Forsikring'!G79+'SHB Liv'!G79+'Sparebank 1 Forsikring'!G79+'Storebrand Livsforsikring'!G79+'Telenor Forsikring'!G79+'Tryg Forsikring'!G79+'WaterCircles F'!G79+'Codan Forsikring'!G79+'Euro Accident'!G79+'Ly Forsikring'!G79+'Youplus Livsforsikring'!G79</f>
        <v>11499296.935419999</v>
      </c>
      <c r="G79" s="166">
        <f t="shared" si="33"/>
        <v>21.1</v>
      </c>
      <c r="H79" s="237">
        <f t="shared" si="25"/>
        <v>9504319.4368299991</v>
      </c>
      <c r="I79" s="237">
        <f t="shared" si="26"/>
        <v>11510040.628599999</v>
      </c>
      <c r="J79" s="23">
        <f t="shared" si="27"/>
        <v>21.1</v>
      </c>
    </row>
    <row r="80" spans="1:10" ht="15.75" customHeight="1" x14ac:dyDescent="0.2">
      <c r="A80" s="299" t="s">
        <v>363</v>
      </c>
      <c r="B80" s="44"/>
      <c r="C80" s="44"/>
      <c r="D80" s="27"/>
      <c r="E80" s="44"/>
      <c r="F80" s="44"/>
      <c r="G80" s="166"/>
      <c r="H80" s="237"/>
      <c r="I80" s="237"/>
      <c r="J80" s="23"/>
    </row>
    <row r="81" spans="1:10" ht="15.75" customHeight="1" x14ac:dyDescent="0.2">
      <c r="A81" s="299" t="s">
        <v>12</v>
      </c>
      <c r="B81" s="235"/>
      <c r="C81" s="235"/>
      <c r="D81" s="27"/>
      <c r="E81" s="44"/>
      <c r="F81" s="44"/>
      <c r="G81" s="166"/>
      <c r="H81" s="237"/>
      <c r="I81" s="237"/>
      <c r="J81" s="23"/>
    </row>
    <row r="82" spans="1:10" ht="15.75" customHeight="1" x14ac:dyDescent="0.2">
      <c r="A82" s="299" t="s">
        <v>13</v>
      </c>
      <c r="B82" s="235"/>
      <c r="C82" s="235"/>
      <c r="D82" s="27"/>
      <c r="E82" s="44"/>
      <c r="F82" s="44"/>
      <c r="G82" s="166"/>
      <c r="H82" s="237"/>
      <c r="I82" s="237"/>
      <c r="J82" s="23"/>
    </row>
    <row r="83" spans="1:10" ht="15.75" customHeight="1" x14ac:dyDescent="0.2">
      <c r="A83" s="299" t="s">
        <v>364</v>
      </c>
      <c r="B83" s="44"/>
      <c r="C83" s="44"/>
      <c r="D83" s="27"/>
      <c r="E83" s="44"/>
      <c r="F83" s="44"/>
      <c r="G83" s="166"/>
      <c r="H83" s="237"/>
      <c r="I83" s="237"/>
      <c r="J83" s="24"/>
    </row>
    <row r="84" spans="1:10" ht="15.75" customHeight="1" x14ac:dyDescent="0.2">
      <c r="A84" s="299" t="s">
        <v>12</v>
      </c>
      <c r="B84" s="235"/>
      <c r="C84" s="235"/>
      <c r="D84" s="27"/>
      <c r="E84" s="44"/>
      <c r="F84" s="44"/>
      <c r="G84" s="166"/>
      <c r="H84" s="237"/>
      <c r="I84" s="237"/>
      <c r="J84" s="23"/>
    </row>
    <row r="85" spans="1:10" ht="15.75" customHeight="1" x14ac:dyDescent="0.2">
      <c r="A85" s="299" t="s">
        <v>13</v>
      </c>
      <c r="B85" s="235"/>
      <c r="C85" s="235"/>
      <c r="D85" s="27"/>
      <c r="E85" s="44"/>
      <c r="F85" s="44"/>
      <c r="G85" s="166"/>
      <c r="H85" s="237"/>
      <c r="I85" s="237"/>
      <c r="J85" s="23"/>
    </row>
    <row r="86" spans="1:10" ht="15.75" customHeight="1" x14ac:dyDescent="0.2">
      <c r="A86" s="21" t="s">
        <v>366</v>
      </c>
      <c r="B86" s="234">
        <f>'Fremtind Livsforsikring'!B86+'Storebrand Danica Pensjon'!B86+'DNB Livsforsikring'!B86+'Eika Forsikring AS'!B86+'Frende Livsforsikring'!B86+'Frende Skadeforsikring'!B86+'Gjensidige Forsikring'!B86+'Gjensidige Pensjon'!B86+'Handelsbanken Liv'!B86+'If Skadeforsikring NUF'!B86+KLP!B86+'KLP Skadeforsikring AS'!B86+'Landkreditt Forsikring'!B86+'Nordea Liv '!B86+'Oslo Pensjonsforsikring'!B86+'Protector Forsikring'!B86+'SHB Liv'!B86+'Sparebank 1 Forsikring'!B86+'Storebrand Livsforsikring'!B86+'Telenor Forsikring'!B86+'Tryg Forsikring'!B86+'WaterCircles F'!B86+'Codan Forsikring'!B86+'Euro Accident'!B86+'Ly Forsikring'!B86+'Youplus Livsforsikring'!B86</f>
        <v>95388.546000000002</v>
      </c>
      <c r="C86" s="234">
        <f>'Fremtind Livsforsikring'!C86+'Storebrand Danica Pensjon'!C86+'DNB Livsforsikring'!C86+'Eika Forsikring AS'!C86+'Frende Livsforsikring'!C86+'Frende Skadeforsikring'!C86+'Gjensidige Forsikring'!C86+'Gjensidige Pensjon'!C86+'Handelsbanken Liv'!C86+'If Skadeforsikring NUF'!C86+KLP!C86+'KLP Skadeforsikring AS'!C86+'Landkreditt Forsikring'!C86+'Nordea Liv '!C86+'Oslo Pensjonsforsikring'!C86+'Protector Forsikring'!C86+'SHB Liv'!C86+'Sparebank 1 Forsikring'!C86+'Storebrand Livsforsikring'!C86+'Telenor Forsikring'!C86+'Tryg Forsikring'!C86+'WaterCircles F'!C86+'Codan Forsikring'!C86+'Euro Accident'!C86+'Ly Forsikring'!C86+'Youplus Livsforsikring'!C86</f>
        <v>74372.578000000009</v>
      </c>
      <c r="D86" s="23">
        <f t="shared" si="23"/>
        <v>-22</v>
      </c>
      <c r="E86" s="44">
        <f>'Fremtind Livsforsikring'!F86+'Storebrand Danica Pensjon'!F86+'DNB Livsforsikring'!F86+'Eika Forsikring AS'!F86+'Frende Livsforsikring'!F86+'Frende Skadeforsikring'!F86+'Gjensidige Forsikring'!F86+'Gjensidige Pensjon'!F86+'Handelsbanken Liv'!F86+'If Skadeforsikring NUF'!F86+KLP!F86+'KLP Skadeforsikring AS'!F86+'Landkreditt Forsikring'!F86+'Nordea Liv '!F86+'Oslo Pensjonsforsikring'!F86+'Protector Forsikring'!F86+'SHB Liv'!F86+'Sparebank 1 Forsikring'!F86+'Storebrand Livsforsikring'!F86+'Telenor Forsikring'!F86+'Tryg Forsikring'!F86+'WaterCircles F'!F86+'Codan Forsikring'!F86+'Euro Accident'!F86+'Ly Forsikring'!F86+'Youplus Livsforsikring'!F86</f>
        <v>3641.0869199999997</v>
      </c>
      <c r="F86" s="44">
        <f>'Fremtind Livsforsikring'!G86+'Storebrand Danica Pensjon'!G86+'DNB Livsforsikring'!G86+'Eika Forsikring AS'!G86+'Frende Livsforsikring'!G86+'Frende Skadeforsikring'!G86+'Gjensidige Forsikring'!G86+'Gjensidige Pensjon'!G86+'Handelsbanken Liv'!G86+'If Skadeforsikring NUF'!G86+KLP!G86+'KLP Skadeforsikring AS'!G86+'Landkreditt Forsikring'!G86+'Nordea Liv '!G86+'Oslo Pensjonsforsikring'!G86+'Protector Forsikring'!G86+'SHB Liv'!G86+'Sparebank 1 Forsikring'!G86+'Storebrand Livsforsikring'!G86+'Telenor Forsikring'!G86+'Tryg Forsikring'!G86+'WaterCircles F'!G86+'Codan Forsikring'!G86+'Euro Accident'!G86+'Ly Forsikring'!G86+'Youplus Livsforsikring'!G86</f>
        <v>3777.79619</v>
      </c>
      <c r="G86" s="166">
        <f t="shared" si="33"/>
        <v>3.8</v>
      </c>
      <c r="H86" s="237">
        <f t="shared" si="25"/>
        <v>99029.632920000004</v>
      </c>
      <c r="I86" s="237">
        <f t="shared" si="26"/>
        <v>78150.374190000002</v>
      </c>
      <c r="J86" s="23">
        <f t="shared" si="27"/>
        <v>-21.1</v>
      </c>
    </row>
    <row r="87" spans="1:10" s="43" customFormat="1" ht="15.75" customHeight="1" x14ac:dyDescent="0.2">
      <c r="A87" s="13" t="s">
        <v>348</v>
      </c>
      <c r="B87" s="311">
        <f>'Fremtind Livsforsikring'!B87+'Storebrand Danica Pensjon'!B87+'DNB Livsforsikring'!B87+'Eika Forsikring AS'!B87+'Frende Livsforsikring'!B87+'Frende Skadeforsikring'!B87+'Gjensidige Forsikring'!B87+'Gjensidige Pensjon'!B87+'Handelsbanken Liv'!B87+'If Skadeforsikring NUF'!B87+KLP!B87+'KLP Skadeforsikring AS'!B87+'Landkreditt Forsikring'!B87+'Nordea Liv '!B87+'Oslo Pensjonsforsikring'!B87+'Protector Forsikring'!B87+'SHB Liv'!B87+'Sparebank 1 Forsikring'!B87+'Storebrand Livsforsikring'!B87+'Telenor Forsikring'!B87+'Tryg Forsikring'!B87+'WaterCircles F'!B87+'Codan Forsikring'!B87+'Euro Accident'!B87+'Ly Forsikring'!B87+'Youplus Livsforsikring'!B87</f>
        <v>404551313.40177226</v>
      </c>
      <c r="C87" s="311">
        <f>'Fremtind Livsforsikring'!C87+'Storebrand Danica Pensjon'!C87+'DNB Livsforsikring'!C87+'Eika Forsikring AS'!C87+'Frende Livsforsikring'!C87+'Frende Skadeforsikring'!C87+'Gjensidige Forsikring'!C87+'Gjensidige Pensjon'!C87+'Handelsbanken Liv'!C87+'If Skadeforsikring NUF'!C87+KLP!C87+'KLP Skadeforsikring AS'!C87+'Landkreditt Forsikring'!C87+'Nordea Liv '!C87+'Oslo Pensjonsforsikring'!C87+'Protector Forsikring'!C87+'SHB Liv'!C87+'Sparebank 1 Forsikring'!C87+'Storebrand Livsforsikring'!C87+'Telenor Forsikring'!C87+'Tryg Forsikring'!C87+'WaterCircles F'!C87+'Codan Forsikring'!C87+'Euro Accident'!C87+'Ly Forsikring'!C87+'Youplus Livsforsikring'!C87</f>
        <v>397806064.01605344</v>
      </c>
      <c r="D87" s="24">
        <f t="shared" si="23"/>
        <v>-1.7</v>
      </c>
      <c r="E87" s="236">
        <f>'Fremtind Livsforsikring'!F87+'Storebrand Danica Pensjon'!F87+'DNB Livsforsikring'!F87+'Eika Forsikring AS'!F87+'Frende Livsforsikring'!F87+'Frende Skadeforsikring'!F87+'Gjensidige Forsikring'!F87+'Gjensidige Pensjon'!F87+'Handelsbanken Liv'!F87+'If Skadeforsikring NUF'!F87+KLP!F87+'KLP Skadeforsikring AS'!F87+'Landkreditt Forsikring'!F87+'Nordea Liv '!F87+'Oslo Pensjonsforsikring'!F87+'Protector Forsikring'!F87+'SHB Liv'!F87+'Sparebank 1 Forsikring'!F87+'Storebrand Livsforsikring'!F87+'Telenor Forsikring'!F87+'Tryg Forsikring'!F87+'WaterCircles F'!F87+'Codan Forsikring'!F87+'Euro Accident'!F87+'Ly Forsikring'!F87+'Youplus Livsforsikring'!F87</f>
        <v>443120347.16908503</v>
      </c>
      <c r="F87" s="236">
        <f>'Fremtind Livsforsikring'!G87+'Storebrand Danica Pensjon'!G87+'DNB Livsforsikring'!G87+'Eika Forsikring AS'!G87+'Frende Livsforsikring'!G87+'Frende Skadeforsikring'!G87+'Gjensidige Forsikring'!G87+'Gjensidige Pensjon'!G87+'Handelsbanken Liv'!G87+'If Skadeforsikring NUF'!G87+KLP!G87+'KLP Skadeforsikring AS'!G87+'Landkreditt Forsikring'!G87+'Nordea Liv '!G87+'Oslo Pensjonsforsikring'!G87+'Protector Forsikring'!G87+'SHB Liv'!G87+'Sparebank 1 Forsikring'!G87+'Storebrand Livsforsikring'!G87+'Telenor Forsikring'!G87+'Tryg Forsikring'!G87+'WaterCircles F'!G87+'Codan Forsikring'!G87+'Euro Accident'!G87+'Ly Forsikring'!G87+'Youplus Livsforsikring'!G87</f>
        <v>475664038.5901199</v>
      </c>
      <c r="G87" s="171">
        <f t="shared" si="33"/>
        <v>7.3</v>
      </c>
      <c r="H87" s="331">
        <f t="shared" ref="H87:H111" si="34">SUM(B87,E87)</f>
        <v>847671660.57085729</v>
      </c>
      <c r="I87" s="331">
        <f t="shared" ref="I87:I111" si="35">SUM(C87,F87)</f>
        <v>873470102.60617328</v>
      </c>
      <c r="J87" s="24">
        <f t="shared" si="27"/>
        <v>3</v>
      </c>
    </row>
    <row r="88" spans="1:10" ht="15.75" customHeight="1" x14ac:dyDescent="0.2">
      <c r="A88" s="21" t="s">
        <v>9</v>
      </c>
      <c r="B88" s="234">
        <f>'Fremtind Livsforsikring'!B88+'Storebrand Danica Pensjon'!B88+'DNB Livsforsikring'!B88+'Eika Forsikring AS'!B88+'Frende Livsforsikring'!B88+'Frende Skadeforsikring'!B88+'Gjensidige Forsikring'!B88+'Gjensidige Pensjon'!B88+'Handelsbanken Liv'!B88+'If Skadeforsikring NUF'!B88+KLP!B88+'KLP Skadeforsikring AS'!B88+'Landkreditt Forsikring'!B88+'Nordea Liv '!B88+'Oslo Pensjonsforsikring'!B88+'Protector Forsikring'!B88+'SHB Liv'!B88+'Sparebank 1 Forsikring'!B88+'Storebrand Livsforsikring'!B88+'Telenor Forsikring'!B88+'Tryg Forsikring'!B88+'WaterCircles F'!B88+'Codan Forsikring'!B88+'Euro Accident'!B88+'Ly Forsikring'!B88+'Youplus Livsforsikring'!B88</f>
        <v>390272908.72976112</v>
      </c>
      <c r="C88" s="234">
        <f>'Fremtind Livsforsikring'!C88+'Storebrand Danica Pensjon'!C88+'DNB Livsforsikring'!C88+'Eika Forsikring AS'!C88+'Frende Livsforsikring'!C88+'Frende Skadeforsikring'!C88+'Gjensidige Forsikring'!C88+'Gjensidige Pensjon'!C88+'Handelsbanken Liv'!C88+'If Skadeforsikring NUF'!C88+KLP!C88+'KLP Skadeforsikring AS'!C88+'Landkreditt Forsikring'!C88+'Nordea Liv '!C88+'Oslo Pensjonsforsikring'!C88+'Protector Forsikring'!C88+'SHB Liv'!C88+'Sparebank 1 Forsikring'!C88+'Storebrand Livsforsikring'!C88+'Telenor Forsikring'!C88+'Tryg Forsikring'!C88+'WaterCircles F'!C88+'Codan Forsikring'!C88+'Euro Accident'!C88+'Ly Forsikring'!C88+'Youplus Livsforsikring'!C88</f>
        <v>382530932.43491673</v>
      </c>
      <c r="D88" s="23">
        <f t="shared" si="23"/>
        <v>-2</v>
      </c>
      <c r="E88" s="44"/>
      <c r="F88" s="44"/>
      <c r="G88" s="166"/>
      <c r="H88" s="237">
        <f t="shared" si="34"/>
        <v>390272908.72976112</v>
      </c>
      <c r="I88" s="237">
        <f t="shared" si="35"/>
        <v>382530932.43491673</v>
      </c>
      <c r="J88" s="23">
        <f t="shared" si="27"/>
        <v>-2</v>
      </c>
    </row>
    <row r="89" spans="1:10" ht="15.75" customHeight="1" x14ac:dyDescent="0.2">
      <c r="A89" s="21" t="s">
        <v>10</v>
      </c>
      <c r="B89" s="234">
        <f>'Fremtind Livsforsikring'!B89+'Storebrand Danica Pensjon'!B89+'DNB Livsforsikring'!B89+'Eika Forsikring AS'!B89+'Frende Livsforsikring'!B89+'Frende Skadeforsikring'!B89+'Gjensidige Forsikring'!B89+'Gjensidige Pensjon'!B89+'Handelsbanken Liv'!B89+'If Skadeforsikring NUF'!B89+KLP!B89+'KLP Skadeforsikring AS'!B89+'Landkreditt Forsikring'!B89+'Nordea Liv '!B89+'Oslo Pensjonsforsikring'!B89+'Protector Forsikring'!B89+'SHB Liv'!B89+'Sparebank 1 Forsikring'!B89+'Storebrand Livsforsikring'!B89+'Telenor Forsikring'!B89+'Tryg Forsikring'!B89+'WaterCircles F'!B89+'Codan Forsikring'!B89+'Euro Accident'!B89+'Ly Forsikring'!B89+'Youplus Livsforsikring'!B89</f>
        <v>3160052.8691211799</v>
      </c>
      <c r="C89" s="234">
        <f>'Fremtind Livsforsikring'!C89+'Storebrand Danica Pensjon'!C89+'DNB Livsforsikring'!C89+'Eika Forsikring AS'!C89+'Frende Livsforsikring'!C89+'Frende Skadeforsikring'!C89+'Gjensidige Forsikring'!C89+'Gjensidige Pensjon'!C89+'Handelsbanken Liv'!C89+'If Skadeforsikring NUF'!C89+KLP!C89+'KLP Skadeforsikring AS'!C89+'Landkreditt Forsikring'!C89+'Nordea Liv '!C89+'Oslo Pensjonsforsikring'!C89+'Protector Forsikring'!C89+'SHB Liv'!C89+'Sparebank 1 Forsikring'!C89+'Storebrand Livsforsikring'!C89+'Telenor Forsikring'!C89+'Tryg Forsikring'!C89+'WaterCircles F'!C89+'Codan Forsikring'!C89+'Euro Accident'!C89+'Ly Forsikring'!C89+'Youplus Livsforsikring'!C89</f>
        <v>2234395.1493767696</v>
      </c>
      <c r="D89" s="23">
        <f t="shared" si="23"/>
        <v>-29.3</v>
      </c>
      <c r="E89" s="44">
        <f>'Fremtind Livsforsikring'!F89+'Storebrand Danica Pensjon'!F89+'DNB Livsforsikring'!F89+'Eika Forsikring AS'!F89+'Frende Livsforsikring'!F89+'Frende Skadeforsikring'!F89+'Gjensidige Forsikring'!F89+'Gjensidige Pensjon'!F89+'Handelsbanken Liv'!F89+'If Skadeforsikring NUF'!F89+KLP!F89+'KLP Skadeforsikring AS'!F89+'Landkreditt Forsikring'!F89+'Nordea Liv '!F89+'Oslo Pensjonsforsikring'!F89+'Protector Forsikring'!F89+'SHB Liv'!F89+'Sparebank 1 Forsikring'!F89+'Storebrand Livsforsikring'!F89+'Telenor Forsikring'!F89+'Tryg Forsikring'!F89+'WaterCircles F'!F89+'Codan Forsikring'!F89+'Euro Accident'!F89+'Ly Forsikring'!F89+'Youplus Livsforsikring'!F89</f>
        <v>438146052.72193503</v>
      </c>
      <c r="F89" s="44">
        <f>'Fremtind Livsforsikring'!G89+'Storebrand Danica Pensjon'!G89+'DNB Livsforsikring'!G89+'Eika Forsikring AS'!G89+'Frende Livsforsikring'!G89+'Frende Skadeforsikring'!G89+'Gjensidige Forsikring'!G89+'Gjensidige Pensjon'!G89+'Handelsbanken Liv'!G89+'If Skadeforsikring NUF'!G89+KLP!G89+'KLP Skadeforsikring AS'!G89+'Landkreditt Forsikring'!G89+'Nordea Liv '!G89+'Oslo Pensjonsforsikring'!G89+'Protector Forsikring'!G89+'SHB Liv'!G89+'Sparebank 1 Forsikring'!G89+'Storebrand Livsforsikring'!G89+'Telenor Forsikring'!G89+'Tryg Forsikring'!G89+'WaterCircles F'!G89+'Codan Forsikring'!G89+'Euro Accident'!G89+'Ly Forsikring'!G89+'Youplus Livsforsikring'!G89</f>
        <v>469439958.41088986</v>
      </c>
      <c r="G89" s="166">
        <f t="shared" si="33"/>
        <v>7.1</v>
      </c>
      <c r="H89" s="237">
        <f t="shared" si="34"/>
        <v>441306105.59105623</v>
      </c>
      <c r="I89" s="237">
        <f t="shared" si="35"/>
        <v>471674353.56026661</v>
      </c>
      <c r="J89" s="23">
        <f t="shared" si="27"/>
        <v>6.9</v>
      </c>
    </row>
    <row r="90" spans="1:10" ht="15.75" customHeight="1" x14ac:dyDescent="0.2">
      <c r="A90" s="299" t="s">
        <v>363</v>
      </c>
      <c r="B90" s="44"/>
      <c r="C90" s="44"/>
      <c r="D90" s="27"/>
      <c r="E90" s="44"/>
      <c r="F90" s="44"/>
      <c r="G90" s="166"/>
      <c r="H90" s="237"/>
      <c r="I90" s="237"/>
      <c r="J90" s="23"/>
    </row>
    <row r="91" spans="1:10" ht="15.75" customHeight="1" x14ac:dyDescent="0.2">
      <c r="A91" s="299" t="s">
        <v>12</v>
      </c>
      <c r="B91" s="235"/>
      <c r="C91" s="235"/>
      <c r="D91" s="27"/>
      <c r="E91" s="44"/>
      <c r="F91" s="44"/>
      <c r="G91" s="166"/>
      <c r="H91" s="237"/>
      <c r="I91" s="237"/>
      <c r="J91" s="23"/>
    </row>
    <row r="92" spans="1:10" ht="15.75" customHeight="1" x14ac:dyDescent="0.2">
      <c r="A92" s="299" t="s">
        <v>13</v>
      </c>
      <c r="B92" s="235"/>
      <c r="C92" s="235"/>
      <c r="D92" s="27"/>
      <c r="E92" s="44"/>
      <c r="F92" s="44"/>
      <c r="G92" s="166"/>
      <c r="H92" s="237"/>
      <c r="I92" s="237"/>
      <c r="J92" s="23"/>
    </row>
    <row r="93" spans="1:10" ht="15.75" customHeight="1" x14ac:dyDescent="0.2">
      <c r="A93" s="299" t="s">
        <v>364</v>
      </c>
      <c r="B93" s="44"/>
      <c r="C93" s="44"/>
      <c r="D93" s="27"/>
      <c r="E93" s="44"/>
      <c r="F93" s="44"/>
      <c r="G93" s="166"/>
      <c r="H93" s="237"/>
      <c r="I93" s="237"/>
      <c r="J93" s="23"/>
    </row>
    <row r="94" spans="1:10" ht="15.75" customHeight="1" x14ac:dyDescent="0.2">
      <c r="A94" s="299" t="s">
        <v>12</v>
      </c>
      <c r="B94" s="235"/>
      <c r="C94" s="235"/>
      <c r="D94" s="27"/>
      <c r="E94" s="44"/>
      <c r="F94" s="44"/>
      <c r="G94" s="166"/>
      <c r="H94" s="237"/>
      <c r="I94" s="237"/>
      <c r="J94" s="23"/>
    </row>
    <row r="95" spans="1:10" ht="15.75" customHeight="1" x14ac:dyDescent="0.2">
      <c r="A95" s="299" t="s">
        <v>13</v>
      </c>
      <c r="B95" s="235"/>
      <c r="C95" s="235"/>
      <c r="D95" s="27"/>
      <c r="E95" s="44"/>
      <c r="F95" s="44"/>
      <c r="G95" s="166"/>
      <c r="H95" s="237"/>
      <c r="I95" s="237"/>
      <c r="J95" s="23"/>
    </row>
    <row r="96" spans="1:10" ht="15.75" customHeight="1" x14ac:dyDescent="0.2">
      <c r="A96" s="21" t="s">
        <v>335</v>
      </c>
      <c r="B96" s="234">
        <f>'Fremtind Livsforsikring'!B96+'Storebrand Danica Pensjon'!B96+'DNB Livsforsikring'!B96+'Eika Forsikring AS'!B96+'Frende Livsforsikring'!B96+'Frende Skadeforsikring'!B96+'Gjensidige Forsikring'!B96+'Gjensidige Pensjon'!B96+'Handelsbanken Liv'!B96+'If Skadeforsikring NUF'!B96+KLP!B96+'KLP Skadeforsikring AS'!B96+'Landkreditt Forsikring'!B96+'Nordea Liv '!B96+'Oslo Pensjonsforsikring'!B96+'Protector Forsikring'!B96+'SHB Liv'!B96+'Sparebank 1 Forsikring'!B96+'Storebrand Livsforsikring'!B96+'Telenor Forsikring'!B96+'Tryg Forsikring'!B96+'WaterCircles F'!B96+'Codan Forsikring'!B96+'Euro Accident'!B96+'Ly Forsikring'!B96+'Youplus Livsforsikring'!B96</f>
        <v>3067354.5131700002</v>
      </c>
      <c r="C96" s="234">
        <f>'Fremtind Livsforsikring'!C96+'Storebrand Danica Pensjon'!C96+'DNB Livsforsikring'!C96+'Eika Forsikring AS'!C96+'Frende Livsforsikring'!C96+'Frende Skadeforsikring'!C96+'Gjensidige Forsikring'!C96+'Gjensidige Pensjon'!C96+'Handelsbanken Liv'!C96+'If Skadeforsikring NUF'!C96+KLP!C96+'KLP Skadeforsikring AS'!C96+'Landkreditt Forsikring'!C96+'Nordea Liv '!C96+'Oslo Pensjonsforsikring'!C96+'Protector Forsikring'!C96+'SHB Liv'!C96+'Sparebank 1 Forsikring'!C96+'Storebrand Livsforsikring'!C96+'Telenor Forsikring'!C96+'Tryg Forsikring'!C96+'WaterCircles F'!C96+'Codan Forsikring'!C96+'Euro Accident'!C96+'Ly Forsikring'!C96+'Youplus Livsforsikring'!C96</f>
        <v>4038661.5210600002</v>
      </c>
      <c r="D96" s="23">
        <f t="shared" si="23"/>
        <v>31.7</v>
      </c>
      <c r="E96" s="44">
        <f>'Fremtind Livsforsikring'!F96+'Storebrand Danica Pensjon'!F96+'DNB Livsforsikring'!F96+'Eika Forsikring AS'!F96+'Frende Livsforsikring'!F96+'Frende Skadeforsikring'!F96+'Gjensidige Forsikring'!F96+'Gjensidige Pensjon'!F96+'Handelsbanken Liv'!F96+'If Skadeforsikring NUF'!F96+KLP!F96+'KLP Skadeforsikring AS'!F96+'Landkreditt Forsikring'!F96+'Nordea Liv '!F96+'Oslo Pensjonsforsikring'!F96+'Protector Forsikring'!F96+'SHB Liv'!F96+'Sparebank 1 Forsikring'!F96+'Storebrand Livsforsikring'!F96+'Telenor Forsikring'!F96+'Tryg Forsikring'!F96+'WaterCircles F'!F96+'Codan Forsikring'!F96+'Euro Accident'!F96+'Ly Forsikring'!F96+'Youplus Livsforsikring'!F96</f>
        <v>4974294.4471499994</v>
      </c>
      <c r="F96" s="44">
        <f>'Fremtind Livsforsikring'!G96+'Storebrand Danica Pensjon'!G96+'DNB Livsforsikring'!G96+'Eika Forsikring AS'!G96+'Frende Livsforsikring'!G96+'Frende Skadeforsikring'!G96+'Gjensidige Forsikring'!G96+'Gjensidige Pensjon'!G96+'Handelsbanken Liv'!G96+'If Skadeforsikring NUF'!G96+KLP!G96+'KLP Skadeforsikring AS'!G96+'Landkreditt Forsikring'!G96+'Nordea Liv '!G96+'Oslo Pensjonsforsikring'!G96+'Protector Forsikring'!G96+'SHB Liv'!G96+'Sparebank 1 Forsikring'!G96+'Storebrand Livsforsikring'!G96+'Telenor Forsikring'!G96+'Tryg Forsikring'!G96+'WaterCircles F'!G96+'Codan Forsikring'!G96+'Euro Accident'!G96+'Ly Forsikring'!G96+'Youplus Livsforsikring'!G96</f>
        <v>6224080.1792300008</v>
      </c>
      <c r="G96" s="166">
        <f t="shared" si="33"/>
        <v>25.1</v>
      </c>
      <c r="H96" s="237">
        <f t="shared" si="34"/>
        <v>8041648.9603199996</v>
      </c>
      <c r="I96" s="237">
        <f t="shared" si="35"/>
        <v>10262741.700290002</v>
      </c>
      <c r="J96" s="23">
        <f t="shared" si="27"/>
        <v>27.6</v>
      </c>
    </row>
    <row r="97" spans="1:12" ht="15.75" customHeight="1" x14ac:dyDescent="0.2">
      <c r="A97" s="21" t="s">
        <v>334</v>
      </c>
      <c r="B97" s="234">
        <f>'Fremtind Livsforsikring'!B97+'Storebrand Danica Pensjon'!B97+'DNB Livsforsikring'!B97+'Eika Forsikring AS'!B97+'Frende Livsforsikring'!B97+'Frende Skadeforsikring'!B97+'Gjensidige Forsikring'!B97+'Gjensidige Pensjon'!B97+'Handelsbanken Liv'!B97+'If Skadeforsikring NUF'!B97+KLP!B97+'KLP Skadeforsikring AS'!B97+'Landkreditt Forsikring'!B97+'Nordea Liv '!B97+'Oslo Pensjonsforsikring'!B97+'Protector Forsikring'!B97+'SHB Liv'!B97+'Sparebank 1 Forsikring'!B97+'Storebrand Livsforsikring'!B97+'Telenor Forsikring'!B97+'Tryg Forsikring'!B97+'WaterCircles F'!B97+'Codan Forsikring'!B97+'Euro Accident'!B97+'Ly Forsikring'!B97+'Youplus Livsforsikring'!B97</f>
        <v>8050997.2897199998</v>
      </c>
      <c r="C97" s="234">
        <f>'Fremtind Livsforsikring'!C97+'Storebrand Danica Pensjon'!C97+'DNB Livsforsikring'!C97+'Eika Forsikring AS'!C97+'Frende Livsforsikring'!C97+'Frende Skadeforsikring'!C97+'Gjensidige Forsikring'!C97+'Gjensidige Pensjon'!C97+'Handelsbanken Liv'!C97+'If Skadeforsikring NUF'!C97+KLP!C97+'KLP Skadeforsikring AS'!C97+'Landkreditt Forsikring'!C97+'Nordea Liv '!C97+'Oslo Pensjonsforsikring'!C97+'Protector Forsikring'!C97+'SHB Liv'!C97+'Sparebank 1 Forsikring'!C97+'Storebrand Livsforsikring'!C97+'Telenor Forsikring'!C97+'Tryg Forsikring'!C97+'WaterCircles F'!C97+'Codan Forsikring'!C97+'Euro Accident'!C97+'Ly Forsikring'!C97+'Youplus Livsforsikring'!C97</f>
        <v>9002074.9107000008</v>
      </c>
      <c r="D97" s="23">
        <f t="shared" ref="D97" si="36">IF(B97=0, "    ---- ", IF(ABS(ROUND(100/B97*C97-100,1))&lt;999,ROUND(100/B97*C97-100,1),IF(ROUND(100/B97*C97-100,1)&gt;999,999,-999)))</f>
        <v>11.8</v>
      </c>
      <c r="E97" s="44"/>
      <c r="F97" s="44"/>
      <c r="G97" s="166"/>
      <c r="H97" s="237">
        <f t="shared" ref="H97" si="37">SUM(B97,E97)</f>
        <v>8050997.2897199998</v>
      </c>
      <c r="I97" s="237">
        <f t="shared" ref="I97" si="38">SUM(C97,F97)</f>
        <v>9002074.9107000008</v>
      </c>
      <c r="J97" s="23">
        <f t="shared" ref="J97" si="39">IF(H97=0, "    ---- ", IF(ABS(ROUND(100/H97*I97-100,1))&lt;999,ROUND(100/H97*I97-100,1),IF(ROUND(100/H97*I97-100,1)&gt;999,999,-999)))</f>
        <v>11.8</v>
      </c>
    </row>
    <row r="98" spans="1:12" ht="15.75" customHeight="1" x14ac:dyDescent="0.2">
      <c r="A98" s="21" t="s">
        <v>365</v>
      </c>
      <c r="B98" s="234">
        <f>'Fremtind Livsforsikring'!B98+'Storebrand Danica Pensjon'!B98+'DNB Livsforsikring'!B98+'Eika Forsikring AS'!B98+'Frende Livsforsikring'!B98+'Frende Skadeforsikring'!B98+'Gjensidige Forsikring'!B98+'Gjensidige Pensjon'!B98+'Handelsbanken Liv'!B98+'If Skadeforsikring NUF'!B98+KLP!B98+'KLP Skadeforsikring AS'!B98+'Landkreditt Forsikring'!B98+'Nordea Liv '!B98+'Oslo Pensjonsforsikring'!B98+'Protector Forsikring'!B98+'SHB Liv'!B98+'Sparebank 1 Forsikring'!B98+'Storebrand Livsforsikring'!B98+'Telenor Forsikring'!B98+'Tryg Forsikring'!B98+'WaterCircles F'!B98+'Codan Forsikring'!B98+'Euro Accident'!B98+'Ly Forsikring'!B98+'Youplus Livsforsikring'!B98</f>
        <v>388941375.41677237</v>
      </c>
      <c r="C98" s="234">
        <f>'Fremtind Livsforsikring'!C98+'Storebrand Danica Pensjon'!C98+'DNB Livsforsikring'!C98+'Eika Forsikring AS'!C98+'Frende Livsforsikring'!C98+'Frende Skadeforsikring'!C98+'Gjensidige Forsikring'!C98+'Gjensidige Pensjon'!C98+'Handelsbanken Liv'!C98+'If Skadeforsikring NUF'!C98+KLP!C98+'KLP Skadeforsikring AS'!C98+'Landkreditt Forsikring'!C98+'Nordea Liv '!C98+'Oslo Pensjonsforsikring'!C98+'Protector Forsikring'!C98+'SHB Liv'!C98+'Sparebank 1 Forsikring'!C98+'Storebrand Livsforsikring'!C98+'Telenor Forsikring'!C98+'Tryg Forsikring'!C98+'WaterCircles F'!C98+'Codan Forsikring'!C98+'Euro Accident'!C98+'Ly Forsikring'!C98+'Youplus Livsforsikring'!C98</f>
        <v>380365989.91929346</v>
      </c>
      <c r="D98" s="23">
        <f t="shared" si="23"/>
        <v>-2.2000000000000002</v>
      </c>
      <c r="E98" s="44">
        <f>'Fremtind Livsforsikring'!F98+'Storebrand Danica Pensjon'!F98+'DNB Livsforsikring'!F98+'Eika Forsikring AS'!F98+'Frende Livsforsikring'!F98+'Frende Skadeforsikring'!F98+'Gjensidige Forsikring'!F98+'Gjensidige Pensjon'!F98+'Handelsbanken Liv'!F98+'If Skadeforsikring NUF'!F98+KLP!F98+'KLP Skadeforsikring AS'!F98+'Landkreditt Forsikring'!F98+'Nordea Liv '!F98+'Oslo Pensjonsforsikring'!F98+'Protector Forsikring'!F98+'SHB Liv'!F98+'Sparebank 1 Forsikring'!F98+'Storebrand Livsforsikring'!F98+'Telenor Forsikring'!F98+'Tryg Forsikring'!F98+'WaterCircles F'!F98+'Codan Forsikring'!F98+'Euro Accident'!F98+'Ly Forsikring'!F98+'Youplus Livsforsikring'!F98</f>
        <v>437272529.85361505</v>
      </c>
      <c r="F98" s="44">
        <f>'Fremtind Livsforsikring'!G98+'Storebrand Danica Pensjon'!G98+'DNB Livsforsikring'!G98+'Eika Forsikring AS'!G98+'Frende Livsforsikring'!G98+'Frende Skadeforsikring'!G98+'Gjensidige Forsikring'!G98+'Gjensidige Pensjon'!G98+'Handelsbanken Liv'!G98+'If Skadeforsikring NUF'!G98+KLP!G98+'KLP Skadeforsikring AS'!G98+'Landkreditt Forsikring'!G98+'Nordea Liv '!G98+'Oslo Pensjonsforsikring'!G98+'Protector Forsikring'!G98+'SHB Liv'!G98+'Sparebank 1 Forsikring'!G98+'Storebrand Livsforsikring'!G98+'Telenor Forsikring'!G98+'Tryg Forsikring'!G98+'WaterCircles F'!G98+'Codan Forsikring'!G98+'Euro Accident'!G98+'Ly Forsikring'!G98+'Youplus Livsforsikring'!G98</f>
        <v>469245863.43257987</v>
      </c>
      <c r="G98" s="166">
        <f t="shared" si="33"/>
        <v>7.3</v>
      </c>
      <c r="H98" s="237">
        <f t="shared" si="34"/>
        <v>826213905.27038741</v>
      </c>
      <c r="I98" s="237">
        <f t="shared" si="35"/>
        <v>849611853.3518734</v>
      </c>
      <c r="J98" s="23">
        <f t="shared" si="27"/>
        <v>2.8</v>
      </c>
    </row>
    <row r="99" spans="1:12" ht="15.75" customHeight="1" x14ac:dyDescent="0.2">
      <c r="A99" s="21" t="s">
        <v>9</v>
      </c>
      <c r="B99" s="234">
        <f>'Fremtind Livsforsikring'!B99+'Storebrand Danica Pensjon'!B99+'DNB Livsforsikring'!B99+'Eika Forsikring AS'!B99+'Frende Livsforsikring'!B99+'Frende Skadeforsikring'!B99+'Gjensidige Forsikring'!B99+'Gjensidige Pensjon'!B99+'Handelsbanken Liv'!B99+'If Skadeforsikring NUF'!B99+KLP!B99+'KLP Skadeforsikring AS'!B99+'Landkreditt Forsikring'!B99+'Nordea Liv '!B99+'Oslo Pensjonsforsikring'!B99+'Protector Forsikring'!B99+'SHB Liv'!B99+'Sparebank 1 Forsikring'!B99+'Storebrand Livsforsikring'!B99+'Telenor Forsikring'!B99+'Tryg Forsikring'!B99+'WaterCircles F'!B99+'Codan Forsikring'!B99+'Euro Accident'!B99+'Ly Forsikring'!B99+'Youplus Livsforsikring'!B99</f>
        <v>385781322.54765111</v>
      </c>
      <c r="C99" s="234">
        <f>'Fremtind Livsforsikring'!C99+'Storebrand Danica Pensjon'!C99+'DNB Livsforsikring'!C99+'Eika Forsikring AS'!C99+'Frende Livsforsikring'!C99+'Frende Skadeforsikring'!C99+'Gjensidige Forsikring'!C99+'Gjensidige Pensjon'!C99+'Handelsbanken Liv'!C99+'If Skadeforsikring NUF'!C99+KLP!C99+'KLP Skadeforsikring AS'!C99+'Landkreditt Forsikring'!C99+'Nordea Liv '!C99+'Oslo Pensjonsforsikring'!C99+'Protector Forsikring'!C99+'SHB Liv'!C99+'Sparebank 1 Forsikring'!C99+'Storebrand Livsforsikring'!C99+'Telenor Forsikring'!C99+'Tryg Forsikring'!C99+'WaterCircles F'!C99+'Codan Forsikring'!C99+'Euro Accident'!C99+'Ly Forsikring'!C99+'Youplus Livsforsikring'!C99</f>
        <v>378131594.76991665</v>
      </c>
      <c r="D99" s="23">
        <f t="shared" si="23"/>
        <v>-2</v>
      </c>
      <c r="E99" s="44"/>
      <c r="F99" s="44"/>
      <c r="G99" s="166"/>
      <c r="H99" s="237">
        <f t="shared" si="34"/>
        <v>385781322.54765111</v>
      </c>
      <c r="I99" s="237">
        <f t="shared" si="35"/>
        <v>378131594.76991665</v>
      </c>
      <c r="J99" s="23">
        <f t="shared" si="27"/>
        <v>-2</v>
      </c>
    </row>
    <row r="100" spans="1:12" ht="15.75" customHeight="1" x14ac:dyDescent="0.2">
      <c r="A100" s="38" t="s">
        <v>399</v>
      </c>
      <c r="B100" s="234">
        <f>'Fremtind Livsforsikring'!B100+'Storebrand Danica Pensjon'!B100+'DNB Livsforsikring'!B100+'Eika Forsikring AS'!B100+'Frende Livsforsikring'!B100+'Frende Skadeforsikring'!B100+'Gjensidige Forsikring'!B100+'Gjensidige Pensjon'!B100+'Handelsbanken Liv'!B100+'If Skadeforsikring NUF'!B100+KLP!B100+'KLP Skadeforsikring AS'!B100+'Landkreditt Forsikring'!B100+'Nordea Liv '!B100+'Oslo Pensjonsforsikring'!B100+'Protector Forsikring'!B100+'SHB Liv'!B100+'Sparebank 1 Forsikring'!B100+'Storebrand Livsforsikring'!B100+'Telenor Forsikring'!B100+'Tryg Forsikring'!B100+'WaterCircles F'!B100+'Codan Forsikring'!B100+'Euro Accident'!B100+'Ly Forsikring'!B100+'Youplus Livsforsikring'!B100</f>
        <v>3160052.8691211799</v>
      </c>
      <c r="C100" s="234">
        <f>'Fremtind Livsforsikring'!C100+'Storebrand Danica Pensjon'!C100+'DNB Livsforsikring'!C100+'Eika Forsikring AS'!C100+'Frende Livsforsikring'!C100+'Frende Skadeforsikring'!C100+'Gjensidige Forsikring'!C100+'Gjensidige Pensjon'!C100+'Handelsbanken Liv'!C100+'If Skadeforsikring NUF'!C100+KLP!C100+'KLP Skadeforsikring AS'!C100+'Landkreditt Forsikring'!C100+'Nordea Liv '!C100+'Oslo Pensjonsforsikring'!C100+'Protector Forsikring'!C100+'SHB Liv'!C100+'Sparebank 1 Forsikring'!C100+'Storebrand Livsforsikring'!C100+'Telenor Forsikring'!C100+'Tryg Forsikring'!C100+'WaterCircles F'!C100+'Codan Forsikring'!C100+'Euro Accident'!C100+'Ly Forsikring'!C100+'Youplus Livsforsikring'!C100</f>
        <v>2234395.1493767696</v>
      </c>
      <c r="D100" s="23">
        <f t="shared" si="23"/>
        <v>-29.3</v>
      </c>
      <c r="E100" s="44">
        <f>'Fremtind Livsforsikring'!F100+'Storebrand Danica Pensjon'!F100+'DNB Livsforsikring'!F100+'Eika Forsikring AS'!F100+'Frende Livsforsikring'!F100+'Frende Skadeforsikring'!F100+'Gjensidige Forsikring'!F100+'Gjensidige Pensjon'!F100+'Handelsbanken Liv'!F100+'If Skadeforsikring NUF'!F100+KLP!F100+'KLP Skadeforsikring AS'!F100+'Landkreditt Forsikring'!F100+'Nordea Liv '!F100+'Oslo Pensjonsforsikring'!F100+'Protector Forsikring'!F100+'SHB Liv'!F100+'Sparebank 1 Forsikring'!F100+'Storebrand Livsforsikring'!F100+'Telenor Forsikring'!F100+'Tryg Forsikring'!F100+'WaterCircles F'!F100+'Codan Forsikring'!F100+'Euro Accident'!F100+'Ly Forsikring'!F100+'Youplus Livsforsikring'!F100</f>
        <v>437272529.85361505</v>
      </c>
      <c r="F100" s="44">
        <f>'Fremtind Livsforsikring'!G100+'Storebrand Danica Pensjon'!G100+'DNB Livsforsikring'!G100+'Eika Forsikring AS'!G100+'Frende Livsforsikring'!G100+'Frende Skadeforsikring'!G100+'Gjensidige Forsikring'!G100+'Gjensidige Pensjon'!G100+'Handelsbanken Liv'!G100+'If Skadeforsikring NUF'!G100+KLP!G100+'KLP Skadeforsikring AS'!G100+'Landkreditt Forsikring'!G100+'Nordea Liv '!G100+'Oslo Pensjonsforsikring'!G100+'Protector Forsikring'!G100+'SHB Liv'!G100+'Sparebank 1 Forsikring'!G100+'Storebrand Livsforsikring'!G100+'Telenor Forsikring'!G100+'Tryg Forsikring'!G100+'WaterCircles F'!G100+'Codan Forsikring'!G100+'Euro Accident'!G100+'Ly Forsikring'!G100+'Youplus Livsforsikring'!G100</f>
        <v>469245863.43257987</v>
      </c>
      <c r="G100" s="166">
        <f t="shared" si="33"/>
        <v>7.3</v>
      </c>
      <c r="H100" s="237">
        <f t="shared" si="34"/>
        <v>440432582.72273624</v>
      </c>
      <c r="I100" s="237">
        <f t="shared" si="35"/>
        <v>471480258.58195662</v>
      </c>
      <c r="J100" s="23">
        <f t="shared" si="27"/>
        <v>7</v>
      </c>
    </row>
    <row r="101" spans="1:12" ht="15.75" customHeight="1" x14ac:dyDescent="0.2">
      <c r="A101" s="299" t="s">
        <v>363</v>
      </c>
      <c r="B101" s="44"/>
      <c r="C101" s="44"/>
      <c r="D101" s="27"/>
      <c r="E101" s="44"/>
      <c r="F101" s="44"/>
      <c r="G101" s="166"/>
      <c r="H101" s="237"/>
      <c r="I101" s="237"/>
      <c r="J101" s="23"/>
    </row>
    <row r="102" spans="1:12" ht="15.75" customHeight="1" x14ac:dyDescent="0.2">
      <c r="A102" s="299" t="s">
        <v>12</v>
      </c>
      <c r="B102" s="235"/>
      <c r="C102" s="235"/>
      <c r="D102" s="27"/>
      <c r="E102" s="44"/>
      <c r="F102" s="44"/>
      <c r="G102" s="166"/>
      <c r="H102" s="237"/>
      <c r="I102" s="237"/>
      <c r="J102" s="23"/>
    </row>
    <row r="103" spans="1:12" ht="15.75" customHeight="1" x14ac:dyDescent="0.2">
      <c r="A103" s="299" t="s">
        <v>13</v>
      </c>
      <c r="B103" s="235"/>
      <c r="C103" s="235"/>
      <c r="D103" s="27"/>
      <c r="E103" s="44"/>
      <c r="F103" s="44"/>
      <c r="G103" s="166"/>
      <c r="H103" s="237"/>
      <c r="I103" s="237"/>
      <c r="J103" s="23"/>
    </row>
    <row r="104" spans="1:12" ht="15.75" customHeight="1" x14ac:dyDescent="0.2">
      <c r="A104" s="299" t="s">
        <v>364</v>
      </c>
      <c r="B104" s="44"/>
      <c r="C104" s="44"/>
      <c r="D104" s="27"/>
      <c r="E104" s="44"/>
      <c r="F104" s="44"/>
      <c r="G104" s="166"/>
      <c r="H104" s="237"/>
      <c r="I104" s="237"/>
      <c r="J104" s="23"/>
    </row>
    <row r="105" spans="1:12" ht="15.75" customHeight="1" x14ac:dyDescent="0.2">
      <c r="A105" s="299" t="s">
        <v>12</v>
      </c>
      <c r="B105" s="235"/>
      <c r="C105" s="235"/>
      <c r="D105" s="27"/>
      <c r="E105" s="44"/>
      <c r="F105" s="44"/>
      <c r="G105" s="166"/>
      <c r="H105" s="237"/>
      <c r="I105" s="237"/>
      <c r="J105" s="23"/>
    </row>
    <row r="106" spans="1:12" ht="15.75" customHeight="1" x14ac:dyDescent="0.2">
      <c r="A106" s="299" t="s">
        <v>13</v>
      </c>
      <c r="B106" s="235"/>
      <c r="C106" s="235"/>
      <c r="D106" s="27"/>
      <c r="E106" s="44"/>
      <c r="F106" s="44"/>
      <c r="G106" s="166"/>
      <c r="H106" s="237"/>
      <c r="I106" s="237"/>
      <c r="J106" s="23"/>
    </row>
    <row r="107" spans="1:12" ht="15.75" customHeight="1" x14ac:dyDescent="0.2">
      <c r="A107" s="21" t="s">
        <v>366</v>
      </c>
      <c r="B107" s="234">
        <f>'Fremtind Livsforsikring'!B107+'Storebrand Danica Pensjon'!B107+'DNB Livsforsikring'!B107+'Eika Forsikring AS'!B107+'Frende Livsforsikring'!B107+'Frende Skadeforsikring'!B107+'Gjensidige Forsikring'!B107+'Gjensidige Pensjon'!B107+'Handelsbanken Liv'!B107+'If Skadeforsikring NUF'!B107+KLP!B107+'KLP Skadeforsikring AS'!B107+'Landkreditt Forsikring'!B107+'Nordea Liv '!B107+'Oslo Pensjonsforsikring'!B107+'Protector Forsikring'!B107+'SHB Liv'!B107+'Sparebank 1 Forsikring'!B107+'Storebrand Livsforsikring'!B107+'Telenor Forsikring'!B107+'Tryg Forsikring'!B107+'WaterCircles F'!B107+'Codan Forsikring'!B107+'Euro Accident'!B107+'Ly Forsikring'!B107+'Youplus Livsforsikring'!B107</f>
        <v>4491586.2680000002</v>
      </c>
      <c r="C107" s="234">
        <f>'Fremtind Livsforsikring'!C107+'Storebrand Danica Pensjon'!C107+'DNB Livsforsikring'!C107+'Eika Forsikring AS'!C107+'Frende Livsforsikring'!C107+'Frende Skadeforsikring'!C107+'Gjensidige Forsikring'!C107+'Gjensidige Pensjon'!C107+'Handelsbanken Liv'!C107+'If Skadeforsikring NUF'!C107+KLP!C107+'KLP Skadeforsikring AS'!C107+'Landkreditt Forsikring'!C107+'Nordea Liv '!C107+'Oslo Pensjonsforsikring'!C107+'Protector Forsikring'!C107+'SHB Liv'!C107+'Sparebank 1 Forsikring'!C107+'Storebrand Livsforsikring'!C107+'Telenor Forsikring'!C107+'Tryg Forsikring'!C107+'WaterCircles F'!C107+'Codan Forsikring'!C107+'Euro Accident'!C107+'Ly Forsikring'!C107+'Youplus Livsforsikring'!C107</f>
        <v>4399337.665</v>
      </c>
      <c r="D107" s="23">
        <f t="shared" si="23"/>
        <v>-2.1</v>
      </c>
      <c r="E107" s="44">
        <f>'Fremtind Livsforsikring'!F107+'Storebrand Danica Pensjon'!F107+'DNB Livsforsikring'!F107+'Eika Forsikring AS'!F107+'Frende Livsforsikring'!F107+'Frende Skadeforsikring'!F107+'Gjensidige Forsikring'!F107+'Gjensidige Pensjon'!F107+'Handelsbanken Liv'!F107+'If Skadeforsikring NUF'!F107+KLP!F107+'KLP Skadeforsikring AS'!F107+'Landkreditt Forsikring'!F107+'Nordea Liv '!F107+'Oslo Pensjonsforsikring'!F107+'Protector Forsikring'!F107+'SHB Liv'!F107+'Sparebank 1 Forsikring'!F107+'Storebrand Livsforsikring'!F107+'Telenor Forsikring'!F107+'Tryg Forsikring'!F107+'WaterCircles F'!F107+'Codan Forsikring'!F107+'Euro Accident'!F107+'Ly Forsikring'!F107+'Youplus Livsforsikring'!F107</f>
        <v>873522.86731999996</v>
      </c>
      <c r="F107" s="44">
        <f>'Fremtind Livsforsikring'!G107+'Storebrand Danica Pensjon'!G107+'DNB Livsforsikring'!G107+'Eika Forsikring AS'!G107+'Frende Livsforsikring'!G107+'Frende Skadeforsikring'!G107+'Gjensidige Forsikring'!G107+'Gjensidige Pensjon'!G107+'Handelsbanken Liv'!G107+'If Skadeforsikring NUF'!G107+KLP!G107+'KLP Skadeforsikring AS'!G107+'Landkreditt Forsikring'!G107+'Nordea Liv '!G107+'Oslo Pensjonsforsikring'!G107+'Protector Forsikring'!G107+'SHB Liv'!G107+'Sparebank 1 Forsikring'!G107+'Storebrand Livsforsikring'!G107+'Telenor Forsikring'!G107+'Tryg Forsikring'!G107+'WaterCircles F'!G107+'Codan Forsikring'!G107+'Euro Accident'!G107+'Ly Forsikring'!G107+'Youplus Livsforsikring'!G107</f>
        <v>194094.97830999992</v>
      </c>
      <c r="G107" s="166">
        <f t="shared" si="33"/>
        <v>-77.8</v>
      </c>
      <c r="H107" s="237">
        <f t="shared" si="34"/>
        <v>5365109.1353200004</v>
      </c>
      <c r="I107" s="237">
        <f t="shared" si="35"/>
        <v>4593432.6433100002</v>
      </c>
      <c r="J107" s="23">
        <f t="shared" si="27"/>
        <v>-14.4</v>
      </c>
    </row>
    <row r="108" spans="1:12" ht="15.75" customHeight="1" x14ac:dyDescent="0.2">
      <c r="A108" s="21" t="s">
        <v>367</v>
      </c>
      <c r="B108" s="234">
        <f>'Fremtind Livsforsikring'!B108+'Storebrand Danica Pensjon'!B108+'DNB Livsforsikring'!B108+'Eika Forsikring AS'!B108+'Frende Livsforsikring'!B108+'Frende Skadeforsikring'!B108+'Gjensidige Forsikring'!B108+'Gjensidige Pensjon'!B108+'Handelsbanken Liv'!B108+'If Skadeforsikring NUF'!B108+KLP!B108+'KLP Skadeforsikring AS'!B108+'Landkreditt Forsikring'!B108+'Nordea Liv '!B108+'Oslo Pensjonsforsikring'!B108+'Protector Forsikring'!B108+'SHB Liv'!B108+'Sparebank 1 Forsikring'!B108+'Storebrand Livsforsikring'!B108+'Telenor Forsikring'!B108+'Tryg Forsikring'!B108+'WaterCircles F'!B108+'Codan Forsikring'!B108+'Euro Accident'!B108+'Ly Forsikring'!B108+'Youplus Livsforsikring'!B108</f>
        <v>335118221.72860622</v>
      </c>
      <c r="C108" s="234">
        <f>'Fremtind Livsforsikring'!C108+'Storebrand Danica Pensjon'!C108+'DNB Livsforsikring'!C108+'Eika Forsikring AS'!C108+'Frende Livsforsikring'!C108+'Frende Skadeforsikring'!C108+'Gjensidige Forsikring'!C108+'Gjensidige Pensjon'!C108+'Handelsbanken Liv'!C108+'If Skadeforsikring NUF'!C108+KLP!C108+'KLP Skadeforsikring AS'!C108+'Landkreditt Forsikring'!C108+'Nordea Liv '!C108+'Oslo Pensjonsforsikring'!C108+'Protector Forsikring'!C108+'SHB Liv'!C108+'Sparebank 1 Forsikring'!C108+'Storebrand Livsforsikring'!C108+'Telenor Forsikring'!C108+'Tryg Forsikring'!C108+'WaterCircles F'!C108+'Codan Forsikring'!C108+'Euro Accident'!C108+'Ly Forsikring'!C108+'Youplus Livsforsikring'!C108</f>
        <v>328156500.46771461</v>
      </c>
      <c r="D108" s="23">
        <f t="shared" si="23"/>
        <v>-2.1</v>
      </c>
      <c r="E108" s="44">
        <f>'Fremtind Livsforsikring'!F108+'Storebrand Danica Pensjon'!F108+'DNB Livsforsikring'!F108+'Eika Forsikring AS'!F108+'Frende Livsforsikring'!F108+'Frende Skadeforsikring'!F108+'Gjensidige Forsikring'!F108+'Gjensidige Pensjon'!F108+'Handelsbanken Liv'!F108+'If Skadeforsikring NUF'!F108+KLP!F108+'KLP Skadeforsikring AS'!F108+'Landkreditt Forsikring'!F108+'Nordea Liv '!F108+'Oslo Pensjonsforsikring'!F108+'Protector Forsikring'!F108+'SHB Liv'!F108+'Sparebank 1 Forsikring'!F108+'Storebrand Livsforsikring'!F108+'Telenor Forsikring'!F108+'Tryg Forsikring'!F108+'WaterCircles F'!F108+'Codan Forsikring'!F108+'Euro Accident'!F108+'Ly Forsikring'!F108+'Youplus Livsforsikring'!F108</f>
        <v>20381643.911999997</v>
      </c>
      <c r="F108" s="44">
        <f>'Fremtind Livsforsikring'!G108+'Storebrand Danica Pensjon'!G108+'DNB Livsforsikring'!G108+'Eika Forsikring AS'!G108+'Frende Livsforsikring'!G108+'Frende Skadeforsikring'!G108+'Gjensidige Forsikring'!G108+'Gjensidige Pensjon'!G108+'Handelsbanken Liv'!G108+'If Skadeforsikring NUF'!G108+KLP!G108+'KLP Skadeforsikring AS'!G108+'Landkreditt Forsikring'!G108+'Nordea Liv '!G108+'Oslo Pensjonsforsikring'!G108+'Protector Forsikring'!G108+'SHB Liv'!G108+'Sparebank 1 Forsikring'!G108+'Storebrand Livsforsikring'!G108+'Telenor Forsikring'!G108+'Tryg Forsikring'!G108+'WaterCircles F'!G108+'Codan Forsikring'!G108+'Euro Accident'!G108+'Ly Forsikring'!G108+'Youplus Livsforsikring'!G108</f>
        <v>20242438.885469999</v>
      </c>
      <c r="G108" s="166">
        <f t="shared" si="33"/>
        <v>-0.7</v>
      </c>
      <c r="H108" s="237">
        <f t="shared" si="34"/>
        <v>355499865.64060622</v>
      </c>
      <c r="I108" s="237">
        <f t="shared" si="35"/>
        <v>348398939.35318458</v>
      </c>
      <c r="J108" s="23">
        <f t="shared" si="27"/>
        <v>-2</v>
      </c>
    </row>
    <row r="109" spans="1:12" ht="15.75" customHeight="1" x14ac:dyDescent="0.2">
      <c r="A109" s="38" t="s">
        <v>407</v>
      </c>
      <c r="B109" s="234">
        <f>'Fremtind Livsforsikring'!B109+'Storebrand Danica Pensjon'!B109+'DNB Livsforsikring'!B109+'Eika Forsikring AS'!B109+'Frende Livsforsikring'!B109+'Frende Skadeforsikring'!B109+'Gjensidige Forsikring'!B109+'Gjensidige Pensjon'!B109+'Handelsbanken Liv'!B109+'If Skadeforsikring NUF'!B109+KLP!B109+'KLP Skadeforsikring AS'!B109+'Landkreditt Forsikring'!B109+'Nordea Liv '!B109+'Oslo Pensjonsforsikring'!B109+'Protector Forsikring'!B109+'SHB Liv'!B109+'Sparebank 1 Forsikring'!B109+'Storebrand Livsforsikring'!B109+'Telenor Forsikring'!B109+'Tryg Forsikring'!B109+'WaterCircles F'!B109+'Codan Forsikring'!B109+'Euro Accident'!B109+'Ly Forsikring'!B109+'Youplus Livsforsikring'!B109</f>
        <v>1840877.2667218479</v>
      </c>
      <c r="C109" s="234">
        <f>'Fremtind Livsforsikring'!C109+'Storebrand Danica Pensjon'!C109+'DNB Livsforsikring'!C109+'Eika Forsikring AS'!C109+'Frende Livsforsikring'!C109+'Frende Skadeforsikring'!C109+'Gjensidige Forsikring'!C109+'Gjensidige Pensjon'!C109+'Handelsbanken Liv'!C109+'If Skadeforsikring NUF'!C109+KLP!C109+'KLP Skadeforsikring AS'!C109+'Landkreditt Forsikring'!C109+'Nordea Liv '!C109+'Oslo Pensjonsforsikring'!C109+'Protector Forsikring'!C109+'SHB Liv'!C109+'Sparebank 1 Forsikring'!C109+'Storebrand Livsforsikring'!C109+'Telenor Forsikring'!C109+'Tryg Forsikring'!C109+'WaterCircles F'!C109+'Codan Forsikring'!C109+'Euro Accident'!C109+'Ly Forsikring'!C109+'Youplus Livsforsikring'!C109</f>
        <v>2099900.0116172503</v>
      </c>
      <c r="D109" s="23">
        <f t="shared" si="23"/>
        <v>14.1</v>
      </c>
      <c r="E109" s="44">
        <f>'Fremtind Livsforsikring'!F109+'Storebrand Danica Pensjon'!F109+'DNB Livsforsikring'!F109+'Eika Forsikring AS'!F109+'Frende Livsforsikring'!F109+'Frende Skadeforsikring'!F109+'Gjensidige Forsikring'!F109+'Gjensidige Pensjon'!F109+'Handelsbanken Liv'!F109+'If Skadeforsikring NUF'!F109+KLP!F109+'KLP Skadeforsikring AS'!F109+'Landkreditt Forsikring'!F109+'Nordea Liv '!F109+'Oslo Pensjonsforsikring'!F109+'Protector Forsikring'!F109+'SHB Liv'!F109+'Sparebank 1 Forsikring'!F109+'Storebrand Livsforsikring'!F109+'Telenor Forsikring'!F109+'Tryg Forsikring'!F109+'WaterCircles F'!F109+'Codan Forsikring'!F109+'Euro Accident'!F109+'Ly Forsikring'!F109+'Youplus Livsforsikring'!F109</f>
        <v>154868642.0139572</v>
      </c>
      <c r="F109" s="44">
        <f>'Fremtind Livsforsikring'!G109+'Storebrand Danica Pensjon'!G109+'DNB Livsforsikring'!G109+'Eika Forsikring AS'!G109+'Frende Livsforsikring'!G109+'Frende Skadeforsikring'!G109+'Gjensidige Forsikring'!G109+'Gjensidige Pensjon'!G109+'Handelsbanken Liv'!G109+'If Skadeforsikring NUF'!G109+KLP!G109+'KLP Skadeforsikring AS'!G109+'Landkreditt Forsikring'!G109+'Nordea Liv '!G109+'Oslo Pensjonsforsikring'!G109+'Protector Forsikring'!G109+'SHB Liv'!G109+'Sparebank 1 Forsikring'!G109+'Storebrand Livsforsikring'!G109+'Telenor Forsikring'!G109+'Tryg Forsikring'!G109+'WaterCircles F'!G109+'Codan Forsikring'!G109+'Euro Accident'!G109+'Ly Forsikring'!G109+'Youplus Livsforsikring'!G109</f>
        <v>172513311.17293981</v>
      </c>
      <c r="G109" s="166">
        <f t="shared" si="33"/>
        <v>11.4</v>
      </c>
      <c r="H109" s="237">
        <f t="shared" si="34"/>
        <v>156709519.28067905</v>
      </c>
      <c r="I109" s="237">
        <f t="shared" si="35"/>
        <v>174613211.18455705</v>
      </c>
      <c r="J109" s="23">
        <f t="shared" si="27"/>
        <v>11.4</v>
      </c>
      <c r="L109" s="3"/>
    </row>
    <row r="110" spans="1:12" ht="15.75" customHeight="1" x14ac:dyDescent="0.2">
      <c r="A110" s="21" t="s">
        <v>368</v>
      </c>
      <c r="B110" s="234">
        <f>'Fremtind Livsforsikring'!B110+'Storebrand Danica Pensjon'!B110+'DNB Livsforsikring'!B110+'Eika Forsikring AS'!B110+'Frende Livsforsikring'!B110+'Frende Skadeforsikring'!B110+'Gjensidige Forsikring'!B110+'Gjensidige Pensjon'!B110+'Handelsbanken Liv'!B110+'If Skadeforsikring NUF'!B110+KLP!B110+'KLP Skadeforsikring AS'!B110+'Landkreditt Forsikring'!B110+'Nordea Liv '!B110+'Oslo Pensjonsforsikring'!B110+'Protector Forsikring'!B110+'SHB Liv'!B110+'Sparebank 1 Forsikring'!B110+'Storebrand Livsforsikring'!B110+'Telenor Forsikring'!B110+'Tryg Forsikring'!B110+'WaterCircles F'!B110+'Codan Forsikring'!B110+'Euro Accident'!B110+'Ly Forsikring'!B110+'Youplus Livsforsikring'!B110</f>
        <v>1026815.8088799999</v>
      </c>
      <c r="C110" s="234">
        <f>'Fremtind Livsforsikring'!C110+'Storebrand Danica Pensjon'!C110+'DNB Livsforsikring'!C110+'Eika Forsikring AS'!C110+'Frende Livsforsikring'!C110+'Frende Skadeforsikring'!C110+'Gjensidige Forsikring'!C110+'Gjensidige Pensjon'!C110+'Handelsbanken Liv'!C110+'If Skadeforsikring NUF'!C110+KLP!C110+'KLP Skadeforsikring AS'!C110+'Landkreditt Forsikring'!C110+'Nordea Liv '!C110+'Oslo Pensjonsforsikring'!C110+'Protector Forsikring'!C110+'SHB Liv'!C110+'Sparebank 1 Forsikring'!C110+'Storebrand Livsforsikring'!C110+'Telenor Forsikring'!C110+'Tryg Forsikring'!C110+'WaterCircles F'!C110+'Codan Forsikring'!C110+'Euro Accident'!C110+'Ly Forsikring'!C110+'Youplus Livsforsikring'!C110</f>
        <v>1699372.4672900001</v>
      </c>
      <c r="D110" s="23">
        <f t="shared" si="23"/>
        <v>65.5</v>
      </c>
      <c r="E110" s="44"/>
      <c r="F110" s="44"/>
      <c r="G110" s="166"/>
      <c r="H110" s="237">
        <f t="shared" si="34"/>
        <v>1026815.8088799999</v>
      </c>
      <c r="I110" s="237">
        <f t="shared" si="35"/>
        <v>1699372.4672900001</v>
      </c>
      <c r="J110" s="23">
        <f t="shared" si="27"/>
        <v>65.5</v>
      </c>
    </row>
    <row r="111" spans="1:12" s="43" customFormat="1" ht="15.75" customHeight="1" x14ac:dyDescent="0.2">
      <c r="A111" s="13" t="s">
        <v>349</v>
      </c>
      <c r="B111" s="311">
        <f>'Fremtind Livsforsikring'!B111+'Storebrand Danica Pensjon'!B111+'DNB Livsforsikring'!B111+'Eika Forsikring AS'!B111+'Frende Livsforsikring'!B111+'Frende Skadeforsikring'!B111+'Gjensidige Forsikring'!B111+'Gjensidige Pensjon'!B111+'Handelsbanken Liv'!B111+'If Skadeforsikring NUF'!B111+KLP!B111+'KLP Skadeforsikring AS'!B111+'Landkreditt Forsikring'!B111+'Nordea Liv '!B111+'Oslo Pensjonsforsikring'!B111+'Protector Forsikring'!B111+'SHB Liv'!B111+'Sparebank 1 Forsikring'!B111+'Storebrand Livsforsikring'!B111+'Telenor Forsikring'!B111+'Tryg Forsikring'!B111+'WaterCircles F'!B111+'Codan Forsikring'!B111+'Euro Accident'!B111+'Ly Forsikring'!B111+'Youplus Livsforsikring'!B111</f>
        <v>344392.06988999998</v>
      </c>
      <c r="C111" s="311">
        <f>'Fremtind Livsforsikring'!C111+'Storebrand Danica Pensjon'!C111+'DNB Livsforsikring'!C111+'Eika Forsikring AS'!C111+'Frende Livsforsikring'!C111+'Frende Skadeforsikring'!C111+'Gjensidige Forsikring'!C111+'Gjensidige Pensjon'!C111+'Handelsbanken Liv'!C111+'If Skadeforsikring NUF'!C111+KLP!C111+'KLP Skadeforsikring AS'!C111+'Landkreditt Forsikring'!C111+'Nordea Liv '!C111+'Oslo Pensjonsforsikring'!C111+'Protector Forsikring'!C111+'SHB Liv'!C111+'Sparebank 1 Forsikring'!C111+'Storebrand Livsforsikring'!C111+'Telenor Forsikring'!C111+'Tryg Forsikring'!C111+'WaterCircles F'!C111+'Codan Forsikring'!C111+'Euro Accident'!C111+'Ly Forsikring'!C111+'Youplus Livsforsikring'!C111</f>
        <v>151888.42431999999</v>
      </c>
      <c r="D111" s="24">
        <f t="shared" si="23"/>
        <v>-55.9</v>
      </c>
      <c r="E111" s="236">
        <f>'Fremtind Livsforsikring'!F111+'Storebrand Danica Pensjon'!F111+'DNB Livsforsikring'!F111+'Eika Forsikring AS'!F111+'Frende Livsforsikring'!F111+'Frende Skadeforsikring'!F111+'Gjensidige Forsikring'!F111+'Gjensidige Pensjon'!F111+'Handelsbanken Liv'!F111+'If Skadeforsikring NUF'!F111+KLP!F111+'KLP Skadeforsikring AS'!F111+'Landkreditt Forsikring'!F111+'Nordea Liv '!F111+'Oslo Pensjonsforsikring'!F111+'Protector Forsikring'!F111+'SHB Liv'!F111+'Sparebank 1 Forsikring'!F111+'Storebrand Livsforsikring'!F111+'Telenor Forsikring'!F111+'Tryg Forsikring'!F111+'WaterCircles F'!F111+'Codan Forsikring'!F111+'Euro Accident'!F111+'Ly Forsikring'!F111+'Youplus Livsforsikring'!F111</f>
        <v>11307961.27698</v>
      </c>
      <c r="F111" s="236">
        <f>'Fremtind Livsforsikring'!G111+'Storebrand Danica Pensjon'!G111+'DNB Livsforsikring'!G111+'Eika Forsikring AS'!G111+'Frende Livsforsikring'!G111+'Frende Skadeforsikring'!G111+'Gjensidige Forsikring'!G111+'Gjensidige Pensjon'!G111+'Handelsbanken Liv'!G111+'If Skadeforsikring NUF'!G111+KLP!G111+'KLP Skadeforsikring AS'!G111+'Landkreditt Forsikring'!G111+'Nordea Liv '!G111+'Oslo Pensjonsforsikring'!G111+'Protector Forsikring'!G111+'SHB Liv'!G111+'Sparebank 1 Forsikring'!G111+'Storebrand Livsforsikring'!G111+'Telenor Forsikring'!G111+'Tryg Forsikring'!G111+'WaterCircles F'!G111+'Codan Forsikring'!G111+'Euro Accident'!G111+'Ly Forsikring'!G111+'Youplus Livsforsikring'!G111</f>
        <v>12279847.38036</v>
      </c>
      <c r="G111" s="171">
        <f t="shared" si="33"/>
        <v>8.6</v>
      </c>
      <c r="H111" s="331">
        <f t="shared" si="34"/>
        <v>11652353.34687</v>
      </c>
      <c r="I111" s="331">
        <f t="shared" si="35"/>
        <v>12431735.804679999</v>
      </c>
      <c r="J111" s="24">
        <f t="shared" si="27"/>
        <v>6.7</v>
      </c>
    </row>
    <row r="112" spans="1:12" ht="15.75" customHeight="1" x14ac:dyDescent="0.2">
      <c r="A112" s="21" t="s">
        <v>9</v>
      </c>
      <c r="B112" s="234">
        <f>'Fremtind Livsforsikring'!B112+'Storebrand Danica Pensjon'!B112+'DNB Livsforsikring'!B112+'Eika Forsikring AS'!B112+'Frende Livsforsikring'!B112+'Frende Skadeforsikring'!B112+'Gjensidige Forsikring'!B112+'Gjensidige Pensjon'!B112+'Handelsbanken Liv'!B112+'If Skadeforsikring NUF'!B112+KLP!B112+'KLP Skadeforsikring AS'!B112+'Landkreditt Forsikring'!B112+'Nordea Liv '!B112+'Oslo Pensjonsforsikring'!B112+'Protector Forsikring'!B112+'SHB Liv'!B112+'Sparebank 1 Forsikring'!B112+'Storebrand Livsforsikring'!B112+'Telenor Forsikring'!B112+'Tryg Forsikring'!B112+'WaterCircles F'!B112+'Codan Forsikring'!B112+'Euro Accident'!B112+'Ly Forsikring'!B112+'Youplus Livsforsikring'!B112</f>
        <v>149350.11761000002</v>
      </c>
      <c r="C112" s="234">
        <f>'Fremtind Livsforsikring'!C112+'Storebrand Danica Pensjon'!C112+'DNB Livsforsikring'!C112+'Eika Forsikring AS'!C112+'Frende Livsforsikring'!C112+'Frende Skadeforsikring'!C112+'Gjensidige Forsikring'!C112+'Gjensidige Pensjon'!C112+'Handelsbanken Liv'!C112+'If Skadeforsikring NUF'!C112+KLP!C112+'KLP Skadeforsikring AS'!C112+'Landkreditt Forsikring'!C112+'Nordea Liv '!C112+'Oslo Pensjonsforsikring'!C112+'Protector Forsikring'!C112+'SHB Liv'!C112+'Sparebank 1 Forsikring'!C112+'Storebrand Livsforsikring'!C112+'Telenor Forsikring'!C112+'Tryg Forsikring'!C112+'WaterCircles F'!C112+'Codan Forsikring'!C112+'Euro Accident'!C112+'Ly Forsikring'!C112+'Youplus Livsforsikring'!C112</f>
        <v>92070.709000000003</v>
      </c>
      <c r="D112" s="23">
        <f t="shared" ref="D112:D125" si="40">IF(B112=0, "    ---- ", IF(ABS(ROUND(100/B112*C112-100,1))&lt;999,ROUND(100/B112*C112-100,1),IF(ROUND(100/B112*C112-100,1)&gt;999,999,-999)))</f>
        <v>-38.4</v>
      </c>
      <c r="E112" s="44">
        <f>'Fremtind Livsforsikring'!F112+'Storebrand Danica Pensjon'!F112+'DNB Livsforsikring'!F112+'Eika Forsikring AS'!F112+'Frende Livsforsikring'!F112+'Frende Skadeforsikring'!F112+'Gjensidige Forsikring'!F112+'Gjensidige Pensjon'!F112+'Handelsbanken Liv'!F112+'If Skadeforsikring NUF'!F112+KLP!F112+'KLP Skadeforsikring AS'!F112+'Landkreditt Forsikring'!F112+'Nordea Liv '!F112+'Oslo Pensjonsforsikring'!F112+'Protector Forsikring'!F112+'SHB Liv'!F112+'Sparebank 1 Forsikring'!F112+'Storebrand Livsforsikring'!F112+'Telenor Forsikring'!F112+'Tryg Forsikring'!F112+'WaterCircles F'!F112+'Codan Forsikring'!F112+'Euro Accident'!F112+'Ly Forsikring'!F112+'Youplus Livsforsikring'!F112</f>
        <v>178.94800000000001</v>
      </c>
      <c r="F112" s="44">
        <f>'Fremtind Livsforsikring'!G112+'Storebrand Danica Pensjon'!G112+'DNB Livsforsikring'!G112+'Eika Forsikring AS'!G112+'Frende Livsforsikring'!G112+'Frende Skadeforsikring'!G112+'Gjensidige Forsikring'!G112+'Gjensidige Pensjon'!G112+'Handelsbanken Liv'!G112+'If Skadeforsikring NUF'!G112+KLP!G112+'KLP Skadeforsikring AS'!G112+'Landkreditt Forsikring'!G112+'Nordea Liv '!G112+'Oslo Pensjonsforsikring'!G112+'Protector Forsikring'!G112+'SHB Liv'!G112+'Sparebank 1 Forsikring'!G112+'Storebrand Livsforsikring'!G112+'Telenor Forsikring'!G112+'Tryg Forsikring'!G112+'WaterCircles F'!G112+'Codan Forsikring'!G112+'Euro Accident'!G112+'Ly Forsikring'!G112+'Youplus Livsforsikring'!G112</f>
        <v>1378.0809999999999</v>
      </c>
      <c r="G112" s="166">
        <f t="shared" si="33"/>
        <v>670.1</v>
      </c>
      <c r="H112" s="237">
        <f t="shared" ref="H112:H125" si="41">SUM(B112,E112)</f>
        <v>149529.06561000002</v>
      </c>
      <c r="I112" s="237">
        <f t="shared" ref="I112:I125" si="42">SUM(C112,F112)</f>
        <v>93448.790000000008</v>
      </c>
      <c r="J112" s="23">
        <f t="shared" ref="J112:J125" si="43">IF(H112=0, "    ---- ", IF(ABS(ROUND(100/H112*I112-100,1))&lt;999,ROUND(100/H112*I112-100,1),IF(ROUND(100/H112*I112-100,1)&gt;999,999,-999)))</f>
        <v>-37.5</v>
      </c>
    </row>
    <row r="113" spans="1:10" ht="15.75" customHeight="1" x14ac:dyDescent="0.2">
      <c r="A113" s="21" t="s">
        <v>10</v>
      </c>
      <c r="B113" s="234">
        <f>'Fremtind Livsforsikring'!B113+'Storebrand Danica Pensjon'!B113+'DNB Livsforsikring'!B113+'Eika Forsikring AS'!B113+'Frende Livsforsikring'!B113+'Frende Skadeforsikring'!B113+'Gjensidige Forsikring'!B113+'Gjensidige Pensjon'!B113+'Handelsbanken Liv'!B113+'If Skadeforsikring NUF'!B113+KLP!B113+'KLP Skadeforsikring AS'!B113+'Landkreditt Forsikring'!B113+'Nordea Liv '!B113+'Oslo Pensjonsforsikring'!B113+'Protector Forsikring'!B113+'SHB Liv'!B113+'Sparebank 1 Forsikring'!B113+'Storebrand Livsforsikring'!B113+'Telenor Forsikring'!B113+'Tryg Forsikring'!B113+'WaterCircles F'!B113+'Codan Forsikring'!B113+'Euro Accident'!B113+'Ly Forsikring'!B113+'Youplus Livsforsikring'!B113</f>
        <v>0</v>
      </c>
      <c r="C113" s="234">
        <f>'Fremtind Livsforsikring'!C113+'Storebrand Danica Pensjon'!C113+'DNB Livsforsikring'!C113+'Eika Forsikring AS'!C113+'Frende Livsforsikring'!C113+'Frende Skadeforsikring'!C113+'Gjensidige Forsikring'!C113+'Gjensidige Pensjon'!C113+'Handelsbanken Liv'!C113+'If Skadeforsikring NUF'!C113+KLP!C113+'KLP Skadeforsikring AS'!C113+'Landkreditt Forsikring'!C113+'Nordea Liv '!C113+'Oslo Pensjonsforsikring'!C113+'Protector Forsikring'!C113+'SHB Liv'!C113+'Sparebank 1 Forsikring'!C113+'Storebrand Livsforsikring'!C113+'Telenor Forsikring'!C113+'Tryg Forsikring'!C113+'WaterCircles F'!C113+'Codan Forsikring'!C113+'Euro Accident'!C113+'Ly Forsikring'!C113+'Youplus Livsforsikring'!C113</f>
        <v>105.152</v>
      </c>
      <c r="D113" s="23" t="str">
        <f t="shared" si="40"/>
        <v xml:space="preserve">    ---- </v>
      </c>
      <c r="E113" s="44">
        <f>'Fremtind Livsforsikring'!F113+'Storebrand Danica Pensjon'!F113+'DNB Livsforsikring'!F113+'Eika Forsikring AS'!F113+'Frende Livsforsikring'!F113+'Frende Skadeforsikring'!F113+'Gjensidige Forsikring'!F113+'Gjensidige Pensjon'!F113+'Handelsbanken Liv'!F113+'If Skadeforsikring NUF'!F113+KLP!F113+'KLP Skadeforsikring AS'!F113+'Landkreditt Forsikring'!F113+'Nordea Liv '!F113+'Oslo Pensjonsforsikring'!F113+'Protector Forsikring'!F113+'SHB Liv'!F113+'Sparebank 1 Forsikring'!F113+'Storebrand Livsforsikring'!F113+'Telenor Forsikring'!F113+'Tryg Forsikring'!F113+'WaterCircles F'!F113+'Codan Forsikring'!F113+'Euro Accident'!F113+'Ly Forsikring'!F113+'Youplus Livsforsikring'!F113</f>
        <v>11307782.328980001</v>
      </c>
      <c r="F113" s="44">
        <f>'Fremtind Livsforsikring'!G113+'Storebrand Danica Pensjon'!G113+'DNB Livsforsikring'!G113+'Eika Forsikring AS'!G113+'Frende Livsforsikring'!G113+'Frende Skadeforsikring'!G113+'Gjensidige Forsikring'!G113+'Gjensidige Pensjon'!G113+'Handelsbanken Liv'!G113+'If Skadeforsikring NUF'!G113+KLP!G113+'KLP Skadeforsikring AS'!G113+'Landkreditt Forsikring'!G113+'Nordea Liv '!G113+'Oslo Pensjonsforsikring'!G113+'Protector Forsikring'!G113+'SHB Liv'!G113+'Sparebank 1 Forsikring'!G113+'Storebrand Livsforsikring'!G113+'Telenor Forsikring'!G113+'Tryg Forsikring'!G113+'WaterCircles F'!G113+'Codan Forsikring'!G113+'Euro Accident'!G113+'Ly Forsikring'!G113+'Youplus Livsforsikring'!G113</f>
        <v>12278469.29936</v>
      </c>
      <c r="G113" s="171">
        <f t="shared" si="33"/>
        <v>8.6</v>
      </c>
      <c r="H113" s="237">
        <f t="shared" si="41"/>
        <v>11307782.328980001</v>
      </c>
      <c r="I113" s="237">
        <f t="shared" si="42"/>
        <v>12278574.45136</v>
      </c>
      <c r="J113" s="24">
        <f t="shared" si="43"/>
        <v>8.6</v>
      </c>
    </row>
    <row r="114" spans="1:10" ht="15.75" customHeight="1" x14ac:dyDescent="0.2">
      <c r="A114" s="21" t="s">
        <v>26</v>
      </c>
      <c r="B114" s="234">
        <f>'Fremtind Livsforsikring'!B114+'Storebrand Danica Pensjon'!B114+'DNB Livsforsikring'!B114+'Eika Forsikring AS'!B114+'Frende Livsforsikring'!B114+'Frende Skadeforsikring'!B114+'Gjensidige Forsikring'!B114+'Gjensidige Pensjon'!B114+'Handelsbanken Liv'!B114+'If Skadeforsikring NUF'!B114+KLP!B114+'KLP Skadeforsikring AS'!B114+'Landkreditt Forsikring'!B114+'Nordea Liv '!B114+'Oslo Pensjonsforsikring'!B114+'Protector Forsikring'!B114+'SHB Liv'!B114+'Sparebank 1 Forsikring'!B114+'Storebrand Livsforsikring'!B114+'Telenor Forsikring'!B114+'Tryg Forsikring'!B114+'WaterCircles F'!B114+'Codan Forsikring'!B114+'Euro Accident'!B114+'Ly Forsikring'!B114+'Youplus Livsforsikring'!B114</f>
        <v>195041.95228</v>
      </c>
      <c r="C114" s="234">
        <f>'Fremtind Livsforsikring'!C114+'Storebrand Danica Pensjon'!C114+'DNB Livsforsikring'!C114+'Eika Forsikring AS'!C114+'Frende Livsforsikring'!C114+'Frende Skadeforsikring'!C114+'Gjensidige Forsikring'!C114+'Gjensidige Pensjon'!C114+'Handelsbanken Liv'!C114+'If Skadeforsikring NUF'!C114+KLP!C114+'KLP Skadeforsikring AS'!C114+'Landkreditt Forsikring'!C114+'Nordea Liv '!C114+'Oslo Pensjonsforsikring'!C114+'Protector Forsikring'!C114+'SHB Liv'!C114+'Sparebank 1 Forsikring'!C114+'Storebrand Livsforsikring'!C114+'Telenor Forsikring'!C114+'Tryg Forsikring'!C114+'WaterCircles F'!C114+'Codan Forsikring'!C114+'Euro Accident'!C114+'Ly Forsikring'!C114+'Youplus Livsforsikring'!C114</f>
        <v>56959.656660000001</v>
      </c>
      <c r="D114" s="23">
        <f t="shared" si="40"/>
        <v>-70.8</v>
      </c>
      <c r="E114" s="44"/>
      <c r="F114" s="44"/>
      <c r="G114" s="171"/>
      <c r="H114" s="237">
        <f t="shared" si="41"/>
        <v>195041.95228</v>
      </c>
      <c r="I114" s="237">
        <f t="shared" si="42"/>
        <v>56959.656660000001</v>
      </c>
      <c r="J114" s="24">
        <f t="shared" si="43"/>
        <v>-70.8</v>
      </c>
    </row>
    <row r="115" spans="1:10" ht="15.75" customHeight="1" x14ac:dyDescent="0.2">
      <c r="A115" s="299" t="s">
        <v>15</v>
      </c>
      <c r="B115" s="44"/>
      <c r="C115" s="44"/>
      <c r="D115" s="27"/>
      <c r="E115" s="44"/>
      <c r="F115" s="44"/>
      <c r="G115" s="166"/>
      <c r="H115" s="237"/>
      <c r="I115" s="237"/>
      <c r="J115" s="23"/>
    </row>
    <row r="116" spans="1:10" ht="15.75" customHeight="1" x14ac:dyDescent="0.2">
      <c r="A116" s="21" t="s">
        <v>369</v>
      </c>
      <c r="B116" s="234">
        <f>'Fremtind Livsforsikring'!B116+'Storebrand Danica Pensjon'!B116+'DNB Livsforsikring'!B116+'Eika Forsikring AS'!B116+'Frende Livsforsikring'!B116+'Frende Skadeforsikring'!B116+'Gjensidige Forsikring'!B116+'Gjensidige Pensjon'!B116+'Handelsbanken Liv'!B116+'If Skadeforsikring NUF'!B116+KLP!B116+'KLP Skadeforsikring AS'!B116+'Landkreditt Forsikring'!B116+'Nordea Liv '!B116+'Oslo Pensjonsforsikring'!B116+'Protector Forsikring'!B116+'SHB Liv'!B116+'Sparebank 1 Forsikring'!B116+'Storebrand Livsforsikring'!B116+'Telenor Forsikring'!B116+'Tryg Forsikring'!B116+'WaterCircles F'!B116+'Codan Forsikring'!B116+'Euro Accident'!B116+'Ly Forsikring'!B116+'Youplus Livsforsikring'!B116</f>
        <v>43350.310839999998</v>
      </c>
      <c r="C116" s="234">
        <f>'Fremtind Livsforsikring'!C116+'Storebrand Danica Pensjon'!C116+'DNB Livsforsikring'!C116+'Eika Forsikring AS'!C116+'Frende Livsforsikring'!C116+'Frende Skadeforsikring'!C116+'Gjensidige Forsikring'!C116+'Gjensidige Pensjon'!C116+'Handelsbanken Liv'!C116+'If Skadeforsikring NUF'!C116+KLP!C116+'KLP Skadeforsikring AS'!C116+'Landkreditt Forsikring'!C116+'Nordea Liv '!C116+'Oslo Pensjonsforsikring'!C116+'Protector Forsikring'!C116+'SHB Liv'!C116+'Sparebank 1 Forsikring'!C116+'Storebrand Livsforsikring'!C116+'Telenor Forsikring'!C116+'Tryg Forsikring'!C116+'WaterCircles F'!C116+'Codan Forsikring'!C116+'Euro Accident'!C116+'Ly Forsikring'!C116+'Youplus Livsforsikring'!C116</f>
        <v>25825.402000000002</v>
      </c>
      <c r="D116" s="23">
        <f t="shared" si="40"/>
        <v>-40.4</v>
      </c>
      <c r="E116" s="44">
        <f>'Fremtind Livsforsikring'!F116+'Storebrand Danica Pensjon'!F116+'DNB Livsforsikring'!F116+'Eika Forsikring AS'!F116+'Frende Livsforsikring'!F116+'Frende Skadeforsikring'!F116+'Gjensidige Forsikring'!F116+'Gjensidige Pensjon'!F116+'Handelsbanken Liv'!F116+'If Skadeforsikring NUF'!F116+KLP!F116+'KLP Skadeforsikring AS'!F116+'Landkreditt Forsikring'!F116+'Nordea Liv '!F116+'Oslo Pensjonsforsikring'!F116+'Protector Forsikring'!F116+'SHB Liv'!F116+'Sparebank 1 Forsikring'!F116+'Storebrand Livsforsikring'!F116+'Telenor Forsikring'!F116+'Tryg Forsikring'!F116+'WaterCircles F'!F116+'Codan Forsikring'!F116+'Euro Accident'!F116+'Ly Forsikring'!F116+'Youplus Livsforsikring'!F116</f>
        <v>178.94800000000001</v>
      </c>
      <c r="F116" s="44">
        <f>'Fremtind Livsforsikring'!G116+'Storebrand Danica Pensjon'!G116+'DNB Livsforsikring'!G116+'Eika Forsikring AS'!G116+'Frende Livsforsikring'!G116+'Frende Skadeforsikring'!G116+'Gjensidige Forsikring'!G116+'Gjensidige Pensjon'!G116+'Handelsbanken Liv'!G116+'If Skadeforsikring NUF'!G116+KLP!G116+'KLP Skadeforsikring AS'!G116+'Landkreditt Forsikring'!G116+'Nordea Liv '!G116+'Oslo Pensjonsforsikring'!G116+'Protector Forsikring'!G116+'SHB Liv'!G116+'Sparebank 1 Forsikring'!G116+'Storebrand Livsforsikring'!G116+'Telenor Forsikring'!G116+'Tryg Forsikring'!G116+'WaterCircles F'!G116+'Codan Forsikring'!G116+'Euro Accident'!G116+'Ly Forsikring'!G116+'Youplus Livsforsikring'!G116</f>
        <v>1378.0809999999999</v>
      </c>
      <c r="G116" s="166">
        <f t="shared" si="33"/>
        <v>670.1</v>
      </c>
      <c r="H116" s="237">
        <f t="shared" si="41"/>
        <v>43529.258839999995</v>
      </c>
      <c r="I116" s="237">
        <f t="shared" si="42"/>
        <v>27203.483</v>
      </c>
      <c r="J116" s="23">
        <f t="shared" si="43"/>
        <v>-37.5</v>
      </c>
    </row>
    <row r="117" spans="1:10" ht="15.75" customHeight="1" x14ac:dyDescent="0.2">
      <c r="A117" s="38" t="s">
        <v>407</v>
      </c>
      <c r="B117" s="234">
        <f>'Fremtind Livsforsikring'!B117+'Storebrand Danica Pensjon'!B117+'DNB Livsforsikring'!B117+'Eika Forsikring AS'!B117+'Frende Livsforsikring'!B117+'Frende Skadeforsikring'!B117+'Gjensidige Forsikring'!B117+'Gjensidige Pensjon'!B117+'Handelsbanken Liv'!B117+'If Skadeforsikring NUF'!B117+KLP!B117+'KLP Skadeforsikring AS'!B117+'Landkreditt Forsikring'!B117+'Nordea Liv '!B117+'Oslo Pensjonsforsikring'!B117+'Protector Forsikring'!B117+'SHB Liv'!B117+'Sparebank 1 Forsikring'!B117+'Storebrand Livsforsikring'!B117+'Telenor Forsikring'!B117+'Tryg Forsikring'!B117+'WaterCircles F'!B117+'Codan Forsikring'!B117+'Euro Accident'!B117+'Ly Forsikring'!B117+'Youplus Livsforsikring'!B117</f>
        <v>0</v>
      </c>
      <c r="C117" s="234">
        <f>'Fremtind Livsforsikring'!C117+'Storebrand Danica Pensjon'!C117+'DNB Livsforsikring'!C117+'Eika Forsikring AS'!C117+'Frende Livsforsikring'!C117+'Frende Skadeforsikring'!C117+'Gjensidige Forsikring'!C117+'Gjensidige Pensjon'!C117+'Handelsbanken Liv'!C117+'If Skadeforsikring NUF'!C117+KLP!C117+'KLP Skadeforsikring AS'!C117+'Landkreditt Forsikring'!C117+'Nordea Liv '!C117+'Oslo Pensjonsforsikring'!C117+'Protector Forsikring'!C117+'SHB Liv'!C117+'Sparebank 1 Forsikring'!C117+'Storebrand Livsforsikring'!C117+'Telenor Forsikring'!C117+'Tryg Forsikring'!C117+'WaterCircles F'!C117+'Codan Forsikring'!C117+'Euro Accident'!C117+'Ly Forsikring'!C117+'Youplus Livsforsikring'!C117</f>
        <v>105.152</v>
      </c>
      <c r="D117" s="23" t="str">
        <f t="shared" si="40"/>
        <v xml:space="preserve">    ---- </v>
      </c>
      <c r="E117" s="44">
        <f>'Fremtind Livsforsikring'!F117+'Storebrand Danica Pensjon'!F117+'DNB Livsforsikring'!F117+'Eika Forsikring AS'!F117+'Frende Livsforsikring'!F117+'Frende Skadeforsikring'!F117+'Gjensidige Forsikring'!F117+'Gjensidige Pensjon'!F117+'Handelsbanken Liv'!F117+'If Skadeforsikring NUF'!F117+KLP!F117+'KLP Skadeforsikring AS'!F117+'Landkreditt Forsikring'!F117+'Nordea Liv '!F117+'Oslo Pensjonsforsikring'!F117+'Protector Forsikring'!F117+'SHB Liv'!F117+'Sparebank 1 Forsikring'!F117+'Storebrand Livsforsikring'!F117+'Telenor Forsikring'!F117+'Tryg Forsikring'!F117+'WaterCircles F'!F117+'Codan Forsikring'!F117+'Euro Accident'!F117+'Ly Forsikring'!F117+'Youplus Livsforsikring'!F117</f>
        <v>5754575.4539799979</v>
      </c>
      <c r="F117" s="44">
        <f>'Fremtind Livsforsikring'!G117+'Storebrand Danica Pensjon'!G117+'DNB Livsforsikring'!G117+'Eika Forsikring AS'!G117+'Frende Livsforsikring'!G117+'Frende Skadeforsikring'!G117+'Gjensidige Forsikring'!G117+'Gjensidige Pensjon'!G117+'Handelsbanken Liv'!G117+'If Skadeforsikring NUF'!G117+KLP!G117+'KLP Skadeforsikring AS'!G117+'Landkreditt Forsikring'!G117+'Nordea Liv '!G117+'Oslo Pensjonsforsikring'!G117+'Protector Forsikring'!G117+'SHB Liv'!G117+'Sparebank 1 Forsikring'!G117+'Storebrand Livsforsikring'!G117+'Telenor Forsikring'!G117+'Tryg Forsikring'!G117+'WaterCircles F'!G117+'Codan Forsikring'!G117+'Euro Accident'!G117+'Ly Forsikring'!G117+'Youplus Livsforsikring'!G117</f>
        <v>6490966.7285000002</v>
      </c>
      <c r="G117" s="166">
        <f t="shared" si="33"/>
        <v>12.8</v>
      </c>
      <c r="H117" s="237">
        <f t="shared" si="41"/>
        <v>5754575.4539799979</v>
      </c>
      <c r="I117" s="237">
        <f t="shared" si="42"/>
        <v>6491071.8805</v>
      </c>
      <c r="J117" s="23">
        <f t="shared" si="43"/>
        <v>12.8</v>
      </c>
    </row>
    <row r="118" spans="1:10" ht="15.75" customHeight="1" x14ac:dyDescent="0.2">
      <c r="A118" s="21" t="s">
        <v>368</v>
      </c>
      <c r="B118" s="234"/>
      <c r="C118" s="234"/>
      <c r="D118" s="23"/>
      <c r="E118" s="44"/>
      <c r="F118" s="44"/>
      <c r="G118" s="166"/>
      <c r="H118" s="237"/>
      <c r="I118" s="237"/>
      <c r="J118" s="23"/>
    </row>
    <row r="119" spans="1:10" s="43" customFormat="1" ht="15.75" customHeight="1" x14ac:dyDescent="0.2">
      <c r="A119" s="13" t="s">
        <v>350</v>
      </c>
      <c r="B119" s="331">
        <f>'Fremtind Livsforsikring'!B119+'Storebrand Danica Pensjon'!B119+'DNB Livsforsikring'!B119+'Eika Forsikring AS'!B119+'Frende Livsforsikring'!B119+'Frende Skadeforsikring'!B119+'Gjensidige Forsikring'!B119+'Gjensidige Pensjon'!B119+'Handelsbanken Liv'!B119+'If Skadeforsikring NUF'!B119+KLP!B119+'KLP Skadeforsikring AS'!B119+'Landkreditt Forsikring'!B119+'Nordea Liv '!B119+'Oslo Pensjonsforsikring'!B119+'Protector Forsikring'!B119+'SHB Liv'!B119+'Sparebank 1 Forsikring'!B119+'Storebrand Livsforsikring'!B119+'Telenor Forsikring'!B119+'Tryg Forsikring'!B119+'WaterCircles F'!B119+'Codan Forsikring'!B119+'Euro Accident'!B119+'Ly Forsikring'!B119+'Youplus Livsforsikring'!B119</f>
        <v>355518.63146000012</v>
      </c>
      <c r="C119" s="331">
        <f>'Fremtind Livsforsikring'!C119+'Storebrand Danica Pensjon'!C119+'DNB Livsforsikring'!C119+'Eika Forsikring AS'!C119+'Frende Livsforsikring'!C119+'Frende Skadeforsikring'!C119+'Gjensidige Forsikring'!C119+'Gjensidige Pensjon'!C119+'Handelsbanken Liv'!C119+'If Skadeforsikring NUF'!C119+KLP!C119+'KLP Skadeforsikring AS'!C119+'Landkreditt Forsikring'!C119+'Nordea Liv '!C119+'Oslo Pensjonsforsikring'!C119+'Protector Forsikring'!C119+'SHB Liv'!C119+'Sparebank 1 Forsikring'!C119+'Storebrand Livsforsikring'!C119+'Telenor Forsikring'!C119+'Tryg Forsikring'!C119+'WaterCircles F'!C119+'Codan Forsikring'!C119+'Euro Accident'!C119+'Ly Forsikring'!C119+'Youplus Livsforsikring'!C119</f>
        <v>141130.24180000013</v>
      </c>
      <c r="D119" s="24">
        <f t="shared" si="40"/>
        <v>-60.3</v>
      </c>
      <c r="E119" s="236">
        <f>'Fremtind Livsforsikring'!F119+'Storebrand Danica Pensjon'!F119+'DNB Livsforsikring'!F119+'Eika Forsikring AS'!F119+'Frende Livsforsikring'!F119+'Frende Skadeforsikring'!F119+'Gjensidige Forsikring'!F119+'Gjensidige Pensjon'!F119+'Handelsbanken Liv'!F119+'If Skadeforsikring NUF'!F119+KLP!F119+'KLP Skadeforsikring AS'!F119+'Landkreditt Forsikring'!F119+'Nordea Liv '!F119+'Oslo Pensjonsforsikring'!F119+'Protector Forsikring'!F119+'SHB Liv'!F119+'Sparebank 1 Forsikring'!F119+'Storebrand Livsforsikring'!F119+'Telenor Forsikring'!F119+'Tryg Forsikring'!F119+'WaterCircles F'!F119+'Codan Forsikring'!F119+'Euro Accident'!F119+'Ly Forsikring'!F119+'Youplus Livsforsikring'!F119</f>
        <v>12122042.954369999</v>
      </c>
      <c r="F119" s="236">
        <f>'Fremtind Livsforsikring'!G119+'Storebrand Danica Pensjon'!G119+'DNB Livsforsikring'!G119+'Eika Forsikring AS'!G119+'Frende Livsforsikring'!G119+'Frende Skadeforsikring'!G119+'Gjensidige Forsikring'!G119+'Gjensidige Pensjon'!G119+'Handelsbanken Liv'!G119+'If Skadeforsikring NUF'!G119+KLP!G119+'KLP Skadeforsikring AS'!G119+'Landkreditt Forsikring'!G119+'Nordea Liv '!G119+'Oslo Pensjonsforsikring'!G119+'Protector Forsikring'!G119+'SHB Liv'!G119+'Sparebank 1 Forsikring'!G119+'Storebrand Livsforsikring'!G119+'Telenor Forsikring'!G119+'Tryg Forsikring'!G119+'WaterCircles F'!G119+'Codan Forsikring'!G119+'Euro Accident'!G119+'Ly Forsikring'!G119+'Youplus Livsforsikring'!G119</f>
        <v>12991227.805500001</v>
      </c>
      <c r="G119" s="171">
        <f t="shared" si="33"/>
        <v>7.2</v>
      </c>
      <c r="H119" s="331">
        <f t="shared" si="41"/>
        <v>12477561.585829999</v>
      </c>
      <c r="I119" s="331">
        <f t="shared" si="42"/>
        <v>13132358.047300002</v>
      </c>
      <c r="J119" s="24">
        <f t="shared" si="43"/>
        <v>5.2</v>
      </c>
    </row>
    <row r="120" spans="1:10" ht="15.75" customHeight="1" x14ac:dyDescent="0.2">
      <c r="A120" s="21" t="s">
        <v>9</v>
      </c>
      <c r="B120" s="237">
        <f>'Fremtind Livsforsikring'!B120+'Storebrand Danica Pensjon'!B120+'DNB Livsforsikring'!B120+'Eika Forsikring AS'!B120+'Frende Livsforsikring'!B120+'Frende Skadeforsikring'!B120+'Gjensidige Forsikring'!B120+'Gjensidige Pensjon'!B120+'Handelsbanken Liv'!B120+'If Skadeforsikring NUF'!B120+KLP!B120+'KLP Skadeforsikring AS'!B120+'Landkreditt Forsikring'!B120+'Nordea Liv '!B120+'Oslo Pensjonsforsikring'!B120+'Protector Forsikring'!B120+'SHB Liv'!B120+'Sparebank 1 Forsikring'!B120+'Storebrand Livsforsikring'!B120+'Telenor Forsikring'!B120+'Tryg Forsikring'!B120+'WaterCircles F'!B120+'Codan Forsikring'!B120+'Euro Accident'!B120+'Ly Forsikring'!B120+'Youplus Livsforsikring'!B120</f>
        <v>86736.129210000086</v>
      </c>
      <c r="C120" s="237">
        <f>'Fremtind Livsforsikring'!C120+'Storebrand Danica Pensjon'!C120+'DNB Livsforsikring'!C120+'Eika Forsikring AS'!C120+'Frende Livsforsikring'!C120+'Frende Skadeforsikring'!C120+'Gjensidige Forsikring'!C120+'Gjensidige Pensjon'!C120+'Handelsbanken Liv'!C120+'If Skadeforsikring NUF'!C120+KLP!C120+'KLP Skadeforsikring AS'!C120+'Landkreditt Forsikring'!C120+'Nordea Liv '!C120+'Oslo Pensjonsforsikring'!C120+'Protector Forsikring'!C120+'SHB Liv'!C120+'Sparebank 1 Forsikring'!C120+'Storebrand Livsforsikring'!C120+'Telenor Forsikring'!C120+'Tryg Forsikring'!C120+'WaterCircles F'!C120+'Codan Forsikring'!C120+'Euro Accident'!C120+'Ly Forsikring'!C120+'Youplus Livsforsikring'!C120</f>
        <v>68952.659200000155</v>
      </c>
      <c r="D120" s="23">
        <f t="shared" si="40"/>
        <v>-20.5</v>
      </c>
      <c r="E120" s="44"/>
      <c r="F120" s="44"/>
      <c r="G120" s="166"/>
      <c r="H120" s="237">
        <f t="shared" si="41"/>
        <v>86736.129210000086</v>
      </c>
      <c r="I120" s="237">
        <f t="shared" si="42"/>
        <v>68952.659200000155</v>
      </c>
      <c r="J120" s="23">
        <f t="shared" si="43"/>
        <v>-20.5</v>
      </c>
    </row>
    <row r="121" spans="1:10" ht="15.75" customHeight="1" x14ac:dyDescent="0.2">
      <c r="A121" s="21" t="s">
        <v>10</v>
      </c>
      <c r="B121" s="237">
        <f>'Fremtind Livsforsikring'!B121+'Storebrand Danica Pensjon'!B121+'DNB Livsforsikring'!B121+'Eika Forsikring AS'!B121+'Frende Livsforsikring'!B121+'Frende Skadeforsikring'!B121+'Gjensidige Forsikring'!B121+'Gjensidige Pensjon'!B121+'Handelsbanken Liv'!B121+'If Skadeforsikring NUF'!B121+KLP!B121+'KLP Skadeforsikring AS'!B121+'Landkreditt Forsikring'!B121+'Nordea Liv '!B121+'Oslo Pensjonsforsikring'!B121+'Protector Forsikring'!B121+'SHB Liv'!B121+'Sparebank 1 Forsikring'!B121+'Storebrand Livsforsikring'!B121+'Telenor Forsikring'!B121+'Tryg Forsikring'!B121+'WaterCircles F'!B121+'Codan Forsikring'!B121+'Euro Accident'!B121+'Ly Forsikring'!B121+'Youplus Livsforsikring'!B121</f>
        <v>5116.5181000000002</v>
      </c>
      <c r="C121" s="237">
        <f>'Fremtind Livsforsikring'!C121+'Storebrand Danica Pensjon'!C121+'DNB Livsforsikring'!C121+'Eika Forsikring AS'!C121+'Frende Livsforsikring'!C121+'Frende Skadeforsikring'!C121+'Gjensidige Forsikring'!C121+'Gjensidige Pensjon'!C121+'Handelsbanken Liv'!C121+'If Skadeforsikring NUF'!C121+KLP!C121+'KLP Skadeforsikring AS'!C121+'Landkreditt Forsikring'!C121+'Nordea Liv '!C121+'Oslo Pensjonsforsikring'!C121+'Protector Forsikring'!C121+'SHB Liv'!C121+'Sparebank 1 Forsikring'!C121+'Storebrand Livsforsikring'!C121+'Telenor Forsikring'!C121+'Tryg Forsikring'!C121+'WaterCircles F'!C121+'Codan Forsikring'!C121+'Euro Accident'!C121+'Ly Forsikring'!C121+'Youplus Livsforsikring'!C121</f>
        <v>6822.4922900000001</v>
      </c>
      <c r="D121" s="23">
        <f t="shared" si="40"/>
        <v>33.299999999999997</v>
      </c>
      <c r="E121" s="44">
        <f>'Fremtind Livsforsikring'!F121+'Storebrand Danica Pensjon'!F121+'DNB Livsforsikring'!F121+'Eika Forsikring AS'!F121+'Frende Livsforsikring'!F121+'Frende Skadeforsikring'!F121+'Gjensidige Forsikring'!F121+'Gjensidige Pensjon'!F121+'Handelsbanken Liv'!F121+'If Skadeforsikring NUF'!F121+KLP!F121+'KLP Skadeforsikring AS'!F121+'Landkreditt Forsikring'!F121+'Nordea Liv '!F121+'Oslo Pensjonsforsikring'!F121+'Protector Forsikring'!F121+'SHB Liv'!F121+'Sparebank 1 Forsikring'!F121+'Storebrand Livsforsikring'!F121+'Telenor Forsikring'!F121+'Tryg Forsikring'!F121+'WaterCircles F'!F121+'Codan Forsikring'!F121+'Euro Accident'!F121+'Ly Forsikring'!F121+'Youplus Livsforsikring'!F121</f>
        <v>12122042.954369999</v>
      </c>
      <c r="F121" s="44">
        <f>'Fremtind Livsforsikring'!G121+'Storebrand Danica Pensjon'!G121+'DNB Livsforsikring'!G121+'Eika Forsikring AS'!G121+'Frende Livsforsikring'!G121+'Frende Skadeforsikring'!G121+'Gjensidige Forsikring'!G121+'Gjensidige Pensjon'!G121+'Handelsbanken Liv'!G121+'If Skadeforsikring NUF'!G121+KLP!G121+'KLP Skadeforsikring AS'!G121+'Landkreditt Forsikring'!G121+'Nordea Liv '!G121+'Oslo Pensjonsforsikring'!G121+'Protector Forsikring'!G121+'SHB Liv'!G121+'Sparebank 1 Forsikring'!G121+'Storebrand Livsforsikring'!G121+'Telenor Forsikring'!G121+'Tryg Forsikring'!G121+'WaterCircles F'!G121+'Codan Forsikring'!G121+'Euro Accident'!G121+'Ly Forsikring'!G121+'Youplus Livsforsikring'!G121</f>
        <v>12991227.805500001</v>
      </c>
      <c r="G121" s="166">
        <f t="shared" si="33"/>
        <v>7.2</v>
      </c>
      <c r="H121" s="237">
        <f t="shared" si="41"/>
        <v>12127159.47247</v>
      </c>
      <c r="I121" s="237">
        <f t="shared" si="42"/>
        <v>12998050.29779</v>
      </c>
      <c r="J121" s="23">
        <f t="shared" si="43"/>
        <v>7.2</v>
      </c>
    </row>
    <row r="122" spans="1:10" ht="15.75" customHeight="1" x14ac:dyDescent="0.2">
      <c r="A122" s="21" t="s">
        <v>26</v>
      </c>
      <c r="B122" s="237">
        <f>'Fremtind Livsforsikring'!B122+'Storebrand Danica Pensjon'!B122+'DNB Livsforsikring'!B122+'Eika Forsikring AS'!B122+'Frende Livsforsikring'!B122+'Frende Skadeforsikring'!B122+'Gjensidige Forsikring'!B122+'Gjensidige Pensjon'!B122+'Handelsbanken Liv'!B122+'If Skadeforsikring NUF'!B122+KLP!B122+'KLP Skadeforsikring AS'!B122+'Landkreditt Forsikring'!B122+'Nordea Liv '!B122+'Oslo Pensjonsforsikring'!B122+'Protector Forsikring'!B122+'SHB Liv'!B122+'Sparebank 1 Forsikring'!B122+'Storebrand Livsforsikring'!B122+'Telenor Forsikring'!B122+'Tryg Forsikring'!B122+'WaterCircles F'!B122+'Codan Forsikring'!B122+'Euro Accident'!B122+'Ly Forsikring'!B122+'Youplus Livsforsikring'!B122</f>
        <v>263665.98415000003</v>
      </c>
      <c r="C122" s="237">
        <f>'Fremtind Livsforsikring'!C122+'Storebrand Danica Pensjon'!C122+'DNB Livsforsikring'!C122+'Eika Forsikring AS'!C122+'Frende Livsforsikring'!C122+'Frende Skadeforsikring'!C122+'Gjensidige Forsikring'!C122+'Gjensidige Pensjon'!C122+'Handelsbanken Liv'!C122+'If Skadeforsikring NUF'!C122+KLP!C122+'KLP Skadeforsikring AS'!C122+'Landkreditt Forsikring'!C122+'Nordea Liv '!C122+'Oslo Pensjonsforsikring'!C122+'Protector Forsikring'!C122+'SHB Liv'!C122+'Sparebank 1 Forsikring'!C122+'Storebrand Livsforsikring'!C122+'Telenor Forsikring'!C122+'Tryg Forsikring'!C122+'WaterCircles F'!C122+'Codan Forsikring'!C122+'Euro Accident'!C122+'Ly Forsikring'!C122+'Youplus Livsforsikring'!C122</f>
        <v>65355.09031</v>
      </c>
      <c r="D122" s="23">
        <f t="shared" si="40"/>
        <v>-75.2</v>
      </c>
      <c r="E122" s="44"/>
      <c r="F122" s="44"/>
      <c r="G122" s="166"/>
      <c r="H122" s="237">
        <f t="shared" si="41"/>
        <v>263665.98415000003</v>
      </c>
      <c r="I122" s="237">
        <f t="shared" si="42"/>
        <v>65355.09031</v>
      </c>
      <c r="J122" s="23">
        <f t="shared" si="43"/>
        <v>-75.2</v>
      </c>
    </row>
    <row r="123" spans="1:10" ht="15.75" customHeight="1" x14ac:dyDescent="0.2">
      <c r="A123" s="299" t="s">
        <v>14</v>
      </c>
      <c r="B123" s="44"/>
      <c r="C123" s="44"/>
      <c r="D123" s="27"/>
      <c r="E123" s="44"/>
      <c r="F123" s="44"/>
      <c r="G123" s="166"/>
      <c r="H123" s="237"/>
      <c r="I123" s="237"/>
      <c r="J123" s="23"/>
    </row>
    <row r="124" spans="1:10" ht="15.75" customHeight="1" x14ac:dyDescent="0.2">
      <c r="A124" s="21" t="s">
        <v>367</v>
      </c>
      <c r="B124" s="237">
        <f>'Fremtind Livsforsikring'!B124+'Storebrand Danica Pensjon'!B124+'DNB Livsforsikring'!B124+'Eika Forsikring AS'!B124+'Frende Livsforsikring'!B124+'Frende Skadeforsikring'!B124+'Gjensidige Forsikring'!B124+'Gjensidige Pensjon'!B124+'Handelsbanken Liv'!B124+'If Skadeforsikring NUF'!B124+KLP!B124+'KLP Skadeforsikring AS'!B124+'Landkreditt Forsikring'!B124+'Nordea Liv '!B124+'Oslo Pensjonsforsikring'!B124+'Protector Forsikring'!B124+'SHB Liv'!B124+'Sparebank 1 Forsikring'!B124+'Storebrand Livsforsikring'!B124+'Telenor Forsikring'!B124+'Tryg Forsikring'!B124+'WaterCircles F'!B124+'Codan Forsikring'!B124+'Euro Accident'!B124+'Ly Forsikring'!B124+'Youplus Livsforsikring'!B124</f>
        <v>15594.816000000001</v>
      </c>
      <c r="C124" s="237">
        <f>'Fremtind Livsforsikring'!C124+'Storebrand Danica Pensjon'!C124+'DNB Livsforsikring'!C124+'Eika Forsikring AS'!C124+'Frende Livsforsikring'!C124+'Frende Skadeforsikring'!C124+'Gjensidige Forsikring'!C124+'Gjensidige Pensjon'!C124+'Handelsbanken Liv'!C124+'If Skadeforsikring NUF'!C124+KLP!C124+'KLP Skadeforsikring AS'!C124+'Landkreditt Forsikring'!C124+'Nordea Liv '!C124+'Oslo Pensjonsforsikring'!C124+'Protector Forsikring'!C124+'SHB Liv'!C124+'Sparebank 1 Forsikring'!C124+'Storebrand Livsforsikring'!C124+'Telenor Forsikring'!C124+'Tryg Forsikring'!C124+'WaterCircles F'!C124+'Codan Forsikring'!C124+'Euro Accident'!C124+'Ly Forsikring'!C124+'Youplus Livsforsikring'!C124</f>
        <v>16839.114000000001</v>
      </c>
      <c r="D124" s="23">
        <f t="shared" si="40"/>
        <v>8</v>
      </c>
      <c r="E124" s="44">
        <f>'Fremtind Livsforsikring'!F124+'Storebrand Danica Pensjon'!F124+'DNB Livsforsikring'!F124+'Eika Forsikring AS'!F124+'Frende Livsforsikring'!F124+'Frende Skadeforsikring'!F124+'Gjensidige Forsikring'!F124+'Gjensidige Pensjon'!F124+'Handelsbanken Liv'!F124+'If Skadeforsikring NUF'!F124+KLP!F124+'KLP Skadeforsikring AS'!F124+'Landkreditt Forsikring'!F124+'Nordea Liv '!F124+'Oslo Pensjonsforsikring'!F124+'Protector Forsikring'!F124+'SHB Liv'!F124+'Sparebank 1 Forsikring'!F124+'Storebrand Livsforsikring'!F124+'Telenor Forsikring'!F124+'Tryg Forsikring'!F124+'WaterCircles F'!F124+'Codan Forsikring'!F124+'Euro Accident'!F124+'Ly Forsikring'!F124+'Youplus Livsforsikring'!F124</f>
        <v>3363.8870000000002</v>
      </c>
      <c r="F124" s="44">
        <f>'Fremtind Livsforsikring'!G124+'Storebrand Danica Pensjon'!G124+'DNB Livsforsikring'!G124+'Eika Forsikring AS'!G124+'Frende Livsforsikring'!G124+'Frende Skadeforsikring'!G124+'Gjensidige Forsikring'!G124+'Gjensidige Pensjon'!G124+'Handelsbanken Liv'!G124+'If Skadeforsikring NUF'!G124+KLP!G124+'KLP Skadeforsikring AS'!G124+'Landkreditt Forsikring'!G124+'Nordea Liv '!G124+'Oslo Pensjonsforsikring'!G124+'Protector Forsikring'!G124+'SHB Liv'!G124+'Sparebank 1 Forsikring'!G124+'Storebrand Livsforsikring'!G124+'Telenor Forsikring'!G124+'Tryg Forsikring'!G124+'WaterCircles F'!G124+'Codan Forsikring'!G124+'Euro Accident'!G124+'Ly Forsikring'!G124+'Youplus Livsforsikring'!G124</f>
        <v>3968.998</v>
      </c>
      <c r="G124" s="166">
        <f t="shared" si="33"/>
        <v>18</v>
      </c>
      <c r="H124" s="237">
        <f t="shared" si="41"/>
        <v>18958.703000000001</v>
      </c>
      <c r="I124" s="237">
        <f t="shared" si="42"/>
        <v>20808.112000000001</v>
      </c>
      <c r="J124" s="23">
        <f t="shared" si="43"/>
        <v>9.8000000000000007</v>
      </c>
    </row>
    <row r="125" spans="1:10" ht="15.75" customHeight="1" x14ac:dyDescent="0.2">
      <c r="A125" s="38" t="s">
        <v>407</v>
      </c>
      <c r="B125" s="237">
        <f>'Fremtind Livsforsikring'!B125+'Storebrand Danica Pensjon'!B125+'DNB Livsforsikring'!B125+'Eika Forsikring AS'!B125+'Frende Livsforsikring'!B125+'Frende Skadeforsikring'!B125+'Gjensidige Forsikring'!B125+'Gjensidige Pensjon'!B125+'Handelsbanken Liv'!B125+'If Skadeforsikring NUF'!B125+KLP!B125+'KLP Skadeforsikring AS'!B125+'Landkreditt Forsikring'!B125+'Nordea Liv '!B125+'Oslo Pensjonsforsikring'!B125+'Protector Forsikring'!B125+'SHB Liv'!B125+'Sparebank 1 Forsikring'!B125+'Storebrand Livsforsikring'!B125+'Telenor Forsikring'!B125+'Tryg Forsikring'!B125+'WaterCircles F'!B125+'Codan Forsikring'!B125+'Euro Accident'!B125+'Ly Forsikring'!B125+'Youplus Livsforsikring'!B125</f>
        <v>16.37509</v>
      </c>
      <c r="C125" s="237">
        <f>'Fremtind Livsforsikring'!C125+'Storebrand Danica Pensjon'!C125+'DNB Livsforsikring'!C125+'Eika Forsikring AS'!C125+'Frende Livsforsikring'!C125+'Frende Skadeforsikring'!C125+'Gjensidige Forsikring'!C125+'Gjensidige Pensjon'!C125+'Handelsbanken Liv'!C125+'If Skadeforsikring NUF'!C125+KLP!C125+'KLP Skadeforsikring AS'!C125+'Landkreditt Forsikring'!C125+'Nordea Liv '!C125+'Oslo Pensjonsforsikring'!C125+'Protector Forsikring'!C125+'SHB Liv'!C125+'Sparebank 1 Forsikring'!C125+'Storebrand Livsforsikring'!C125+'Telenor Forsikring'!C125+'Tryg Forsikring'!C125+'WaterCircles F'!C125+'Codan Forsikring'!C125+'Euro Accident'!C125+'Ly Forsikring'!C125+'Youplus Livsforsikring'!C125</f>
        <v>60.852820000000001</v>
      </c>
      <c r="D125" s="23">
        <f t="shared" si="40"/>
        <v>271.60000000000002</v>
      </c>
      <c r="E125" s="44">
        <f>'Fremtind Livsforsikring'!F125+'Storebrand Danica Pensjon'!F125+'DNB Livsforsikring'!F125+'Eika Forsikring AS'!F125+'Frende Livsforsikring'!F125+'Frende Skadeforsikring'!F125+'Gjensidige Forsikring'!F125+'Gjensidige Pensjon'!F125+'Handelsbanken Liv'!F125+'If Skadeforsikring NUF'!F125+KLP!F125+'KLP Skadeforsikring AS'!F125+'Landkreditt Forsikring'!F125+'Nordea Liv '!F125+'Oslo Pensjonsforsikring'!F125+'Protector Forsikring'!F125+'SHB Liv'!F125+'Sparebank 1 Forsikring'!F125+'Storebrand Livsforsikring'!F125+'Telenor Forsikring'!F125+'Tryg Forsikring'!F125+'WaterCircles F'!F125+'Codan Forsikring'!F125+'Euro Accident'!F125+'Ly Forsikring'!F125+'Youplus Livsforsikring'!F125</f>
        <v>5683949.9210500009</v>
      </c>
      <c r="F125" s="44">
        <f>'Fremtind Livsforsikring'!G125+'Storebrand Danica Pensjon'!G125+'DNB Livsforsikring'!G125+'Eika Forsikring AS'!G125+'Frende Livsforsikring'!G125+'Frende Skadeforsikring'!G125+'Gjensidige Forsikring'!G125+'Gjensidige Pensjon'!G125+'Handelsbanken Liv'!G125+'If Skadeforsikring NUF'!G125+KLP!G125+'KLP Skadeforsikring AS'!G125+'Landkreditt Forsikring'!G125+'Nordea Liv '!G125+'Oslo Pensjonsforsikring'!G125+'Protector Forsikring'!G125+'SHB Liv'!G125+'Sparebank 1 Forsikring'!G125+'Storebrand Livsforsikring'!G125+'Telenor Forsikring'!G125+'Tryg Forsikring'!G125+'WaterCircles F'!G125+'Codan Forsikring'!G125+'Euro Accident'!G125+'Ly Forsikring'!G125+'Youplus Livsforsikring'!G125</f>
        <v>6632514.8903099997</v>
      </c>
      <c r="G125" s="166">
        <f t="shared" si="33"/>
        <v>16.7</v>
      </c>
      <c r="H125" s="237">
        <f t="shared" si="41"/>
        <v>5683966.2961400012</v>
      </c>
      <c r="I125" s="237">
        <f t="shared" si="42"/>
        <v>6632575.7431299994</v>
      </c>
      <c r="J125" s="23">
        <f t="shared" si="43"/>
        <v>16.7</v>
      </c>
    </row>
    <row r="126" spans="1:10" ht="15.75" customHeight="1" x14ac:dyDescent="0.2">
      <c r="A126" s="10" t="s">
        <v>368</v>
      </c>
      <c r="B126" s="238"/>
      <c r="C126" s="238"/>
      <c r="D126" s="22"/>
      <c r="E126" s="45"/>
      <c r="F126" s="45"/>
      <c r="G126" s="167"/>
      <c r="H126" s="238"/>
      <c r="I126" s="239"/>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716"/>
      <c r="C130" s="716"/>
      <c r="D130" s="716"/>
      <c r="E130" s="716"/>
      <c r="F130" s="716"/>
      <c r="G130" s="716"/>
      <c r="H130" s="716"/>
      <c r="I130" s="716"/>
      <c r="J130" s="716"/>
    </row>
    <row r="131" spans="1:10" s="3" customFormat="1" ht="20.100000000000001" customHeight="1" x14ac:dyDescent="0.2">
      <c r="A131" s="144"/>
      <c r="B131" s="713" t="s">
        <v>0</v>
      </c>
      <c r="C131" s="714"/>
      <c r="D131" s="715"/>
      <c r="E131" s="714" t="s">
        <v>1</v>
      </c>
      <c r="F131" s="714"/>
      <c r="G131" s="714"/>
      <c r="H131" s="713" t="s">
        <v>2</v>
      </c>
      <c r="I131" s="714"/>
      <c r="J131" s="715"/>
    </row>
    <row r="132" spans="1:10" s="3" customFormat="1" ht="15.75" customHeight="1" x14ac:dyDescent="0.2">
      <c r="A132" s="140"/>
      <c r="B132" s="253" t="s">
        <v>432</v>
      </c>
      <c r="C132" s="253" t="s">
        <v>433</v>
      </c>
      <c r="D132" s="19" t="s">
        <v>3</v>
      </c>
      <c r="E132" s="253" t="s">
        <v>432</v>
      </c>
      <c r="F132" s="253" t="s">
        <v>433</v>
      </c>
      <c r="G132" s="19" t="s">
        <v>3</v>
      </c>
      <c r="H132" s="253" t="s">
        <v>432</v>
      </c>
      <c r="I132" s="253" t="s">
        <v>433</v>
      </c>
      <c r="J132" s="19" t="s">
        <v>3</v>
      </c>
    </row>
    <row r="133" spans="1:10" s="3" customFormat="1" ht="15.75" customHeight="1" x14ac:dyDescent="0.2">
      <c r="A133" s="680"/>
      <c r="B133" s="15"/>
      <c r="C133" s="15"/>
      <c r="D133" s="17" t="s">
        <v>4</v>
      </c>
      <c r="E133" s="16"/>
      <c r="F133" s="16"/>
      <c r="G133" s="15" t="s">
        <v>4</v>
      </c>
      <c r="H133" s="16"/>
      <c r="I133" s="16"/>
      <c r="J133" s="15" t="s">
        <v>4</v>
      </c>
    </row>
    <row r="134" spans="1:10" s="417" customFormat="1" ht="15.75" customHeight="1" x14ac:dyDescent="0.2">
      <c r="A134" s="14" t="s">
        <v>370</v>
      </c>
      <c r="B134" s="236">
        <f>'Fremtind Livsforsikring'!B134+'Storebrand Danica Pensjon'!B134+'DNB Livsforsikring'!B134+'Eika Forsikring AS'!B134+'Frende Livsforsikring'!B134+'Frende Skadeforsikring'!B134+'Gjensidige Forsikring'!B134+'Gjensidige Pensjon'!B134+'Handelsbanken Liv'!B134+'If Skadeforsikring NUF'!B134+KLP!B134+'KLP Skadeforsikring AS'!B134+'Landkreditt Forsikring'!B134+'Nordea Liv '!B134+'Oslo Pensjonsforsikring'!B134+'Protector Forsikring'!B134+'SHB Liv'!B134+'Sparebank 1 Forsikring'!B134+'Storebrand Livsforsikring'!B134+'Telenor Forsikring'!B134+'Tryg Forsikring'!B134+'WaterCircles F'!B134+'Codan Forsikring'!B134+'Euro Accident'!B134+'Ly Forsikring'!B134+'Youplus Livsforsikring'!B134</f>
        <v>8497291.137050001</v>
      </c>
      <c r="C134" s="236">
        <f>'Fremtind Livsforsikring'!C134+'Storebrand Danica Pensjon'!C134+'DNB Livsforsikring'!C134+'Eika Forsikring AS'!C134+'Frende Livsforsikring'!C134+'Frende Skadeforsikring'!C134+'Gjensidige Forsikring'!C134+'Gjensidige Pensjon'!C134+'Handelsbanken Liv'!C134+'If Skadeforsikring NUF'!C134+KLP!C134+'KLP Skadeforsikring AS'!C134+'Landkreditt Forsikring'!C134+'Nordea Liv '!C134+'Oslo Pensjonsforsikring'!C134+'Protector Forsikring'!C134+'SHB Liv'!C134+'Sparebank 1 Forsikring'!C134+'Storebrand Livsforsikring'!C134+'Telenor Forsikring'!C134+'Tryg Forsikring'!C134+'WaterCircles F'!C134+'Codan Forsikring'!C134+'Euro Accident'!C134+'Ly Forsikring'!C134+'Youplus Livsforsikring'!C134</f>
        <v>8890376.6183399986</v>
      </c>
      <c r="D134" s="11">
        <f t="shared" ref="D134:D137" si="44">IF(B134=0, "    ---- ", IF(ABS(ROUND(100/B134*C134-100,1))&lt;999,ROUND(100/B134*C134-100,1),IF(ROUND(100/B134*C134-100,1)&gt;999,999,-999)))</f>
        <v>4.5999999999999996</v>
      </c>
      <c r="E134" s="236">
        <f>'Fremtind Livsforsikring'!F134+'Storebrand Danica Pensjon'!F134+'DNB Livsforsikring'!F134+'Eika Forsikring AS'!F134+'Frende Livsforsikring'!F134+'Frende Skadeforsikring'!F134+'Gjensidige Forsikring'!F134+'Gjensidige Pensjon'!F134+'Handelsbanken Liv'!F134+'If Skadeforsikring NUF'!F134+KLP!F134+'KLP Skadeforsikring AS'!F134+'Landkreditt Forsikring'!F134+'Nordea Liv '!F134+'Oslo Pensjonsforsikring'!F134+'Protector Forsikring'!F134+'SHB Liv'!F134+'Sparebank 1 Forsikring'!F134+'Storebrand Livsforsikring'!F134+'Telenor Forsikring'!F134+'Tryg Forsikring'!F134+'WaterCircles F'!F134+'Codan Forsikring'!F134+'Euro Accident'!F134+'Ly Forsikring'!F134+'Youplus Livsforsikring'!F134</f>
        <v>7778.8180000000002</v>
      </c>
      <c r="F134" s="236">
        <f>'Fremtind Livsforsikring'!G134+'Storebrand Danica Pensjon'!G134+'DNB Livsforsikring'!G134+'Eika Forsikring AS'!G134+'Frende Livsforsikring'!G134+'Frende Skadeforsikring'!G134+'Gjensidige Forsikring'!G134+'Gjensidige Pensjon'!G134+'Handelsbanken Liv'!G134+'If Skadeforsikring NUF'!G134+KLP!G134+'KLP Skadeforsikring AS'!G134+'Landkreditt Forsikring'!G134+'Nordea Liv '!G134+'Oslo Pensjonsforsikring'!G134+'Protector Forsikring'!G134+'SHB Liv'!G134+'Sparebank 1 Forsikring'!G134+'Storebrand Livsforsikring'!G134+'Telenor Forsikring'!G134+'Tryg Forsikring'!G134+'WaterCircles F'!G134+'Codan Forsikring'!G134+'Euro Accident'!G134+'Ly Forsikring'!G134+'Youplus Livsforsikring'!G134</f>
        <v>18550.222000000002</v>
      </c>
      <c r="G134" s="11">
        <f t="shared" ref="G134:G136" si="45">IF(E134=0, "    ---- ", IF(ABS(ROUND(100/E134*F134-100,1))&lt;999,ROUND(100/E134*F134-100,1),IF(ROUND(100/E134*F134-100,1)&gt;999,999,-999)))</f>
        <v>138.5</v>
      </c>
      <c r="H134" s="236">
        <f t="shared" ref="H134:I137" si="46">SUM(B134,E134)</f>
        <v>8505069.9550500009</v>
      </c>
      <c r="I134" s="236">
        <f t="shared" si="46"/>
        <v>8908926.8403399978</v>
      </c>
      <c r="J134" s="11">
        <f t="shared" ref="J134:J137" si="47">IF(H134=0, "    ---- ", IF(ABS(ROUND(100/H134*I134-100,1))&lt;999,ROUND(100/H134*I134-100,1),IF(ROUND(100/H134*I134-100,1)&gt;999,999,-999)))</f>
        <v>4.7</v>
      </c>
    </row>
    <row r="135" spans="1:10" s="417" customFormat="1" ht="15.75" customHeight="1" x14ac:dyDescent="0.2">
      <c r="A135" s="13" t="s">
        <v>371</v>
      </c>
      <c r="B135" s="236">
        <f>'Fremtind Livsforsikring'!B135+'Storebrand Danica Pensjon'!B135+'DNB Livsforsikring'!B135+'Eika Forsikring AS'!B135+'Frende Livsforsikring'!B135+'Frende Skadeforsikring'!B135+'Gjensidige Forsikring'!B135+'Gjensidige Pensjon'!B135+'Handelsbanken Liv'!B135+'If Skadeforsikring NUF'!B135+KLP!B135+'KLP Skadeforsikring AS'!B135+'Landkreditt Forsikring'!B135+'Nordea Liv '!B135+'Oslo Pensjonsforsikring'!B135+'Protector Forsikring'!B135+'SHB Liv'!B135+'Sparebank 1 Forsikring'!B135+'Storebrand Livsforsikring'!B135+'Telenor Forsikring'!B135+'Tryg Forsikring'!B135+'WaterCircles F'!B135+'Codan Forsikring'!B135+'Euro Accident'!B135+'Ly Forsikring'!B135+'Youplus Livsforsikring'!B135</f>
        <v>739551747.40679002</v>
      </c>
      <c r="C135" s="236">
        <f>'Fremtind Livsforsikring'!C135+'Storebrand Danica Pensjon'!C135+'DNB Livsforsikring'!C135+'Eika Forsikring AS'!C135+'Frende Livsforsikring'!C135+'Frende Skadeforsikring'!C135+'Gjensidige Forsikring'!C135+'Gjensidige Pensjon'!C135+'Handelsbanken Liv'!C135+'If Skadeforsikring NUF'!C135+KLP!C135+'KLP Skadeforsikring AS'!C135+'Landkreditt Forsikring'!C135+'Nordea Liv '!C135+'Oslo Pensjonsforsikring'!C135+'Protector Forsikring'!C135+'SHB Liv'!C135+'Sparebank 1 Forsikring'!C135+'Storebrand Livsforsikring'!C135+'Telenor Forsikring'!C135+'Tryg Forsikring'!C135+'WaterCircles F'!C135+'Codan Forsikring'!C135+'Euro Accident'!C135+'Ly Forsikring'!C135+'Youplus Livsforsikring'!C135</f>
        <v>771616823.55249</v>
      </c>
      <c r="D135" s="11">
        <f t="shared" si="44"/>
        <v>4.3</v>
      </c>
      <c r="E135" s="236">
        <f>'Fremtind Livsforsikring'!F135+'Storebrand Danica Pensjon'!F135+'DNB Livsforsikring'!F135+'Eika Forsikring AS'!F135+'Frende Livsforsikring'!F135+'Frende Skadeforsikring'!F135+'Gjensidige Forsikring'!F135+'Gjensidige Pensjon'!F135+'Handelsbanken Liv'!F135+'If Skadeforsikring NUF'!F135+KLP!F135+'KLP Skadeforsikring AS'!F135+'Landkreditt Forsikring'!F135+'Nordea Liv '!F135+'Oslo Pensjonsforsikring'!F135+'Protector Forsikring'!F135+'SHB Liv'!F135+'Sparebank 1 Forsikring'!F135+'Storebrand Livsforsikring'!F135+'Telenor Forsikring'!F135+'Tryg Forsikring'!F135+'WaterCircles F'!F135+'Codan Forsikring'!F135+'Euro Accident'!F135+'Ly Forsikring'!F135+'Youplus Livsforsikring'!F135</f>
        <v>2847329.1389299999</v>
      </c>
      <c r="F135" s="236">
        <f>'Fremtind Livsforsikring'!G135+'Storebrand Danica Pensjon'!G135+'DNB Livsforsikring'!G135+'Eika Forsikring AS'!G135+'Frende Livsforsikring'!G135+'Frende Skadeforsikring'!G135+'Gjensidige Forsikring'!G135+'Gjensidige Pensjon'!G135+'Handelsbanken Liv'!G135+'If Skadeforsikring NUF'!G135+KLP!G135+'KLP Skadeforsikring AS'!G135+'Landkreditt Forsikring'!G135+'Nordea Liv '!G135+'Oslo Pensjonsforsikring'!G135+'Protector Forsikring'!G135+'SHB Liv'!G135+'Sparebank 1 Forsikring'!G135+'Storebrand Livsforsikring'!G135+'Telenor Forsikring'!G135+'Tryg Forsikring'!G135+'WaterCircles F'!G135+'Codan Forsikring'!G135+'Euro Accident'!G135+'Ly Forsikring'!G135+'Youplus Livsforsikring'!G135</f>
        <v>2609059.09693</v>
      </c>
      <c r="G135" s="11">
        <f t="shared" si="45"/>
        <v>-8.4</v>
      </c>
      <c r="H135" s="236">
        <f t="shared" si="46"/>
        <v>742399076.54571998</v>
      </c>
      <c r="I135" s="236">
        <f t="shared" si="46"/>
        <v>774225882.64942002</v>
      </c>
      <c r="J135" s="11">
        <f t="shared" si="47"/>
        <v>4.3</v>
      </c>
    </row>
    <row r="136" spans="1:10" s="417" customFormat="1" ht="15.75" customHeight="1" x14ac:dyDescent="0.2">
      <c r="A136" s="13" t="s">
        <v>372</v>
      </c>
      <c r="B136" s="236">
        <f>'Fremtind Livsforsikring'!B136+'Storebrand Danica Pensjon'!B136+'DNB Livsforsikring'!B136+'Eika Forsikring AS'!B136+'Frende Livsforsikring'!B136+'Frende Skadeforsikring'!B136+'Gjensidige Forsikring'!B136+'Gjensidige Pensjon'!B136+'Handelsbanken Liv'!B136+'If Skadeforsikring NUF'!B136+KLP!B136+'KLP Skadeforsikring AS'!B136+'Landkreditt Forsikring'!B136+'Nordea Liv '!B136+'Oslo Pensjonsforsikring'!B136+'Protector Forsikring'!B136+'SHB Liv'!B136+'Sparebank 1 Forsikring'!B136+'Storebrand Livsforsikring'!B136+'Telenor Forsikring'!B136+'Tryg Forsikring'!B136+'WaterCircles F'!B136+'Codan Forsikring'!B136+'Euro Accident'!B136+'Ly Forsikring'!B136+'Youplus Livsforsikring'!B136</f>
        <v>3131923.139</v>
      </c>
      <c r="C136" s="236">
        <f>'Fremtind Livsforsikring'!C136+'Storebrand Danica Pensjon'!C136+'DNB Livsforsikring'!C136+'Eika Forsikring AS'!C136+'Frende Livsforsikring'!C136+'Frende Skadeforsikring'!C136+'Gjensidige Forsikring'!C136+'Gjensidige Pensjon'!C136+'Handelsbanken Liv'!C136+'If Skadeforsikring NUF'!C136+KLP!C136+'KLP Skadeforsikring AS'!C136+'Landkreditt Forsikring'!C136+'Nordea Liv '!C136+'Oslo Pensjonsforsikring'!C136+'Protector Forsikring'!C136+'SHB Liv'!C136+'Sparebank 1 Forsikring'!C136+'Storebrand Livsforsikring'!C136+'Telenor Forsikring'!C136+'Tryg Forsikring'!C136+'WaterCircles F'!C136+'Codan Forsikring'!C136+'Euro Accident'!C136+'Ly Forsikring'!C136+'Youplus Livsforsikring'!C136</f>
        <v>899139.28700000001</v>
      </c>
      <c r="D136" s="11">
        <f t="shared" si="44"/>
        <v>-71.3</v>
      </c>
      <c r="E136" s="236">
        <f>'Fremtind Livsforsikring'!F136+'Storebrand Danica Pensjon'!F136+'DNB Livsforsikring'!F136+'Eika Forsikring AS'!F136+'Frende Livsforsikring'!F136+'Frende Skadeforsikring'!F136+'Gjensidige Forsikring'!F136+'Gjensidige Pensjon'!F136+'Handelsbanken Liv'!F136+'If Skadeforsikring NUF'!F136+KLP!F136+'KLP Skadeforsikring AS'!F136+'Landkreditt Forsikring'!F136+'Nordea Liv '!F136+'Oslo Pensjonsforsikring'!F136+'Protector Forsikring'!F136+'SHB Liv'!F136+'Sparebank 1 Forsikring'!F136+'Storebrand Livsforsikring'!F136+'Telenor Forsikring'!F136+'Tryg Forsikring'!F136+'WaterCircles F'!F136+'Codan Forsikring'!F136+'Euro Accident'!F136+'Ly Forsikring'!F136+'Youplus Livsforsikring'!F136</f>
        <v>376440.52899999998</v>
      </c>
      <c r="F136" s="236">
        <f>'Fremtind Livsforsikring'!G136+'Storebrand Danica Pensjon'!G136+'DNB Livsforsikring'!G136+'Eika Forsikring AS'!G136+'Frende Livsforsikring'!G136+'Frende Skadeforsikring'!G136+'Gjensidige Forsikring'!G136+'Gjensidige Pensjon'!G136+'Handelsbanken Liv'!G136+'If Skadeforsikring NUF'!G136+KLP!G136+'KLP Skadeforsikring AS'!G136+'Landkreditt Forsikring'!G136+'Nordea Liv '!G136+'Oslo Pensjonsforsikring'!G136+'Protector Forsikring'!G136+'SHB Liv'!G136+'Sparebank 1 Forsikring'!G136+'Storebrand Livsforsikring'!G136+'Telenor Forsikring'!G136+'Tryg Forsikring'!G136+'WaterCircles F'!G136+'Codan Forsikring'!G136+'Euro Accident'!G136+'Ly Forsikring'!G136+'Youplus Livsforsikring'!G136</f>
        <v>0</v>
      </c>
      <c r="G136" s="11">
        <f t="shared" si="45"/>
        <v>-100</v>
      </c>
      <c r="H136" s="236">
        <f t="shared" si="46"/>
        <v>3508363.6680000001</v>
      </c>
      <c r="I136" s="236">
        <f t="shared" si="46"/>
        <v>899139.28700000001</v>
      </c>
      <c r="J136" s="11">
        <f t="shared" si="47"/>
        <v>-74.400000000000006</v>
      </c>
    </row>
    <row r="137" spans="1:10" s="417" customFormat="1" ht="15.75" customHeight="1" x14ac:dyDescent="0.2">
      <c r="A137" s="41" t="s">
        <v>373</v>
      </c>
      <c r="B137" s="281">
        <f>'Fremtind Livsforsikring'!B137+'Storebrand Danica Pensjon'!B137+'DNB Livsforsikring'!B137+'Eika Forsikring AS'!B137+'Frende Livsforsikring'!B137+'Frende Skadeforsikring'!B137+'Gjensidige Forsikring'!B137+'Gjensidige Pensjon'!B137+'Handelsbanken Liv'!B137+'If Skadeforsikring NUF'!B137+KLP!B137+'KLP Skadeforsikring AS'!B137+'Landkreditt Forsikring'!B137+'Nordea Liv '!B137+'Oslo Pensjonsforsikring'!B137+'Protector Forsikring'!B137+'SHB Liv'!B137+'Sparebank 1 Forsikring'!B137+'Storebrand Livsforsikring'!B137+'Telenor Forsikring'!B137+'Tryg Forsikring'!B137+'WaterCircles F'!B137+'Codan Forsikring'!B137+'Euro Accident'!B137+'Ly Forsikring'!B137+'Youplus Livsforsikring'!B137</f>
        <v>4875400.2249999996</v>
      </c>
      <c r="C137" s="281">
        <f>'Fremtind Livsforsikring'!C137+'Storebrand Danica Pensjon'!C137+'DNB Livsforsikring'!C137+'Eika Forsikring AS'!C137+'Frende Livsforsikring'!C137+'Frende Skadeforsikring'!C137+'Gjensidige Forsikring'!C137+'Gjensidige Pensjon'!C137+'Handelsbanken Liv'!C137+'If Skadeforsikring NUF'!C137+KLP!C137+'KLP Skadeforsikring AS'!C137+'Landkreditt Forsikring'!C137+'Nordea Liv '!C137+'Oslo Pensjonsforsikring'!C137+'Protector Forsikring'!C137+'SHB Liv'!C137+'Sparebank 1 Forsikring'!C137+'Storebrand Livsforsikring'!C137+'Telenor Forsikring'!C137+'Tryg Forsikring'!C137+'WaterCircles F'!C137+'Codan Forsikring'!C137+'Euro Accident'!C137+'Ly Forsikring'!C137+'Youplus Livsforsikring'!C137</f>
        <v>2125461.818</v>
      </c>
      <c r="D137" s="9">
        <f t="shared" si="44"/>
        <v>-56.4</v>
      </c>
      <c r="E137" s="281"/>
      <c r="F137" s="281"/>
      <c r="G137" s="9"/>
      <c r="H137" s="281">
        <f t="shared" si="46"/>
        <v>4875400.2249999996</v>
      </c>
      <c r="I137" s="281">
        <f t="shared" si="46"/>
        <v>2125461.818</v>
      </c>
      <c r="J137" s="9">
        <f t="shared" si="47"/>
        <v>-56.4</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726" priority="64">
      <formula>kvartal&lt;4</formula>
    </cfRule>
  </conditionalFormatting>
  <conditionalFormatting sqref="H69:I74">
    <cfRule type="expression" dxfId="725" priority="72">
      <formula>kvartal&lt;4</formula>
    </cfRule>
  </conditionalFormatting>
  <conditionalFormatting sqref="H80:I85">
    <cfRule type="expression" dxfId="724" priority="69">
      <formula>kvartal&lt;4</formula>
    </cfRule>
  </conditionalFormatting>
  <conditionalFormatting sqref="H90:I95">
    <cfRule type="expression" dxfId="723" priority="65">
      <formula>kvartal&lt;4</formula>
    </cfRule>
  </conditionalFormatting>
  <conditionalFormatting sqref="H115:I115">
    <cfRule type="expression" dxfId="722" priority="63">
      <formula>kvartal&lt;4</formula>
    </cfRule>
  </conditionalFormatting>
  <conditionalFormatting sqref="H123:I123">
    <cfRule type="expression" dxfId="721" priority="62">
      <formula>kvartal&lt;4</formula>
    </cfRule>
  </conditionalFormatting>
  <conditionalFormatting sqref="A50:A52">
    <cfRule type="expression" dxfId="720" priority="58">
      <formula>kvartal &lt; 4</formula>
    </cfRule>
  </conditionalFormatting>
  <conditionalFormatting sqref="A69:A74">
    <cfRule type="expression" dxfId="719" priority="56">
      <formula>kvartal &lt; 4</formula>
    </cfRule>
  </conditionalFormatting>
  <conditionalFormatting sqref="A80:A85">
    <cfRule type="expression" dxfId="718" priority="55">
      <formula>kvartal &lt; 4</formula>
    </cfRule>
  </conditionalFormatting>
  <conditionalFormatting sqref="A90:A95">
    <cfRule type="expression" dxfId="717" priority="52">
      <formula>kvartal &lt; 4</formula>
    </cfRule>
  </conditionalFormatting>
  <conditionalFormatting sqref="A101:A106">
    <cfRule type="expression" dxfId="716" priority="51">
      <formula>kvartal &lt; 4</formula>
    </cfRule>
  </conditionalFormatting>
  <conditionalFormatting sqref="A115">
    <cfRule type="expression" dxfId="715" priority="50">
      <formula>kvartal &lt; 4</formula>
    </cfRule>
  </conditionalFormatting>
  <conditionalFormatting sqref="A123">
    <cfRule type="expression" dxfId="714" priority="49">
      <formula>kvartal &lt; 4</formula>
    </cfRule>
  </conditionalFormatting>
  <conditionalFormatting sqref="B50:B52">
    <cfRule type="expression" dxfId="713" priority="42">
      <formula>kvartal&lt;4</formula>
    </cfRule>
  </conditionalFormatting>
  <conditionalFormatting sqref="B69">
    <cfRule type="expression" dxfId="712" priority="40">
      <formula>kvartal&lt;4</formula>
    </cfRule>
  </conditionalFormatting>
  <conditionalFormatting sqref="B72">
    <cfRule type="expression" dxfId="711" priority="39">
      <formula>kvartal&lt;4</formula>
    </cfRule>
  </conditionalFormatting>
  <conditionalFormatting sqref="B80">
    <cfRule type="expression" dxfId="710" priority="38">
      <formula>kvartal&lt;4</formula>
    </cfRule>
  </conditionalFormatting>
  <conditionalFormatting sqref="B83">
    <cfRule type="expression" dxfId="709" priority="37">
      <formula>kvartal&lt;4</formula>
    </cfRule>
  </conditionalFormatting>
  <conditionalFormatting sqref="B90">
    <cfRule type="expression" dxfId="708" priority="32">
      <formula>kvartal&lt;4</formula>
    </cfRule>
  </conditionalFormatting>
  <conditionalFormatting sqref="B93">
    <cfRule type="expression" dxfId="707" priority="31">
      <formula>kvartal&lt;4</formula>
    </cfRule>
  </conditionalFormatting>
  <conditionalFormatting sqref="B101">
    <cfRule type="expression" dxfId="706" priority="30">
      <formula>kvartal&lt;4</formula>
    </cfRule>
  </conditionalFormatting>
  <conditionalFormatting sqref="B104">
    <cfRule type="expression" dxfId="705" priority="29">
      <formula>kvartal&lt;4</formula>
    </cfRule>
  </conditionalFormatting>
  <conditionalFormatting sqref="B115">
    <cfRule type="expression" dxfId="704" priority="28">
      <formula>kvartal&lt;4</formula>
    </cfRule>
  </conditionalFormatting>
  <conditionalFormatting sqref="B123">
    <cfRule type="expression" dxfId="703" priority="27">
      <formula>kvartal&lt;4</formula>
    </cfRule>
  </conditionalFormatting>
  <conditionalFormatting sqref="E69:E74">
    <cfRule type="expression" dxfId="702" priority="26">
      <formula>kvartal&lt;4</formula>
    </cfRule>
  </conditionalFormatting>
  <conditionalFormatting sqref="E80:E85">
    <cfRule type="expression" dxfId="701" priority="25">
      <formula>kvartal&lt;4</formula>
    </cfRule>
  </conditionalFormatting>
  <conditionalFormatting sqref="E90:E95">
    <cfRule type="expression" dxfId="700" priority="22">
      <formula>kvartal&lt;4</formula>
    </cfRule>
  </conditionalFormatting>
  <conditionalFormatting sqref="E101:E106">
    <cfRule type="expression" dxfId="699" priority="21">
      <formula>kvartal&lt;4</formula>
    </cfRule>
  </conditionalFormatting>
  <conditionalFormatting sqref="E115">
    <cfRule type="expression" dxfId="698" priority="20">
      <formula>kvartal&lt;4</formula>
    </cfRule>
  </conditionalFormatting>
  <conditionalFormatting sqref="E123">
    <cfRule type="expression" dxfId="697" priority="19">
      <formula>kvartal&lt;4</formula>
    </cfRule>
  </conditionalFormatting>
  <conditionalFormatting sqref="F123">
    <cfRule type="expression" dxfId="696" priority="1">
      <formula>kvartal&lt;4</formula>
    </cfRule>
  </conditionalFormatting>
  <conditionalFormatting sqref="C50:C52">
    <cfRule type="expression" dxfId="695" priority="17">
      <formula>kvartal&lt;4</formula>
    </cfRule>
  </conditionalFormatting>
  <conditionalFormatting sqref="C69">
    <cfRule type="expression" dxfId="694" priority="16">
      <formula>kvartal&lt;4</formula>
    </cfRule>
  </conditionalFormatting>
  <conditionalFormatting sqref="C72">
    <cfRule type="expression" dxfId="693" priority="15">
      <formula>kvartal&lt;4</formula>
    </cfRule>
  </conditionalFormatting>
  <conditionalFormatting sqref="C80">
    <cfRule type="expression" dxfId="692" priority="14">
      <formula>kvartal&lt;4</formula>
    </cfRule>
  </conditionalFormatting>
  <conditionalFormatting sqref="C83">
    <cfRule type="expression" dxfId="691" priority="13">
      <formula>kvartal&lt;4</formula>
    </cfRule>
  </conditionalFormatting>
  <conditionalFormatting sqref="C90">
    <cfRule type="expression" dxfId="690" priority="12">
      <formula>kvartal&lt;4</formula>
    </cfRule>
  </conditionalFormatting>
  <conditionalFormatting sqref="C93">
    <cfRule type="expression" dxfId="689" priority="11">
      <formula>kvartal&lt;4</formula>
    </cfRule>
  </conditionalFormatting>
  <conditionalFormatting sqref="C101">
    <cfRule type="expression" dxfId="688" priority="10">
      <formula>kvartal&lt;4</formula>
    </cfRule>
  </conditionalFormatting>
  <conditionalFormatting sqref="C104">
    <cfRule type="expression" dxfId="687" priority="9">
      <formula>kvartal&lt;4</formula>
    </cfRule>
  </conditionalFormatting>
  <conditionalFormatting sqref="C115">
    <cfRule type="expression" dxfId="686" priority="8">
      <formula>kvartal&lt;4</formula>
    </cfRule>
  </conditionalFormatting>
  <conditionalFormatting sqref="C123">
    <cfRule type="expression" dxfId="685" priority="7">
      <formula>kvartal&lt;4</formula>
    </cfRule>
  </conditionalFormatting>
  <conditionalFormatting sqref="F69:F74">
    <cfRule type="expression" dxfId="684" priority="6">
      <formula>kvartal&lt;4</formula>
    </cfRule>
  </conditionalFormatting>
  <conditionalFormatting sqref="F80:F85">
    <cfRule type="expression" dxfId="683" priority="5">
      <formula>kvartal&lt;4</formula>
    </cfRule>
  </conditionalFormatting>
  <conditionalFormatting sqref="F90:F95">
    <cfRule type="expression" dxfId="682" priority="4">
      <formula>kvartal&lt;4</formula>
    </cfRule>
  </conditionalFormatting>
  <conditionalFormatting sqref="F101:F106">
    <cfRule type="expression" dxfId="681" priority="3">
      <formula>kvartal&lt;4</formula>
    </cfRule>
  </conditionalFormatting>
  <conditionalFormatting sqref="F115">
    <cfRule type="expression" dxfId="680"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397</v>
      </c>
      <c r="D1" s="26"/>
      <c r="E1" s="26"/>
      <c r="F1" s="26"/>
      <c r="G1" s="26"/>
      <c r="H1" s="26"/>
      <c r="I1" s="26"/>
      <c r="J1" s="26"/>
      <c r="K1" s="26"/>
      <c r="L1" s="26"/>
      <c r="M1" s="26"/>
    </row>
    <row r="2" spans="1:14" ht="15.75" x14ac:dyDescent="0.25">
      <c r="A2" s="165" t="s">
        <v>28</v>
      </c>
      <c r="B2" s="718"/>
      <c r="C2" s="718"/>
      <c r="D2" s="718"/>
      <c r="E2" s="563"/>
      <c r="F2" s="718"/>
      <c r="G2" s="718"/>
      <c r="H2" s="718"/>
      <c r="I2" s="563"/>
      <c r="J2" s="718"/>
      <c r="K2" s="718"/>
      <c r="L2" s="718"/>
      <c r="M2" s="563"/>
    </row>
    <row r="3" spans="1:14" ht="15.75" x14ac:dyDescent="0.25">
      <c r="A3" s="163"/>
      <c r="B3" s="563"/>
      <c r="C3" s="563"/>
      <c r="D3" s="563"/>
      <c r="E3" s="563"/>
      <c r="F3" s="563"/>
      <c r="G3" s="563"/>
      <c r="H3" s="563"/>
      <c r="I3" s="563"/>
      <c r="J3" s="563"/>
      <c r="K3" s="563"/>
      <c r="L3" s="563"/>
      <c r="M3" s="563"/>
    </row>
    <row r="4" spans="1:14" x14ac:dyDescent="0.2">
      <c r="A4" s="144"/>
      <c r="B4" s="719" t="s">
        <v>0</v>
      </c>
      <c r="C4" s="720"/>
      <c r="D4" s="720"/>
      <c r="E4" s="561"/>
      <c r="F4" s="719" t="s">
        <v>1</v>
      </c>
      <c r="G4" s="720"/>
      <c r="H4" s="720"/>
      <c r="I4" s="562"/>
      <c r="J4" s="719" t="s">
        <v>2</v>
      </c>
      <c r="K4" s="720"/>
      <c r="L4" s="720"/>
      <c r="M4" s="562"/>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563"/>
      <c r="F18" s="721"/>
      <c r="G18" s="721"/>
      <c r="H18" s="721"/>
      <c r="I18" s="563"/>
      <c r="J18" s="721"/>
      <c r="K18" s="721"/>
      <c r="L18" s="721"/>
      <c r="M18" s="563"/>
    </row>
    <row r="19" spans="1:14" x14ac:dyDescent="0.2">
      <c r="A19" s="144"/>
      <c r="B19" s="719" t="s">
        <v>0</v>
      </c>
      <c r="C19" s="720"/>
      <c r="D19" s="720"/>
      <c r="E19" s="561"/>
      <c r="F19" s="719" t="s">
        <v>1</v>
      </c>
      <c r="G19" s="720"/>
      <c r="H19" s="720"/>
      <c r="I19" s="562"/>
      <c r="J19" s="719" t="s">
        <v>2</v>
      </c>
      <c r="K19" s="720"/>
      <c r="L19" s="720"/>
      <c r="M19" s="562"/>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413"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60"/>
      <c r="J22" s="319"/>
      <c r="K22" s="319"/>
      <c r="L22" s="424"/>
      <c r="M22" s="24"/>
    </row>
    <row r="23" spans="1:14" ht="15.75" x14ac:dyDescent="0.2">
      <c r="A23" s="507" t="s">
        <v>351</v>
      </c>
      <c r="B23" s="286"/>
      <c r="C23" s="286"/>
      <c r="D23" s="166"/>
      <c r="E23" s="11"/>
      <c r="F23" s="294"/>
      <c r="G23" s="294"/>
      <c r="H23" s="166"/>
      <c r="I23" s="240"/>
      <c r="J23" s="294"/>
      <c r="K23" s="294"/>
      <c r="L23" s="166"/>
      <c r="M23" s="23"/>
    </row>
    <row r="24" spans="1:14" ht="15.75" x14ac:dyDescent="0.2">
      <c r="A24" s="507" t="s">
        <v>352</v>
      </c>
      <c r="B24" s="286"/>
      <c r="C24" s="286"/>
      <c r="D24" s="166"/>
      <c r="E24" s="11"/>
      <c r="F24" s="294"/>
      <c r="G24" s="294"/>
      <c r="H24" s="166"/>
      <c r="I24" s="240"/>
      <c r="J24" s="294"/>
      <c r="K24" s="294"/>
      <c r="L24" s="166"/>
      <c r="M24" s="23"/>
    </row>
    <row r="25" spans="1:14" ht="15.75" x14ac:dyDescent="0.2">
      <c r="A25" s="507" t="s">
        <v>353</v>
      </c>
      <c r="B25" s="286"/>
      <c r="C25" s="286"/>
      <c r="D25" s="166"/>
      <c r="E25" s="11"/>
      <c r="F25" s="294"/>
      <c r="G25" s="294"/>
      <c r="H25" s="166"/>
      <c r="I25" s="240"/>
      <c r="J25" s="294"/>
      <c r="K25" s="294"/>
      <c r="L25" s="166"/>
      <c r="M25" s="23"/>
    </row>
    <row r="26" spans="1:14" ht="15.75" x14ac:dyDescent="0.2">
      <c r="A26" s="507" t="s">
        <v>354</v>
      </c>
      <c r="B26" s="286"/>
      <c r="C26" s="286"/>
      <c r="D26" s="166"/>
      <c r="E26" s="11"/>
      <c r="F26" s="294"/>
      <c r="G26" s="294"/>
      <c r="H26" s="166"/>
      <c r="I26" s="240"/>
      <c r="J26" s="294"/>
      <c r="K26" s="294"/>
      <c r="L26" s="166"/>
      <c r="M26" s="23"/>
    </row>
    <row r="27" spans="1:14" x14ac:dyDescent="0.2">
      <c r="A27" s="507" t="s">
        <v>11</v>
      </c>
      <c r="B27" s="286"/>
      <c r="C27" s="286"/>
      <c r="D27" s="166"/>
      <c r="E27" s="11"/>
      <c r="F27" s="294"/>
      <c r="G27" s="294"/>
      <c r="H27" s="166"/>
      <c r="I27" s="240"/>
      <c r="J27" s="294"/>
      <c r="K27" s="294"/>
      <c r="L27" s="166"/>
      <c r="M27" s="23"/>
    </row>
    <row r="28" spans="1:14" ht="15.75" x14ac:dyDescent="0.2">
      <c r="A28" s="49" t="s">
        <v>269</v>
      </c>
      <c r="B28" s="44"/>
      <c r="C28" s="292"/>
      <c r="D28" s="166"/>
      <c r="E28" s="11"/>
      <c r="F28" s="234"/>
      <c r="G28" s="292"/>
      <c r="H28" s="166"/>
      <c r="I28" s="176"/>
      <c r="J28" s="44"/>
      <c r="K28" s="44"/>
      <c r="L28" s="259"/>
      <c r="M28" s="23"/>
    </row>
    <row r="29" spans="1:14" s="3" customFormat="1" ht="15.75" x14ac:dyDescent="0.2">
      <c r="A29" s="13" t="s">
        <v>348</v>
      </c>
      <c r="B29" s="236"/>
      <c r="C29" s="236"/>
      <c r="D29" s="171"/>
      <c r="E29" s="11"/>
      <c r="F29" s="311"/>
      <c r="G29" s="311"/>
      <c r="H29" s="171"/>
      <c r="I29" s="160"/>
      <c r="J29" s="236"/>
      <c r="K29" s="236"/>
      <c r="L29" s="425"/>
      <c r="M29" s="24"/>
      <c r="N29" s="148"/>
    </row>
    <row r="30" spans="1:14" s="3" customFormat="1" ht="15.75" x14ac:dyDescent="0.2">
      <c r="A30" s="507" t="s">
        <v>351</v>
      </c>
      <c r="B30" s="286"/>
      <c r="C30" s="286"/>
      <c r="D30" s="166"/>
      <c r="E30" s="11"/>
      <c r="F30" s="294"/>
      <c r="G30" s="294"/>
      <c r="H30" s="166"/>
      <c r="I30" s="240"/>
      <c r="J30" s="294"/>
      <c r="K30" s="294"/>
      <c r="L30" s="166"/>
      <c r="M30" s="23"/>
      <c r="N30" s="148"/>
    </row>
    <row r="31" spans="1:14" s="3" customFormat="1" ht="15.75" x14ac:dyDescent="0.2">
      <c r="A31" s="507" t="s">
        <v>352</v>
      </c>
      <c r="B31" s="286"/>
      <c r="C31" s="286"/>
      <c r="D31" s="166"/>
      <c r="E31" s="11"/>
      <c r="F31" s="294"/>
      <c r="G31" s="294"/>
      <c r="H31" s="166"/>
      <c r="I31" s="240"/>
      <c r="J31" s="294"/>
      <c r="K31" s="294"/>
      <c r="L31" s="166"/>
      <c r="M31" s="23"/>
      <c r="N31" s="148"/>
    </row>
    <row r="32" spans="1:14" ht="15.75" x14ac:dyDescent="0.2">
      <c r="A32" s="507" t="s">
        <v>353</v>
      </c>
      <c r="B32" s="286"/>
      <c r="C32" s="286"/>
      <c r="D32" s="166"/>
      <c r="E32" s="11"/>
      <c r="F32" s="294"/>
      <c r="G32" s="294"/>
      <c r="H32" s="166"/>
      <c r="I32" s="240"/>
      <c r="J32" s="294"/>
      <c r="K32" s="294"/>
      <c r="L32" s="166"/>
      <c r="M32" s="23"/>
    </row>
    <row r="33" spans="1:14" ht="15.75" x14ac:dyDescent="0.2">
      <c r="A33" s="507" t="s">
        <v>354</v>
      </c>
      <c r="B33" s="286"/>
      <c r="C33" s="286"/>
      <c r="D33" s="166"/>
      <c r="E33" s="11"/>
      <c r="F33" s="294"/>
      <c r="G33" s="294"/>
      <c r="H33" s="166"/>
      <c r="I33" s="240"/>
      <c r="J33" s="294"/>
      <c r="K33" s="294"/>
      <c r="L33" s="166"/>
      <c r="M33" s="23"/>
    </row>
    <row r="34" spans="1:14" ht="15.75" x14ac:dyDescent="0.2">
      <c r="A34" s="13" t="s">
        <v>349</v>
      </c>
      <c r="B34" s="236"/>
      <c r="C34" s="312"/>
      <c r="D34" s="171"/>
      <c r="E34" s="11"/>
      <c r="F34" s="311"/>
      <c r="G34" s="312"/>
      <c r="H34" s="171"/>
      <c r="I34" s="160"/>
      <c r="J34" s="236"/>
      <c r="K34" s="236"/>
      <c r="L34" s="425"/>
      <c r="M34" s="24"/>
    </row>
    <row r="35" spans="1:14" ht="15.75" x14ac:dyDescent="0.2">
      <c r="A35" s="13" t="s">
        <v>350</v>
      </c>
      <c r="B35" s="236"/>
      <c r="C35" s="312"/>
      <c r="D35" s="171"/>
      <c r="E35" s="11"/>
      <c r="F35" s="311"/>
      <c r="G35" s="312"/>
      <c r="H35" s="171"/>
      <c r="I35" s="160"/>
      <c r="J35" s="236"/>
      <c r="K35" s="236"/>
      <c r="L35" s="425"/>
      <c r="M35" s="24"/>
    </row>
    <row r="36" spans="1:14" ht="15.75" x14ac:dyDescent="0.2">
      <c r="A36" s="12" t="s">
        <v>277</v>
      </c>
      <c r="B36" s="236"/>
      <c r="C36" s="312"/>
      <c r="D36" s="171"/>
      <c r="E36" s="11"/>
      <c r="F36" s="322"/>
      <c r="G36" s="323"/>
      <c r="H36" s="171"/>
      <c r="I36" s="427"/>
      <c r="J36" s="236"/>
      <c r="K36" s="236"/>
      <c r="L36" s="425"/>
      <c r="M36" s="24"/>
    </row>
    <row r="37" spans="1:14" ht="15.75" x14ac:dyDescent="0.2">
      <c r="A37" s="12" t="s">
        <v>356</v>
      </c>
      <c r="B37" s="236"/>
      <c r="C37" s="312"/>
      <c r="D37" s="171"/>
      <c r="E37" s="11"/>
      <c r="F37" s="322"/>
      <c r="G37" s="324"/>
      <c r="H37" s="171"/>
      <c r="I37" s="427"/>
      <c r="J37" s="236"/>
      <c r="K37" s="236"/>
      <c r="L37" s="425"/>
      <c r="M37" s="24"/>
    </row>
    <row r="38" spans="1:14" ht="15.75" x14ac:dyDescent="0.2">
      <c r="A38" s="12" t="s">
        <v>357</v>
      </c>
      <c r="B38" s="236"/>
      <c r="C38" s="312"/>
      <c r="D38" s="171"/>
      <c r="E38" s="24"/>
      <c r="F38" s="322"/>
      <c r="G38" s="323"/>
      <c r="H38" s="171"/>
      <c r="I38" s="427"/>
      <c r="J38" s="236"/>
      <c r="K38" s="236"/>
      <c r="L38" s="425"/>
      <c r="M38" s="24"/>
    </row>
    <row r="39" spans="1:14" ht="15.75" x14ac:dyDescent="0.2">
      <c r="A39" s="18" t="s">
        <v>358</v>
      </c>
      <c r="B39" s="281"/>
      <c r="C39" s="318"/>
      <c r="D39" s="169"/>
      <c r="E39" s="36"/>
      <c r="F39" s="325"/>
      <c r="G39" s="326"/>
      <c r="H39" s="169"/>
      <c r="I39" s="169"/>
      <c r="J39" s="236"/>
      <c r="K39" s="236"/>
      <c r="L39" s="426"/>
      <c r="M39" s="36"/>
    </row>
    <row r="40" spans="1:14" ht="15.75" x14ac:dyDescent="0.25">
      <c r="A40" s="47"/>
      <c r="B40" s="258"/>
      <c r="C40" s="258"/>
      <c r="D40" s="722"/>
      <c r="E40" s="722"/>
      <c r="F40" s="722"/>
      <c r="G40" s="722"/>
      <c r="H40" s="722"/>
      <c r="I40" s="722"/>
      <c r="J40" s="722"/>
      <c r="K40" s="722"/>
      <c r="L40" s="722"/>
      <c r="M40" s="564"/>
    </row>
    <row r="41" spans="1:14" x14ac:dyDescent="0.2">
      <c r="A41" s="155"/>
    </row>
    <row r="42" spans="1:14" ht="15.75" x14ac:dyDescent="0.25">
      <c r="A42" s="147" t="s">
        <v>266</v>
      </c>
      <c r="B42" s="718"/>
      <c r="C42" s="718"/>
      <c r="D42" s="718"/>
      <c r="E42" s="563"/>
      <c r="F42" s="723"/>
      <c r="G42" s="723"/>
      <c r="H42" s="723"/>
      <c r="I42" s="564"/>
      <c r="J42" s="723"/>
      <c r="K42" s="723"/>
      <c r="L42" s="723"/>
      <c r="M42" s="564"/>
    </row>
    <row r="43" spans="1:14" ht="15.75" x14ac:dyDescent="0.25">
      <c r="A43" s="163"/>
      <c r="B43" s="559"/>
      <c r="C43" s="559"/>
      <c r="D43" s="559"/>
      <c r="E43" s="559"/>
      <c r="F43" s="564"/>
      <c r="G43" s="564"/>
      <c r="H43" s="564"/>
      <c r="I43" s="564"/>
      <c r="J43" s="564"/>
      <c r="K43" s="564"/>
      <c r="L43" s="564"/>
      <c r="M43" s="564"/>
    </row>
    <row r="44" spans="1:14" ht="15.75" x14ac:dyDescent="0.25">
      <c r="A44" s="249"/>
      <c r="B44" s="719" t="s">
        <v>0</v>
      </c>
      <c r="C44" s="720"/>
      <c r="D44" s="720"/>
      <c r="E44" s="244"/>
      <c r="F44" s="564"/>
      <c r="G44" s="564"/>
      <c r="H44" s="564"/>
      <c r="I44" s="564"/>
      <c r="J44" s="564"/>
      <c r="K44" s="564"/>
      <c r="L44" s="564"/>
      <c r="M44" s="564"/>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49378</v>
      </c>
      <c r="C47" s="314"/>
      <c r="D47" s="424">
        <f t="shared" ref="D47:D48" si="0">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359</v>
      </c>
      <c r="B48" s="286">
        <v>49378</v>
      </c>
      <c r="C48" s="287"/>
      <c r="D48" s="259">
        <f t="shared" si="0"/>
        <v>-100</v>
      </c>
      <c r="E48" s="27">
        <f>IFERROR(100/'Skjema total MA'!C48*C48,0)</f>
        <v>0</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563"/>
      <c r="F62" s="721"/>
      <c r="G62" s="721"/>
      <c r="H62" s="721"/>
      <c r="I62" s="563"/>
      <c r="J62" s="721"/>
      <c r="K62" s="721"/>
      <c r="L62" s="721"/>
      <c r="M62" s="563"/>
    </row>
    <row r="63" spans="1:14" x14ac:dyDescent="0.2">
      <c r="A63" s="144"/>
      <c r="B63" s="719" t="s">
        <v>0</v>
      </c>
      <c r="C63" s="720"/>
      <c r="D63" s="724"/>
      <c r="E63" s="560"/>
      <c r="F63" s="720" t="s">
        <v>1</v>
      </c>
      <c r="G63" s="720"/>
      <c r="H63" s="720"/>
      <c r="I63" s="562"/>
      <c r="J63" s="719" t="s">
        <v>2</v>
      </c>
      <c r="K63" s="720"/>
      <c r="L63" s="720"/>
      <c r="M63" s="562"/>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21"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3"/>
      <c r="F75" s="234"/>
      <c r="G75" s="145"/>
      <c r="H75" s="166"/>
      <c r="I75" s="23"/>
      <c r="J75" s="145"/>
      <c r="K75" s="44"/>
      <c r="L75" s="259"/>
      <c r="M75" s="27"/>
      <c r="N75" s="148"/>
    </row>
    <row r="76" spans="1:14" s="3" customFormat="1" x14ac:dyDescent="0.2">
      <c r="A76" s="21" t="s">
        <v>334</v>
      </c>
      <c r="B76" s="234"/>
      <c r="C76" s="145"/>
      <c r="D76" s="166"/>
      <c r="E76" s="23"/>
      <c r="F76" s="234"/>
      <c r="G76" s="145"/>
      <c r="H76" s="166"/>
      <c r="I76" s="23"/>
      <c r="J76" s="145"/>
      <c r="K76" s="44"/>
      <c r="L76" s="259"/>
      <c r="M76" s="27"/>
      <c r="N76" s="148"/>
    </row>
    <row r="77" spans="1:14" ht="15.75" x14ac:dyDescent="0.2">
      <c r="A77" s="21" t="s">
        <v>365</v>
      </c>
      <c r="B77" s="234"/>
      <c r="C77" s="234"/>
      <c r="D77" s="166"/>
      <c r="E77" s="23"/>
      <c r="F77" s="234"/>
      <c r="G77" s="145"/>
      <c r="H77" s="166"/>
      <c r="I77" s="23"/>
      <c r="J77" s="145"/>
      <c r="K77" s="44"/>
      <c r="L77" s="259"/>
      <c r="M77" s="27"/>
    </row>
    <row r="78" spans="1:14" x14ac:dyDescent="0.2">
      <c r="A78" s="21" t="s">
        <v>9</v>
      </c>
      <c r="B78" s="234"/>
      <c r="C78" s="145"/>
      <c r="D78" s="166"/>
      <c r="E78" s="23"/>
      <c r="F78" s="234"/>
      <c r="G78" s="145"/>
      <c r="H78" s="166"/>
      <c r="I78" s="23"/>
      <c r="J78" s="145"/>
      <c r="K78" s="44"/>
      <c r="L78" s="259"/>
      <c r="M78" s="27"/>
    </row>
    <row r="79" spans="1:14" x14ac:dyDescent="0.2">
      <c r="A79" s="38" t="s">
        <v>399</v>
      </c>
      <c r="B79" s="296"/>
      <c r="C79" s="297"/>
      <c r="D79" s="166"/>
      <c r="E79" s="23"/>
      <c r="F79" s="296"/>
      <c r="G79" s="297"/>
      <c r="H79" s="166"/>
      <c r="I79" s="23"/>
      <c r="J79" s="145"/>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563"/>
      <c r="F130" s="721"/>
      <c r="G130" s="721"/>
      <c r="H130" s="721"/>
      <c r="I130" s="563"/>
      <c r="J130" s="721"/>
      <c r="K130" s="721"/>
      <c r="L130" s="721"/>
      <c r="M130" s="563"/>
    </row>
    <row r="131" spans="1:14" s="3" customFormat="1" x14ac:dyDescent="0.2">
      <c r="A131" s="144"/>
      <c r="B131" s="719" t="s">
        <v>0</v>
      </c>
      <c r="C131" s="720"/>
      <c r="D131" s="720"/>
      <c r="E131" s="561"/>
      <c r="F131" s="719" t="s">
        <v>1</v>
      </c>
      <c r="G131" s="720"/>
      <c r="H131" s="720"/>
      <c r="I131" s="562"/>
      <c r="J131" s="719" t="s">
        <v>2</v>
      </c>
      <c r="K131" s="720"/>
      <c r="L131" s="720"/>
      <c r="M131" s="562"/>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679" priority="59">
      <formula>kvartal &lt; 4</formula>
    </cfRule>
  </conditionalFormatting>
  <conditionalFormatting sqref="B115">
    <cfRule type="expression" dxfId="678" priority="42">
      <formula>kvartal &lt; 4</formula>
    </cfRule>
  </conditionalFormatting>
  <conditionalFormatting sqref="C115">
    <cfRule type="expression" dxfId="677" priority="41">
      <formula>kvartal &lt; 4</formula>
    </cfRule>
  </conditionalFormatting>
  <conditionalFormatting sqref="B123">
    <cfRule type="expression" dxfId="676" priority="40">
      <formula>kvartal &lt; 4</formula>
    </cfRule>
  </conditionalFormatting>
  <conditionalFormatting sqref="C123">
    <cfRule type="expression" dxfId="675" priority="39">
      <formula>kvartal &lt; 4</formula>
    </cfRule>
  </conditionalFormatting>
  <conditionalFormatting sqref="F115">
    <cfRule type="expression" dxfId="674" priority="28">
      <formula>kvartal &lt; 4</formula>
    </cfRule>
  </conditionalFormatting>
  <conditionalFormatting sqref="G115">
    <cfRule type="expression" dxfId="673" priority="27">
      <formula>kvartal &lt; 4</formula>
    </cfRule>
  </conditionalFormatting>
  <conditionalFormatting sqref="F123:G123">
    <cfRule type="expression" dxfId="672" priority="26">
      <formula>kvartal &lt; 4</formula>
    </cfRule>
  </conditionalFormatting>
  <conditionalFormatting sqref="J115:K115">
    <cfRule type="expression" dxfId="671" priority="9">
      <formula>kvartal &lt; 4</formula>
    </cfRule>
  </conditionalFormatting>
  <conditionalFormatting sqref="J123:K123">
    <cfRule type="expression" dxfId="670" priority="8">
      <formula>kvartal &lt; 4</formula>
    </cfRule>
  </conditionalFormatting>
  <conditionalFormatting sqref="A50:A52">
    <cfRule type="expression" dxfId="669" priority="7">
      <formula>kvartal &lt; 4</formula>
    </cfRule>
  </conditionalFormatting>
  <conditionalFormatting sqref="A69:A74">
    <cfRule type="expression" dxfId="668" priority="6">
      <formula>kvartal &lt; 4</formula>
    </cfRule>
  </conditionalFormatting>
  <conditionalFormatting sqref="A80:A85">
    <cfRule type="expression" dxfId="667" priority="5">
      <formula>kvartal &lt; 4</formula>
    </cfRule>
  </conditionalFormatting>
  <conditionalFormatting sqref="A90:A95">
    <cfRule type="expression" dxfId="666" priority="4">
      <formula>kvartal &lt; 4</formula>
    </cfRule>
  </conditionalFormatting>
  <conditionalFormatting sqref="A101:A106">
    <cfRule type="expression" dxfId="665" priority="3">
      <formula>kvartal &lt; 4</formula>
    </cfRule>
  </conditionalFormatting>
  <conditionalFormatting sqref="A115">
    <cfRule type="expression" dxfId="664" priority="2">
      <formula>kvartal &lt; 4</formula>
    </cfRule>
  </conditionalFormatting>
  <conditionalFormatting sqref="A123">
    <cfRule type="expression" dxfId="663"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425</v>
      </c>
      <c r="D1" s="26"/>
      <c r="E1" s="26"/>
      <c r="F1" s="26"/>
      <c r="G1" s="26"/>
      <c r="H1" s="26"/>
      <c r="I1" s="26"/>
      <c r="J1" s="26"/>
      <c r="K1" s="26"/>
      <c r="L1" s="26"/>
      <c r="M1" s="26"/>
    </row>
    <row r="2" spans="1:14" ht="15.75" x14ac:dyDescent="0.25">
      <c r="A2" s="165" t="s">
        <v>28</v>
      </c>
      <c r="B2" s="718"/>
      <c r="C2" s="718"/>
      <c r="D2" s="718"/>
      <c r="E2" s="403"/>
      <c r="F2" s="718"/>
      <c r="G2" s="718"/>
      <c r="H2" s="718"/>
      <c r="I2" s="403"/>
      <c r="J2" s="718"/>
      <c r="K2" s="718"/>
      <c r="L2" s="718"/>
      <c r="M2" s="403"/>
    </row>
    <row r="3" spans="1:14" ht="15.75" x14ac:dyDescent="0.25">
      <c r="A3" s="163"/>
      <c r="B3" s="403"/>
      <c r="C3" s="403"/>
      <c r="D3" s="403"/>
      <c r="E3" s="403"/>
      <c r="F3" s="403"/>
      <c r="G3" s="403"/>
      <c r="H3" s="403"/>
      <c r="I3" s="403"/>
      <c r="J3" s="403"/>
      <c r="K3" s="403"/>
      <c r="L3" s="403"/>
      <c r="M3" s="403"/>
    </row>
    <row r="4" spans="1:14" x14ac:dyDescent="0.2">
      <c r="A4" s="144"/>
      <c r="B4" s="719" t="s">
        <v>0</v>
      </c>
      <c r="C4" s="720"/>
      <c r="D4" s="720"/>
      <c r="E4" s="402"/>
      <c r="F4" s="719" t="s">
        <v>1</v>
      </c>
      <c r="G4" s="720"/>
      <c r="H4" s="720"/>
      <c r="I4" s="405"/>
      <c r="J4" s="719" t="s">
        <v>2</v>
      </c>
      <c r="K4" s="720"/>
      <c r="L4" s="720"/>
      <c r="M4" s="405"/>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70325.103000000003</v>
      </c>
      <c r="C7" s="310"/>
      <c r="D7" s="352">
        <f>IF(B7=0, "    ---- ", IF(ABS(ROUND(100/B7*C7-100,1))&lt;999,ROUND(100/B7*C7-100,1),IF(ROUND(100/B7*C7-100,1)&gt;999,999,-999)))</f>
        <v>-100</v>
      </c>
      <c r="E7" s="11">
        <f>IFERROR(100/'Skjema total MA'!C7*C7,0)</f>
        <v>0</v>
      </c>
      <c r="F7" s="309">
        <v>63670.896000000001</v>
      </c>
      <c r="G7" s="310"/>
      <c r="H7" s="352">
        <f>IF(F7=0, "    ---- ", IF(ABS(ROUND(100/F7*G7-100,1))&lt;999,ROUND(100/F7*G7-100,1),IF(ROUND(100/F7*G7-100,1)&gt;999,999,-999)))</f>
        <v>-100</v>
      </c>
      <c r="I7" s="160">
        <f>IFERROR(100/'Skjema total MA'!F7*G7,0)</f>
        <v>0</v>
      </c>
      <c r="J7" s="311">
        <f t="shared" ref="J7:J12" si="0">SUM(B7,F7)</f>
        <v>133995.99900000001</v>
      </c>
      <c r="K7" s="312"/>
      <c r="L7" s="424">
        <f>IF(J7=0, "    ---- ", IF(ABS(ROUND(100/J7*K7-100,1))&lt;999,ROUND(100/J7*K7-100,1),IF(ROUND(100/J7*K7-100,1)&gt;999,999,-999)))</f>
        <v>-100</v>
      </c>
      <c r="M7" s="11">
        <f>IFERROR(100/'Skjema total MA'!I7*K7,0)</f>
        <v>0</v>
      </c>
    </row>
    <row r="8" spans="1:14" ht="15.75" x14ac:dyDescent="0.2">
      <c r="A8" s="21" t="s">
        <v>25</v>
      </c>
      <c r="B8" s="286">
        <v>34642.008999999998</v>
      </c>
      <c r="C8" s="287"/>
      <c r="D8" s="166">
        <f t="shared" ref="D8:D10" si="1">IF(B8=0, "    ---- ", IF(ABS(ROUND(100/B8*C8-100,1))&lt;999,ROUND(100/B8*C8-100,1),IF(ROUND(100/B8*C8-100,1)&gt;999,999,-999)))</f>
        <v>-100</v>
      </c>
      <c r="E8" s="27">
        <f>IFERROR(100/'Skjema total MA'!C8*C8,0)</f>
        <v>0</v>
      </c>
      <c r="F8" s="290"/>
      <c r="G8" s="291"/>
      <c r="H8" s="166"/>
      <c r="I8" s="176"/>
      <c r="J8" s="234">
        <f t="shared" si="0"/>
        <v>34642.008999999998</v>
      </c>
      <c r="K8" s="292"/>
      <c r="L8" s="166">
        <f t="shared" ref="L8:L9" si="2">IF(J8=0, "    ---- ", IF(ABS(ROUND(100/J8*K8-100,1))&lt;999,ROUND(100/J8*K8-100,1),IF(ROUND(100/J8*K8-100,1)&gt;999,999,-999)))</f>
        <v>-100</v>
      </c>
      <c r="M8" s="27">
        <f>IFERROR(100/'Skjema total MA'!I8*K8,0)</f>
        <v>0</v>
      </c>
    </row>
    <row r="9" spans="1:14" ht="15.75" x14ac:dyDescent="0.2">
      <c r="A9" s="21" t="s">
        <v>24</v>
      </c>
      <c r="B9" s="286">
        <v>15652.297</v>
      </c>
      <c r="C9" s="287"/>
      <c r="D9" s="166">
        <f t="shared" si="1"/>
        <v>-100</v>
      </c>
      <c r="E9" s="27">
        <f>IFERROR(100/'Skjema total MA'!C9*C9,0)</f>
        <v>0</v>
      </c>
      <c r="F9" s="290"/>
      <c r="G9" s="291"/>
      <c r="H9" s="166"/>
      <c r="I9" s="176"/>
      <c r="J9" s="234">
        <f t="shared" si="0"/>
        <v>15652.297</v>
      </c>
      <c r="K9" s="292"/>
      <c r="L9" s="166">
        <f t="shared" si="2"/>
        <v>-100</v>
      </c>
      <c r="M9" s="27">
        <f>IFERROR(100/'Skjema total MA'!I9*K9,0)</f>
        <v>0</v>
      </c>
    </row>
    <row r="10" spans="1:14" ht="15.75" x14ac:dyDescent="0.2">
      <c r="A10" s="13" t="s">
        <v>348</v>
      </c>
      <c r="B10" s="313">
        <v>285847.37099999998</v>
      </c>
      <c r="C10" s="314"/>
      <c r="D10" s="171">
        <f t="shared" si="1"/>
        <v>-100</v>
      </c>
      <c r="E10" s="11">
        <f>IFERROR(100/'Skjema total MA'!C10*C10,0)</f>
        <v>0</v>
      </c>
      <c r="F10" s="313">
        <v>3090186.1639999999</v>
      </c>
      <c r="G10" s="314"/>
      <c r="H10" s="171">
        <f t="shared" ref="H10:H12" si="3">IF(F10=0, "    ---- ", IF(ABS(ROUND(100/F10*G10-100,1))&lt;999,ROUND(100/F10*G10-100,1),IF(ROUND(100/F10*G10-100,1)&gt;999,999,-999)))</f>
        <v>-100</v>
      </c>
      <c r="I10" s="160">
        <f>IFERROR(100/'Skjema total MA'!F10*G10,0)</f>
        <v>0</v>
      </c>
      <c r="J10" s="311">
        <f t="shared" si="0"/>
        <v>3376033.5349999997</v>
      </c>
      <c r="K10" s="312"/>
      <c r="L10" s="425">
        <f t="shared" ref="L10:L12" si="4">IF(J10=0, "    ---- ", IF(ABS(ROUND(100/J10*K10-100,1))&lt;999,ROUND(100/J10*K10-100,1),IF(ROUND(100/J10*K10-100,1)&gt;999,999,-999)))</f>
        <v>-100</v>
      </c>
      <c r="M10" s="11">
        <f>IFERROR(100/'Skjema total MA'!I10*K10,0)</f>
        <v>0</v>
      </c>
    </row>
    <row r="11" spans="1:14" s="43" customFormat="1" ht="15.75" x14ac:dyDescent="0.2">
      <c r="A11" s="13" t="s">
        <v>349</v>
      </c>
      <c r="B11" s="313"/>
      <c r="C11" s="314"/>
      <c r="D11" s="171"/>
      <c r="E11" s="11"/>
      <c r="F11" s="313">
        <v>3492.0790000000002</v>
      </c>
      <c r="G11" s="314"/>
      <c r="H11" s="171">
        <f t="shared" si="3"/>
        <v>-100</v>
      </c>
      <c r="I11" s="160">
        <f>IFERROR(100/'Skjema total MA'!F11*G11,0)</f>
        <v>0</v>
      </c>
      <c r="J11" s="311">
        <f t="shared" si="0"/>
        <v>3492.0790000000002</v>
      </c>
      <c r="K11" s="312"/>
      <c r="L11" s="425">
        <f t="shared" si="4"/>
        <v>-100</v>
      </c>
      <c r="M11" s="11">
        <f>IFERROR(100/'Skjema total MA'!I11*K11,0)</f>
        <v>0</v>
      </c>
      <c r="N11" s="143"/>
    </row>
    <row r="12" spans="1:14" s="43" customFormat="1" ht="15.75" x14ac:dyDescent="0.2">
      <c r="A12" s="41" t="s">
        <v>350</v>
      </c>
      <c r="B12" s="315"/>
      <c r="C12" s="316"/>
      <c r="D12" s="169"/>
      <c r="E12" s="36"/>
      <c r="F12" s="315">
        <v>13066.204</v>
      </c>
      <c r="G12" s="316"/>
      <c r="H12" s="169">
        <f t="shared" si="3"/>
        <v>-100</v>
      </c>
      <c r="I12" s="169">
        <f>IFERROR(100/'Skjema total MA'!F12*G12,0)</f>
        <v>0</v>
      </c>
      <c r="J12" s="317">
        <f t="shared" si="0"/>
        <v>13066.204</v>
      </c>
      <c r="K12" s="318"/>
      <c r="L12" s="426">
        <f t="shared" si="4"/>
        <v>-100</v>
      </c>
      <c r="M12" s="36">
        <f>IFERROR(100/'Skjema total MA'!I12*K12,0)</f>
        <v>0</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403"/>
      <c r="F18" s="721"/>
      <c r="G18" s="721"/>
      <c r="H18" s="721"/>
      <c r="I18" s="403"/>
      <c r="J18" s="721"/>
      <c r="K18" s="721"/>
      <c r="L18" s="721"/>
      <c r="M18" s="403"/>
    </row>
    <row r="19" spans="1:14" x14ac:dyDescent="0.2">
      <c r="A19" s="144"/>
      <c r="B19" s="719" t="s">
        <v>0</v>
      </c>
      <c r="C19" s="720"/>
      <c r="D19" s="720"/>
      <c r="E19" s="402"/>
      <c r="F19" s="719" t="s">
        <v>1</v>
      </c>
      <c r="G19" s="720"/>
      <c r="H19" s="720"/>
      <c r="I19" s="405"/>
      <c r="J19" s="719" t="s">
        <v>2</v>
      </c>
      <c r="K19" s="720"/>
      <c r="L19" s="720"/>
      <c r="M19" s="405"/>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413" t="s">
        <v>30</v>
      </c>
      <c r="F21" s="161"/>
      <c r="G21" s="161"/>
      <c r="H21" s="246" t="s">
        <v>4</v>
      </c>
      <c r="I21" s="156" t="s">
        <v>30</v>
      </c>
      <c r="J21" s="161"/>
      <c r="K21" s="161"/>
      <c r="L21" s="156" t="s">
        <v>4</v>
      </c>
      <c r="M21" s="156" t="s">
        <v>30</v>
      </c>
    </row>
    <row r="22" spans="1:14" ht="15.75" x14ac:dyDescent="0.2">
      <c r="A22" s="14" t="s">
        <v>23</v>
      </c>
      <c r="B22" s="313">
        <v>3305.54</v>
      </c>
      <c r="C22" s="313"/>
      <c r="D22" s="352">
        <f t="shared" ref="D22:D29" si="5">IF(B22=0, "    ---- ", IF(ABS(ROUND(100/B22*C22-100,1))&lt;999,ROUND(100/B22*C22-100,1),IF(ROUND(100/B22*C22-100,1)&gt;999,999,-999)))</f>
        <v>-100</v>
      </c>
      <c r="E22" s="11">
        <f>IFERROR(100/'Skjema total MA'!C22*C22,0)</f>
        <v>0</v>
      </c>
      <c r="F22" s="321">
        <v>10861.938</v>
      </c>
      <c r="G22" s="321"/>
      <c r="H22" s="352">
        <f t="shared" ref="H22:H33" si="6">IF(F22=0, "    ---- ", IF(ABS(ROUND(100/F22*G22-100,1))&lt;999,ROUND(100/F22*G22-100,1),IF(ROUND(100/F22*G22-100,1)&gt;999,999,-999)))</f>
        <v>-100</v>
      </c>
      <c r="I22" s="160">
        <f>IFERROR(100/'Skjema total MA'!F22*G22,0)</f>
        <v>0</v>
      </c>
      <c r="J22" s="319">
        <f t="shared" ref="J22:K29" si="7">SUM(B22,F22)</f>
        <v>14167.477999999999</v>
      </c>
      <c r="K22" s="319">
        <f t="shared" si="7"/>
        <v>0</v>
      </c>
      <c r="L22" s="424">
        <f t="shared" ref="L22:L33" si="8">IF(J22=0, "    ---- ", IF(ABS(ROUND(100/J22*K22-100,1))&lt;999,ROUND(100/J22*K22-100,1),IF(ROUND(100/J22*K22-100,1)&gt;999,999,-999)))</f>
        <v>-100</v>
      </c>
      <c r="M22" s="24">
        <f>IFERROR(100/'Skjema total MA'!I22*K22,0)</f>
        <v>0</v>
      </c>
    </row>
    <row r="23" spans="1:14" ht="15.75" x14ac:dyDescent="0.2">
      <c r="A23" s="507" t="s">
        <v>351</v>
      </c>
      <c r="B23" s="286"/>
      <c r="C23" s="286"/>
      <c r="D23" s="166"/>
      <c r="E23" s="11"/>
      <c r="F23" s="294">
        <v>1173.212</v>
      </c>
      <c r="G23" s="294"/>
      <c r="H23" s="166">
        <f t="shared" si="6"/>
        <v>-100</v>
      </c>
      <c r="I23" s="240">
        <f>IFERROR(100/'Skjema total MA'!F23*G23,0)</f>
        <v>0</v>
      </c>
      <c r="J23" s="294">
        <f t="shared" ref="J23:J26" si="9">SUM(B23,F23)</f>
        <v>1173.212</v>
      </c>
      <c r="K23" s="294">
        <f t="shared" ref="K23:K26" si="10">SUM(C23,G23)</f>
        <v>0</v>
      </c>
      <c r="L23" s="166">
        <f t="shared" si="8"/>
        <v>-100</v>
      </c>
      <c r="M23" s="23">
        <f>IFERROR(100/'Skjema total MA'!I23*K23,0)</f>
        <v>0</v>
      </c>
    </row>
    <row r="24" spans="1:14" ht="15.75" x14ac:dyDescent="0.2">
      <c r="A24" s="507" t="s">
        <v>352</v>
      </c>
      <c r="B24" s="286"/>
      <c r="C24" s="286"/>
      <c r="D24" s="166"/>
      <c r="E24" s="11"/>
      <c r="F24" s="294"/>
      <c r="G24" s="294"/>
      <c r="H24" s="166"/>
      <c r="I24" s="240"/>
      <c r="J24" s="294"/>
      <c r="K24" s="294"/>
      <c r="L24" s="166"/>
      <c r="M24" s="23"/>
    </row>
    <row r="25" spans="1:14" ht="15.75" x14ac:dyDescent="0.2">
      <c r="A25" s="507" t="s">
        <v>353</v>
      </c>
      <c r="B25" s="286"/>
      <c r="C25" s="286"/>
      <c r="D25" s="166"/>
      <c r="E25" s="11"/>
      <c r="F25" s="294">
        <v>296.27600000000001</v>
      </c>
      <c r="G25" s="294"/>
      <c r="H25" s="166">
        <f t="shared" si="6"/>
        <v>-100</v>
      </c>
      <c r="I25" s="240">
        <f>IFERROR(100/'Skjema total MA'!F25*G25,0)</f>
        <v>0</v>
      </c>
      <c r="J25" s="294">
        <f t="shared" si="9"/>
        <v>296.27600000000001</v>
      </c>
      <c r="K25" s="294">
        <f t="shared" si="10"/>
        <v>0</v>
      </c>
      <c r="L25" s="166">
        <f t="shared" si="8"/>
        <v>-100</v>
      </c>
      <c r="M25" s="23">
        <f>IFERROR(100/'Skjema total MA'!I25*K25,0)</f>
        <v>0</v>
      </c>
    </row>
    <row r="26" spans="1:14" ht="15.75" x14ac:dyDescent="0.2">
      <c r="A26" s="507" t="s">
        <v>354</v>
      </c>
      <c r="B26" s="286"/>
      <c r="C26" s="286"/>
      <c r="D26" s="166"/>
      <c r="E26" s="11"/>
      <c r="F26" s="294">
        <v>9392.4500000000007</v>
      </c>
      <c r="G26" s="294"/>
      <c r="H26" s="166">
        <f t="shared" si="6"/>
        <v>-100</v>
      </c>
      <c r="I26" s="240">
        <f>IFERROR(100/'Skjema total MA'!F26*G26,0)</f>
        <v>0</v>
      </c>
      <c r="J26" s="294">
        <f t="shared" si="9"/>
        <v>9392.4500000000007</v>
      </c>
      <c r="K26" s="294">
        <f t="shared" si="10"/>
        <v>0</v>
      </c>
      <c r="L26" s="166">
        <f t="shared" si="8"/>
        <v>-100</v>
      </c>
      <c r="M26" s="23">
        <f>IFERROR(100/'Skjema total MA'!I26*K26,0)</f>
        <v>0</v>
      </c>
    </row>
    <row r="27" spans="1:14" x14ac:dyDescent="0.2">
      <c r="A27" s="507" t="s">
        <v>11</v>
      </c>
      <c r="B27" s="286"/>
      <c r="C27" s="286"/>
      <c r="D27" s="166"/>
      <c r="E27" s="11"/>
      <c r="F27" s="294"/>
      <c r="G27" s="294"/>
      <c r="H27" s="166"/>
      <c r="I27" s="240"/>
      <c r="J27" s="294"/>
      <c r="K27" s="294"/>
      <c r="L27" s="166"/>
      <c r="M27" s="23"/>
    </row>
    <row r="28" spans="1:14" ht="15.75" x14ac:dyDescent="0.2">
      <c r="A28" s="49" t="s">
        <v>269</v>
      </c>
      <c r="B28" s="44">
        <v>3305.54</v>
      </c>
      <c r="C28" s="292"/>
      <c r="D28" s="166">
        <f t="shared" si="5"/>
        <v>-100</v>
      </c>
      <c r="E28" s="11">
        <f>IFERROR(100/'Skjema total MA'!C28*C28,0)</f>
        <v>0</v>
      </c>
      <c r="F28" s="234"/>
      <c r="G28" s="292"/>
      <c r="H28" s="166"/>
      <c r="I28" s="176"/>
      <c r="J28" s="44">
        <f t="shared" si="7"/>
        <v>3305.54</v>
      </c>
      <c r="K28" s="44">
        <f t="shared" si="7"/>
        <v>0</v>
      </c>
      <c r="L28" s="259">
        <f t="shared" si="8"/>
        <v>-100</v>
      </c>
      <c r="M28" s="23">
        <f>IFERROR(100/'Skjema total MA'!I28*K28,0)</f>
        <v>0</v>
      </c>
    </row>
    <row r="29" spans="1:14" s="3" customFormat="1" ht="15.75" x14ac:dyDescent="0.2">
      <c r="A29" s="13" t="s">
        <v>348</v>
      </c>
      <c r="B29" s="236">
        <v>150843.35699999999</v>
      </c>
      <c r="C29" s="236"/>
      <c r="D29" s="171">
        <f t="shared" si="5"/>
        <v>-100</v>
      </c>
      <c r="E29" s="11">
        <f>IFERROR(100/'Skjema total MA'!C29*C29,0)</f>
        <v>0</v>
      </c>
      <c r="F29" s="311">
        <v>2153602.8149999999</v>
      </c>
      <c r="G29" s="311"/>
      <c r="H29" s="171">
        <f t="shared" si="6"/>
        <v>-100</v>
      </c>
      <c r="I29" s="160">
        <f>IFERROR(100/'Skjema total MA'!F29*G29,0)</f>
        <v>0</v>
      </c>
      <c r="J29" s="236">
        <f t="shared" si="7"/>
        <v>2304446.1719999998</v>
      </c>
      <c r="K29" s="236">
        <f t="shared" si="7"/>
        <v>0</v>
      </c>
      <c r="L29" s="425">
        <f t="shared" si="8"/>
        <v>-100</v>
      </c>
      <c r="M29" s="24">
        <f>IFERROR(100/'Skjema total MA'!I29*K29,0)</f>
        <v>0</v>
      </c>
      <c r="N29" s="148"/>
    </row>
    <row r="30" spans="1:14" s="3" customFormat="1" ht="15.75" x14ac:dyDescent="0.2">
      <c r="A30" s="507" t="s">
        <v>351</v>
      </c>
      <c r="B30" s="286"/>
      <c r="C30" s="286"/>
      <c r="D30" s="166"/>
      <c r="E30" s="11"/>
      <c r="F30" s="294">
        <v>594110.995</v>
      </c>
      <c r="G30" s="294"/>
      <c r="H30" s="166">
        <f t="shared" si="6"/>
        <v>-100</v>
      </c>
      <c r="I30" s="240">
        <f>IFERROR(100/'Skjema total MA'!F30*G30,0)</f>
        <v>0</v>
      </c>
      <c r="J30" s="294">
        <f t="shared" ref="J30:J33" si="11">SUM(B30,F30)</f>
        <v>594110.995</v>
      </c>
      <c r="K30" s="294">
        <f t="shared" ref="K30:K33" si="12">SUM(C30,G30)</f>
        <v>0</v>
      </c>
      <c r="L30" s="166">
        <f t="shared" si="8"/>
        <v>-100</v>
      </c>
      <c r="M30" s="23">
        <f>IFERROR(100/'Skjema total MA'!I30*K30,0)</f>
        <v>0</v>
      </c>
      <c r="N30" s="148"/>
    </row>
    <row r="31" spans="1:14" s="3" customFormat="1" ht="15.75" x14ac:dyDescent="0.2">
      <c r="A31" s="507" t="s">
        <v>352</v>
      </c>
      <c r="B31" s="286"/>
      <c r="C31" s="286"/>
      <c r="D31" s="166"/>
      <c r="E31" s="11"/>
      <c r="F31" s="294">
        <v>1073183.8489999999</v>
      </c>
      <c r="G31" s="294"/>
      <c r="H31" s="166">
        <f t="shared" si="6"/>
        <v>-100</v>
      </c>
      <c r="I31" s="240">
        <f>IFERROR(100/'Skjema total MA'!F31*G31,0)</f>
        <v>0</v>
      </c>
      <c r="J31" s="294">
        <f t="shared" si="11"/>
        <v>1073183.8489999999</v>
      </c>
      <c r="K31" s="294">
        <f t="shared" si="12"/>
        <v>0</v>
      </c>
      <c r="L31" s="166">
        <f t="shared" si="8"/>
        <v>-100</v>
      </c>
      <c r="M31" s="23">
        <f>IFERROR(100/'Skjema total MA'!I31*K31,0)</f>
        <v>0</v>
      </c>
      <c r="N31" s="148"/>
    </row>
    <row r="32" spans="1:14" ht="15.75" x14ac:dyDescent="0.2">
      <c r="A32" s="507" t="s">
        <v>353</v>
      </c>
      <c r="B32" s="286"/>
      <c r="C32" s="286"/>
      <c r="D32" s="166"/>
      <c r="E32" s="11"/>
      <c r="F32" s="294">
        <v>94651.601999999999</v>
      </c>
      <c r="G32" s="294"/>
      <c r="H32" s="166">
        <f t="shared" si="6"/>
        <v>-100</v>
      </c>
      <c r="I32" s="240">
        <f>IFERROR(100/'Skjema total MA'!F32*G32,0)</f>
        <v>0</v>
      </c>
      <c r="J32" s="294">
        <f t="shared" si="11"/>
        <v>94651.601999999999</v>
      </c>
      <c r="K32" s="294">
        <f t="shared" si="12"/>
        <v>0</v>
      </c>
      <c r="L32" s="166">
        <f t="shared" si="8"/>
        <v>-100</v>
      </c>
      <c r="M32" s="23">
        <f>IFERROR(100/'Skjema total MA'!I32*K32,0)</f>
        <v>0</v>
      </c>
    </row>
    <row r="33" spans="1:14" ht="15.75" x14ac:dyDescent="0.2">
      <c r="A33" s="507" t="s">
        <v>354</v>
      </c>
      <c r="B33" s="286"/>
      <c r="C33" s="286"/>
      <c r="D33" s="166"/>
      <c r="E33" s="11"/>
      <c r="F33" s="294">
        <v>391656.36900000001</v>
      </c>
      <c r="G33" s="294"/>
      <c r="H33" s="166">
        <f t="shared" si="6"/>
        <v>-100</v>
      </c>
      <c r="I33" s="240">
        <f>IFERROR(100/'Skjema total MA'!F34*G33,0)</f>
        <v>0</v>
      </c>
      <c r="J33" s="294">
        <f t="shared" si="11"/>
        <v>391656.36900000001</v>
      </c>
      <c r="K33" s="294">
        <f t="shared" si="12"/>
        <v>0</v>
      </c>
      <c r="L33" s="166">
        <f t="shared" si="8"/>
        <v>-100</v>
      </c>
      <c r="M33" s="23">
        <f>IFERROR(100/'Skjema total MA'!I34*K33,0)</f>
        <v>0</v>
      </c>
    </row>
    <row r="34" spans="1:14" ht="15.75" x14ac:dyDescent="0.2">
      <c r="A34" s="13" t="s">
        <v>349</v>
      </c>
      <c r="B34" s="236"/>
      <c r="C34" s="312"/>
      <c r="D34" s="171"/>
      <c r="E34" s="11"/>
      <c r="F34" s="311"/>
      <c r="G34" s="312"/>
      <c r="H34" s="171"/>
      <c r="I34" s="160"/>
      <c r="J34" s="236"/>
      <c r="K34" s="236"/>
      <c r="L34" s="425"/>
      <c r="M34" s="24"/>
    </row>
    <row r="35" spans="1:14" ht="15.75" x14ac:dyDescent="0.2">
      <c r="A35" s="13" t="s">
        <v>350</v>
      </c>
      <c r="B35" s="236"/>
      <c r="C35" s="312"/>
      <c r="D35" s="171"/>
      <c r="E35" s="11"/>
      <c r="F35" s="311"/>
      <c r="G35" s="312"/>
      <c r="H35" s="171"/>
      <c r="I35" s="160"/>
      <c r="J35" s="236"/>
      <c r="K35" s="236"/>
      <c r="L35" s="425"/>
      <c r="M35" s="24"/>
    </row>
    <row r="36" spans="1:14" ht="15.75" x14ac:dyDescent="0.2">
      <c r="A36" s="12" t="s">
        <v>277</v>
      </c>
      <c r="B36" s="236"/>
      <c r="C36" s="312"/>
      <c r="D36" s="171"/>
      <c r="E36" s="11"/>
      <c r="F36" s="322"/>
      <c r="G36" s="323"/>
      <c r="H36" s="171"/>
      <c r="I36" s="427"/>
      <c r="J36" s="236"/>
      <c r="K36" s="236"/>
      <c r="L36" s="425"/>
      <c r="M36" s="24"/>
    </row>
    <row r="37" spans="1:14" ht="15.75" x14ac:dyDescent="0.2">
      <c r="A37" s="12" t="s">
        <v>356</v>
      </c>
      <c r="B37" s="236"/>
      <c r="C37" s="312"/>
      <c r="D37" s="171"/>
      <c r="E37" s="11"/>
      <c r="F37" s="322"/>
      <c r="G37" s="324"/>
      <c r="H37" s="171"/>
      <c r="I37" s="427"/>
      <c r="J37" s="236"/>
      <c r="K37" s="236"/>
      <c r="L37" s="425"/>
      <c r="M37" s="24"/>
    </row>
    <row r="38" spans="1:14" ht="15.75" x14ac:dyDescent="0.2">
      <c r="A38" s="12" t="s">
        <v>357</v>
      </c>
      <c r="B38" s="236"/>
      <c r="C38" s="312"/>
      <c r="D38" s="171"/>
      <c r="E38" s="24"/>
      <c r="F38" s="322"/>
      <c r="G38" s="323"/>
      <c r="H38" s="171"/>
      <c r="I38" s="427"/>
      <c r="J38" s="236"/>
      <c r="K38" s="236"/>
      <c r="L38" s="425"/>
      <c r="M38" s="24"/>
    </row>
    <row r="39" spans="1:14" ht="15.75" x14ac:dyDescent="0.2">
      <c r="A39" s="18" t="s">
        <v>358</v>
      </c>
      <c r="B39" s="281"/>
      <c r="C39" s="318"/>
      <c r="D39" s="169"/>
      <c r="E39" s="36"/>
      <c r="F39" s="325"/>
      <c r="G39" s="326"/>
      <c r="H39" s="169"/>
      <c r="I39" s="169"/>
      <c r="J39" s="236"/>
      <c r="K39" s="236"/>
      <c r="L39" s="426"/>
      <c r="M39" s="36"/>
    </row>
    <row r="40" spans="1:14" ht="15.75" x14ac:dyDescent="0.25">
      <c r="A40" s="47"/>
      <c r="B40" s="258"/>
      <c r="C40" s="258"/>
      <c r="D40" s="722"/>
      <c r="E40" s="722"/>
      <c r="F40" s="722"/>
      <c r="G40" s="722"/>
      <c r="H40" s="722"/>
      <c r="I40" s="722"/>
      <c r="J40" s="722"/>
      <c r="K40" s="722"/>
      <c r="L40" s="722"/>
      <c r="M40" s="404"/>
    </row>
    <row r="41" spans="1:14" x14ac:dyDescent="0.2">
      <c r="A41" s="155"/>
    </row>
    <row r="42" spans="1:14" ht="15.75" x14ac:dyDescent="0.25">
      <c r="A42" s="147" t="s">
        <v>266</v>
      </c>
      <c r="B42" s="718"/>
      <c r="C42" s="718"/>
      <c r="D42" s="718"/>
      <c r="E42" s="403"/>
      <c r="F42" s="723"/>
      <c r="G42" s="723"/>
      <c r="H42" s="723"/>
      <c r="I42" s="404"/>
      <c r="J42" s="723"/>
      <c r="K42" s="723"/>
      <c r="L42" s="723"/>
      <c r="M42" s="404"/>
    </row>
    <row r="43" spans="1:14" ht="15.75" x14ac:dyDescent="0.25">
      <c r="A43" s="163"/>
      <c r="B43" s="400"/>
      <c r="C43" s="400"/>
      <c r="D43" s="400"/>
      <c r="E43" s="400"/>
      <c r="F43" s="404"/>
      <c r="G43" s="404"/>
      <c r="H43" s="404"/>
      <c r="I43" s="404"/>
      <c r="J43" s="404"/>
      <c r="K43" s="404"/>
      <c r="L43" s="404"/>
      <c r="M43" s="404"/>
    </row>
    <row r="44" spans="1:14" ht="15.75" x14ac:dyDescent="0.25">
      <c r="A44" s="249"/>
      <c r="B44" s="719" t="s">
        <v>0</v>
      </c>
      <c r="C44" s="720"/>
      <c r="D44" s="720"/>
      <c r="E44" s="244"/>
      <c r="F44" s="404"/>
      <c r="G44" s="404"/>
      <c r="H44" s="404"/>
      <c r="I44" s="404"/>
      <c r="J44" s="404"/>
      <c r="K44" s="404"/>
      <c r="L44" s="404"/>
      <c r="M44" s="404"/>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2439.489</v>
      </c>
      <c r="C47" s="314"/>
      <c r="D47" s="424">
        <f t="shared" ref="D47:D48" si="13">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359</v>
      </c>
      <c r="B48" s="286">
        <v>2439.489</v>
      </c>
      <c r="C48" s="287"/>
      <c r="D48" s="259">
        <f t="shared" si="13"/>
        <v>-100</v>
      </c>
      <c r="E48" s="27">
        <f>IFERROR(100/'Skjema total MA'!C48*C48,0)</f>
        <v>0</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403"/>
      <c r="F62" s="721"/>
      <c r="G62" s="721"/>
      <c r="H62" s="721"/>
      <c r="I62" s="403"/>
      <c r="J62" s="721"/>
      <c r="K62" s="721"/>
      <c r="L62" s="721"/>
      <c r="M62" s="403"/>
    </row>
    <row r="63" spans="1:14" x14ac:dyDescent="0.2">
      <c r="A63" s="144"/>
      <c r="B63" s="719" t="s">
        <v>0</v>
      </c>
      <c r="C63" s="720"/>
      <c r="D63" s="724"/>
      <c r="E63" s="401"/>
      <c r="F63" s="720" t="s">
        <v>1</v>
      </c>
      <c r="G63" s="720"/>
      <c r="H63" s="720"/>
      <c r="I63" s="405"/>
      <c r="J63" s="719" t="s">
        <v>2</v>
      </c>
      <c r="K63" s="720"/>
      <c r="L63" s="720"/>
      <c r="M63" s="405"/>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v>36822.732000000004</v>
      </c>
      <c r="C66" s="355"/>
      <c r="D66" s="352">
        <f t="shared" ref="D66:D120" si="14">IF(B66=0, "    ---- ", IF(ABS(ROUND(100/B66*C66-100,1))&lt;999,ROUND(100/B66*C66-100,1),IF(ROUND(100/B66*C66-100,1)&gt;999,999,-999)))</f>
        <v>-100</v>
      </c>
      <c r="E66" s="11">
        <f>IFERROR(100/'Skjema total MA'!C66*C66,0)</f>
        <v>0</v>
      </c>
      <c r="F66" s="354">
        <v>539672.85800000001</v>
      </c>
      <c r="G66" s="354"/>
      <c r="H66" s="352">
        <f t="shared" ref="H66:H125" si="15">IF(F66=0, "    ---- ", IF(ABS(ROUND(100/F66*G66-100,1))&lt;999,ROUND(100/F66*G66-100,1),IF(ROUND(100/F66*G66-100,1)&gt;999,999,-999)))</f>
        <v>-100</v>
      </c>
      <c r="I66" s="11">
        <f>IFERROR(100/'Skjema total MA'!F66*G66,0)</f>
        <v>0</v>
      </c>
      <c r="J66" s="312">
        <f t="shared" ref="J66:K79" si="16">SUM(B66,F66)</f>
        <v>576495.59</v>
      </c>
      <c r="K66" s="319">
        <f t="shared" si="16"/>
        <v>0</v>
      </c>
      <c r="L66" s="425">
        <f t="shared" ref="L66:L125" si="17">IF(J66=0, "    ---- ", IF(ABS(ROUND(100/J66*K66-100,1))&lt;999,ROUND(100/J66*K66-100,1),IF(ROUND(100/J66*K66-100,1)&gt;999,999,-999)))</f>
        <v>-100</v>
      </c>
      <c r="M66" s="11">
        <f>IFERROR(100/'Skjema total MA'!I66*K66,0)</f>
        <v>0</v>
      </c>
    </row>
    <row r="67" spans="1:14" x14ac:dyDescent="0.2">
      <c r="A67" s="21" t="s">
        <v>9</v>
      </c>
      <c r="B67" s="44">
        <v>36822.732000000004</v>
      </c>
      <c r="C67" s="145"/>
      <c r="D67" s="166">
        <f t="shared" si="14"/>
        <v>-100</v>
      </c>
      <c r="E67" s="27">
        <f>IFERROR(100/'Skjema total MA'!C67*C67,0)</f>
        <v>0</v>
      </c>
      <c r="F67" s="234"/>
      <c r="G67" s="145"/>
      <c r="H67" s="166"/>
      <c r="I67" s="27"/>
      <c r="J67" s="292">
        <f t="shared" si="16"/>
        <v>36822.732000000004</v>
      </c>
      <c r="K67" s="44">
        <f t="shared" si="16"/>
        <v>0</v>
      </c>
      <c r="L67" s="259">
        <f t="shared" si="17"/>
        <v>-100</v>
      </c>
      <c r="M67" s="27">
        <f>IFERROR(100/'Skjema total MA'!I67*K67,0)</f>
        <v>0</v>
      </c>
    </row>
    <row r="68" spans="1:14" x14ac:dyDescent="0.2">
      <c r="A68" s="21" t="s">
        <v>10</v>
      </c>
      <c r="B68" s="296"/>
      <c r="C68" s="297"/>
      <c r="D68" s="166"/>
      <c r="E68" s="27"/>
      <c r="F68" s="296">
        <v>539672.85800000001</v>
      </c>
      <c r="G68" s="297"/>
      <c r="H68" s="166">
        <f t="shared" si="15"/>
        <v>-100</v>
      </c>
      <c r="I68" s="27">
        <f>IFERROR(100/'Skjema total MA'!F68*G68,0)</f>
        <v>0</v>
      </c>
      <c r="J68" s="292">
        <f t="shared" si="16"/>
        <v>539672.85800000001</v>
      </c>
      <c r="K68" s="44">
        <f t="shared" si="16"/>
        <v>0</v>
      </c>
      <c r="L68" s="259">
        <f t="shared" si="17"/>
        <v>-100</v>
      </c>
      <c r="M68" s="27">
        <f>IFERROR(100/'Skjema total MA'!I68*K68,0)</f>
        <v>0</v>
      </c>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v>36822.732000000004</v>
      </c>
      <c r="C77" s="234"/>
      <c r="D77" s="166">
        <f t="shared" si="14"/>
        <v>-100</v>
      </c>
      <c r="E77" s="27">
        <f>IFERROR(100/'Skjema total MA'!C77*C77,0)</f>
        <v>0</v>
      </c>
      <c r="F77" s="234">
        <v>539672.85800000001</v>
      </c>
      <c r="G77" s="145"/>
      <c r="H77" s="166">
        <f t="shared" si="15"/>
        <v>-100</v>
      </c>
      <c r="I77" s="27">
        <f>IFERROR(100/'Skjema total MA'!F77*G77,0)</f>
        <v>0</v>
      </c>
      <c r="J77" s="292">
        <f t="shared" si="16"/>
        <v>576495.59</v>
      </c>
      <c r="K77" s="44">
        <f t="shared" si="16"/>
        <v>0</v>
      </c>
      <c r="L77" s="259">
        <f t="shared" si="17"/>
        <v>-100</v>
      </c>
      <c r="M77" s="27">
        <f>IFERROR(100/'Skjema total MA'!I77*K77,0)</f>
        <v>0</v>
      </c>
    </row>
    <row r="78" spans="1:14" x14ac:dyDescent="0.2">
      <c r="A78" s="21" t="s">
        <v>9</v>
      </c>
      <c r="B78" s="234">
        <v>36822.732000000004</v>
      </c>
      <c r="C78" s="145"/>
      <c r="D78" s="166">
        <f t="shared" si="14"/>
        <v>-100</v>
      </c>
      <c r="E78" s="27">
        <f>IFERROR(100/'Skjema total MA'!C78*C78,0)</f>
        <v>0</v>
      </c>
      <c r="F78" s="234"/>
      <c r="G78" s="145"/>
      <c r="H78" s="166"/>
      <c r="I78" s="27"/>
      <c r="J78" s="292">
        <f t="shared" si="16"/>
        <v>36822.732000000004</v>
      </c>
      <c r="K78" s="44">
        <f t="shared" si="16"/>
        <v>0</v>
      </c>
      <c r="L78" s="259">
        <f t="shared" si="17"/>
        <v>-100</v>
      </c>
      <c r="M78" s="27">
        <f>IFERROR(100/'Skjema total MA'!I78*K78,0)</f>
        <v>0</v>
      </c>
    </row>
    <row r="79" spans="1:14" x14ac:dyDescent="0.2">
      <c r="A79" s="38" t="s">
        <v>399</v>
      </c>
      <c r="B79" s="296"/>
      <c r="C79" s="297"/>
      <c r="D79" s="166"/>
      <c r="E79" s="27"/>
      <c r="F79" s="296">
        <v>539672.85800000001</v>
      </c>
      <c r="G79" s="297"/>
      <c r="H79" s="166">
        <f t="shared" si="15"/>
        <v>-100</v>
      </c>
      <c r="I79" s="27">
        <f>IFERROR(100/'Skjema total MA'!F79*G79,0)</f>
        <v>0</v>
      </c>
      <c r="J79" s="292">
        <f t="shared" si="16"/>
        <v>539672.85800000001</v>
      </c>
      <c r="K79" s="44">
        <f t="shared" si="16"/>
        <v>0</v>
      </c>
      <c r="L79" s="259">
        <f t="shared" si="17"/>
        <v>-100</v>
      </c>
      <c r="M79" s="27">
        <f>IFERROR(100/'Skjema total MA'!I79*K79,0)</f>
        <v>0</v>
      </c>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v>944853.11100000003</v>
      </c>
      <c r="C87" s="355"/>
      <c r="D87" s="171">
        <f t="shared" si="14"/>
        <v>-100</v>
      </c>
      <c r="E87" s="11">
        <f>IFERROR(100/'Skjema total MA'!C87*C87,0)</f>
        <v>0</v>
      </c>
      <c r="F87" s="354">
        <v>22996320.552000001</v>
      </c>
      <c r="G87" s="354"/>
      <c r="H87" s="171">
        <f t="shared" si="15"/>
        <v>-100</v>
      </c>
      <c r="I87" s="11">
        <f>IFERROR(100/'Skjema total MA'!F87*G87,0)</f>
        <v>0</v>
      </c>
      <c r="J87" s="312">
        <f t="shared" ref="J87:K111" si="18">SUM(B87,F87)</f>
        <v>23941173.663000003</v>
      </c>
      <c r="K87" s="236">
        <f t="shared" si="18"/>
        <v>0</v>
      </c>
      <c r="L87" s="425">
        <f t="shared" si="17"/>
        <v>-100</v>
      </c>
      <c r="M87" s="11">
        <f>IFERROR(100/'Skjema total MA'!I87*K87,0)</f>
        <v>0</v>
      </c>
    </row>
    <row r="88" spans="1:13" x14ac:dyDescent="0.2">
      <c r="A88" s="21" t="s">
        <v>9</v>
      </c>
      <c r="B88" s="234">
        <v>944853.11100000003</v>
      </c>
      <c r="C88" s="145"/>
      <c r="D88" s="166">
        <f t="shared" si="14"/>
        <v>-100</v>
      </c>
      <c r="E88" s="27">
        <f>IFERROR(100/'Skjema total MA'!C88*C88,0)</f>
        <v>0</v>
      </c>
      <c r="F88" s="234"/>
      <c r="G88" s="145"/>
      <c r="H88" s="166"/>
      <c r="I88" s="27"/>
      <c r="J88" s="292">
        <f t="shared" si="18"/>
        <v>944853.11100000003</v>
      </c>
      <c r="K88" s="44">
        <f t="shared" si="18"/>
        <v>0</v>
      </c>
      <c r="L88" s="259">
        <f t="shared" si="17"/>
        <v>-100</v>
      </c>
      <c r="M88" s="27">
        <f>IFERROR(100/'Skjema total MA'!I88*K88,0)</f>
        <v>0</v>
      </c>
    </row>
    <row r="89" spans="1:13" x14ac:dyDescent="0.2">
      <c r="A89" s="21" t="s">
        <v>10</v>
      </c>
      <c r="B89" s="234"/>
      <c r="C89" s="145"/>
      <c r="D89" s="166"/>
      <c r="E89" s="27"/>
      <c r="F89" s="234">
        <v>22996320.552000001</v>
      </c>
      <c r="G89" s="145"/>
      <c r="H89" s="166">
        <f t="shared" si="15"/>
        <v>-100</v>
      </c>
      <c r="I89" s="27">
        <f>IFERROR(100/'Skjema total MA'!F89*G89,0)</f>
        <v>0</v>
      </c>
      <c r="J89" s="292">
        <f t="shared" si="18"/>
        <v>22996320.552000001</v>
      </c>
      <c r="K89" s="44">
        <f t="shared" si="18"/>
        <v>0</v>
      </c>
      <c r="L89" s="259">
        <f t="shared" si="17"/>
        <v>-100</v>
      </c>
      <c r="M89" s="27">
        <f>IFERROR(100/'Skjema total MA'!I89*K89,0)</f>
        <v>0</v>
      </c>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v>944853.11100000003</v>
      </c>
      <c r="C98" s="234"/>
      <c r="D98" s="166">
        <f t="shared" si="14"/>
        <v>-100</v>
      </c>
      <c r="E98" s="27">
        <f>IFERROR(100/'Skjema total MA'!C98*C98,0)</f>
        <v>0</v>
      </c>
      <c r="F98" s="296">
        <v>22996320.552000001</v>
      </c>
      <c r="G98" s="296"/>
      <c r="H98" s="166">
        <f t="shared" si="15"/>
        <v>-100</v>
      </c>
      <c r="I98" s="27">
        <f>IFERROR(100/'Skjema total MA'!F98*G98,0)</f>
        <v>0</v>
      </c>
      <c r="J98" s="292">
        <f t="shared" si="18"/>
        <v>23941173.663000003</v>
      </c>
      <c r="K98" s="44">
        <f t="shared" si="18"/>
        <v>0</v>
      </c>
      <c r="L98" s="259">
        <f t="shared" si="17"/>
        <v>-100</v>
      </c>
      <c r="M98" s="27">
        <f>IFERROR(100/'Skjema total MA'!I98*K98,0)</f>
        <v>0</v>
      </c>
    </row>
    <row r="99" spans="1:13" x14ac:dyDescent="0.2">
      <c r="A99" s="21" t="s">
        <v>9</v>
      </c>
      <c r="B99" s="296">
        <v>944853.11100000003</v>
      </c>
      <c r="C99" s="297"/>
      <c r="D99" s="166">
        <f t="shared" si="14"/>
        <v>-100</v>
      </c>
      <c r="E99" s="27">
        <f>IFERROR(100/'Skjema total MA'!C99*C99,0)</f>
        <v>0</v>
      </c>
      <c r="F99" s="234"/>
      <c r="G99" s="145"/>
      <c r="H99" s="166"/>
      <c r="I99" s="27">
        <f>IFERROR(100/'Skjema total MA'!F99*G99,0)</f>
        <v>0</v>
      </c>
      <c r="J99" s="292">
        <f t="shared" si="18"/>
        <v>944853.11100000003</v>
      </c>
      <c r="K99" s="44">
        <f t="shared" si="18"/>
        <v>0</v>
      </c>
      <c r="L99" s="259">
        <f t="shared" si="17"/>
        <v>-100</v>
      </c>
      <c r="M99" s="27">
        <f>IFERROR(100/'Skjema total MA'!I99*K99,0)</f>
        <v>0</v>
      </c>
    </row>
    <row r="100" spans="1:13" x14ac:dyDescent="0.2">
      <c r="A100" s="38" t="s">
        <v>399</v>
      </c>
      <c r="B100" s="296"/>
      <c r="C100" s="297"/>
      <c r="D100" s="166"/>
      <c r="E100" s="27"/>
      <c r="F100" s="234">
        <v>22996320.552000001</v>
      </c>
      <c r="G100" s="234"/>
      <c r="H100" s="166">
        <f t="shared" si="15"/>
        <v>-100</v>
      </c>
      <c r="I100" s="27">
        <f>IFERROR(100/'Skjema total MA'!F100*G100,0)</f>
        <v>0</v>
      </c>
      <c r="J100" s="292">
        <f t="shared" si="18"/>
        <v>22996320.552000001</v>
      </c>
      <c r="K100" s="44">
        <f t="shared" si="18"/>
        <v>0</v>
      </c>
      <c r="L100" s="259">
        <f t="shared" si="17"/>
        <v>-100</v>
      </c>
      <c r="M100" s="27">
        <f>IFERROR(100/'Skjema total MA'!I100*K100,0)</f>
        <v>0</v>
      </c>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v>154879</v>
      </c>
      <c r="C108" s="234"/>
      <c r="D108" s="166">
        <f t="shared" si="14"/>
        <v>-100</v>
      </c>
      <c r="E108" s="27">
        <f>IFERROR(100/'Skjema total MA'!C108*C108,0)</f>
        <v>0</v>
      </c>
      <c r="F108" s="234">
        <v>222291.595</v>
      </c>
      <c r="G108" s="234"/>
      <c r="H108" s="166">
        <f t="shared" si="15"/>
        <v>-100</v>
      </c>
      <c r="I108" s="27">
        <f>IFERROR(100/'Skjema total MA'!F108*G108,0)</f>
        <v>0</v>
      </c>
      <c r="J108" s="292">
        <f t="shared" si="18"/>
        <v>377170.59499999997</v>
      </c>
      <c r="K108" s="44">
        <f t="shared" si="18"/>
        <v>0</v>
      </c>
      <c r="L108" s="259">
        <f t="shared" si="17"/>
        <v>-100</v>
      </c>
      <c r="M108" s="27">
        <f>IFERROR(100/'Skjema total MA'!I108*K108,0)</f>
        <v>0</v>
      </c>
    </row>
    <row r="109" spans="1:13" ht="15.75" x14ac:dyDescent="0.2">
      <c r="A109" s="38" t="s">
        <v>407</v>
      </c>
      <c r="B109" s="234"/>
      <c r="C109" s="234"/>
      <c r="D109" s="166"/>
      <c r="E109" s="27"/>
      <c r="F109" s="234">
        <v>8496128.3369999994</v>
      </c>
      <c r="G109" s="234"/>
      <c r="H109" s="166">
        <f t="shared" si="15"/>
        <v>-100</v>
      </c>
      <c r="I109" s="27">
        <f>IFERROR(100/'Skjema total MA'!F109*G109,0)</f>
        <v>0</v>
      </c>
      <c r="J109" s="292">
        <f t="shared" si="18"/>
        <v>8496128.3369999994</v>
      </c>
      <c r="K109" s="44">
        <f t="shared" si="18"/>
        <v>0</v>
      </c>
      <c r="L109" s="259">
        <f t="shared" si="17"/>
        <v>-100</v>
      </c>
      <c r="M109" s="27">
        <f>IFERROR(100/'Skjema total MA'!I109*K109,0)</f>
        <v>0</v>
      </c>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v>2178.471</v>
      </c>
      <c r="C111" s="159"/>
      <c r="D111" s="171">
        <f t="shared" si="14"/>
        <v>-100</v>
      </c>
      <c r="E111" s="11">
        <f>IFERROR(100/'Skjema total MA'!C111*C111,0)</f>
        <v>0</v>
      </c>
      <c r="F111" s="311">
        <v>781260.22</v>
      </c>
      <c r="G111" s="159"/>
      <c r="H111" s="171">
        <f t="shared" si="15"/>
        <v>-100</v>
      </c>
      <c r="I111" s="11">
        <f>IFERROR(100/'Skjema total MA'!F111*G111,0)</f>
        <v>0</v>
      </c>
      <c r="J111" s="312">
        <f t="shared" si="18"/>
        <v>783438.69099999999</v>
      </c>
      <c r="K111" s="236">
        <f t="shared" si="18"/>
        <v>0</v>
      </c>
      <c r="L111" s="425">
        <f t="shared" si="17"/>
        <v>-100</v>
      </c>
      <c r="M111" s="11">
        <f>IFERROR(100/'Skjema total MA'!I111*K111,0)</f>
        <v>0</v>
      </c>
    </row>
    <row r="112" spans="1:13" x14ac:dyDescent="0.2">
      <c r="A112" s="21" t="s">
        <v>9</v>
      </c>
      <c r="B112" s="234">
        <v>2178.471</v>
      </c>
      <c r="C112" s="145"/>
      <c r="D112" s="166">
        <f t="shared" si="14"/>
        <v>-100</v>
      </c>
      <c r="E112" s="27">
        <f>IFERROR(100/'Skjema total MA'!C112*C112,0)</f>
        <v>0</v>
      </c>
      <c r="F112" s="234"/>
      <c r="G112" s="145"/>
      <c r="H112" s="166"/>
      <c r="I112" s="27"/>
      <c r="J112" s="292">
        <f t="shared" ref="J112:K125" si="19">SUM(B112,F112)</f>
        <v>2178.471</v>
      </c>
      <c r="K112" s="44">
        <f t="shared" si="19"/>
        <v>0</v>
      </c>
      <c r="L112" s="259">
        <f t="shared" si="17"/>
        <v>-100</v>
      </c>
      <c r="M112" s="27">
        <f>IFERROR(100/'Skjema total MA'!I112*K112,0)</f>
        <v>0</v>
      </c>
    </row>
    <row r="113" spans="1:14" x14ac:dyDescent="0.2">
      <c r="A113" s="21" t="s">
        <v>10</v>
      </c>
      <c r="B113" s="234"/>
      <c r="C113" s="145"/>
      <c r="D113" s="166"/>
      <c r="E113" s="27"/>
      <c r="F113" s="234">
        <v>781260.22</v>
      </c>
      <c r="G113" s="145"/>
      <c r="H113" s="166">
        <f t="shared" si="15"/>
        <v>-100</v>
      </c>
      <c r="I113" s="27">
        <f>IFERROR(100/'Skjema total MA'!F113*G113,0)</f>
        <v>0</v>
      </c>
      <c r="J113" s="292">
        <f t="shared" si="19"/>
        <v>781260.22</v>
      </c>
      <c r="K113" s="44">
        <f t="shared" si="19"/>
        <v>0</v>
      </c>
      <c r="L113" s="259">
        <f t="shared" si="17"/>
        <v>-100</v>
      </c>
      <c r="M113" s="27">
        <f>IFERROR(100/'Skjema total MA'!I113*K113,0)</f>
        <v>0</v>
      </c>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v>531910</v>
      </c>
      <c r="G117" s="234"/>
      <c r="H117" s="166">
        <f t="shared" si="15"/>
        <v>-100</v>
      </c>
      <c r="I117" s="27">
        <f>IFERROR(100/'Skjema total MA'!F117*G117,0)</f>
        <v>0</v>
      </c>
      <c r="J117" s="292">
        <f t="shared" si="19"/>
        <v>531910</v>
      </c>
      <c r="K117" s="44">
        <f t="shared" si="19"/>
        <v>0</v>
      </c>
      <c r="L117" s="259">
        <f t="shared" si="17"/>
        <v>-100</v>
      </c>
      <c r="M117" s="27">
        <f>IFERROR(100/'Skjema total MA'!I117*K117,0)</f>
        <v>0</v>
      </c>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v>5931.4139999999998</v>
      </c>
      <c r="C119" s="159"/>
      <c r="D119" s="171">
        <f t="shared" si="14"/>
        <v>-100</v>
      </c>
      <c r="E119" s="11">
        <f>IFERROR(100/'Skjema total MA'!C119*C119,0)</f>
        <v>0</v>
      </c>
      <c r="F119" s="311">
        <v>898232.47400000005</v>
      </c>
      <c r="G119" s="159"/>
      <c r="H119" s="171">
        <f t="shared" si="15"/>
        <v>-100</v>
      </c>
      <c r="I119" s="11">
        <f>IFERROR(100/'Skjema total MA'!F119*G119,0)</f>
        <v>0</v>
      </c>
      <c r="J119" s="312">
        <f t="shared" si="19"/>
        <v>904163.88800000004</v>
      </c>
      <c r="K119" s="236">
        <f t="shared" si="19"/>
        <v>0</v>
      </c>
      <c r="L119" s="425">
        <f t="shared" si="17"/>
        <v>-100</v>
      </c>
      <c r="M119" s="11">
        <f>IFERROR(100/'Skjema total MA'!I119*K119,0)</f>
        <v>0</v>
      </c>
    </row>
    <row r="120" spans="1:14" x14ac:dyDescent="0.2">
      <c r="A120" s="21" t="s">
        <v>9</v>
      </c>
      <c r="B120" s="234">
        <v>5931.4139999999998</v>
      </c>
      <c r="C120" s="145"/>
      <c r="D120" s="166">
        <f t="shared" si="14"/>
        <v>-100</v>
      </c>
      <c r="E120" s="27">
        <f>IFERROR(100/'Skjema total MA'!C120*C120,0)</f>
        <v>0</v>
      </c>
      <c r="F120" s="234"/>
      <c r="G120" s="145"/>
      <c r="H120" s="166"/>
      <c r="I120" s="27"/>
      <c r="J120" s="292">
        <f t="shared" si="19"/>
        <v>5931.4139999999998</v>
      </c>
      <c r="K120" s="44">
        <f t="shared" si="19"/>
        <v>0</v>
      </c>
      <c r="L120" s="259">
        <f t="shared" si="17"/>
        <v>-100</v>
      </c>
      <c r="M120" s="27">
        <f>IFERROR(100/'Skjema total MA'!I120*K120,0)</f>
        <v>0</v>
      </c>
    </row>
    <row r="121" spans="1:14" x14ac:dyDescent="0.2">
      <c r="A121" s="21" t="s">
        <v>10</v>
      </c>
      <c r="B121" s="234"/>
      <c r="C121" s="145"/>
      <c r="D121" s="166"/>
      <c r="E121" s="27"/>
      <c r="F121" s="234">
        <v>898232.47400000005</v>
      </c>
      <c r="G121" s="145"/>
      <c r="H121" s="166">
        <f t="shared" si="15"/>
        <v>-100</v>
      </c>
      <c r="I121" s="27">
        <f>IFERROR(100/'Skjema total MA'!F121*G121,0)</f>
        <v>0</v>
      </c>
      <c r="J121" s="292">
        <f t="shared" si="19"/>
        <v>898232.47400000005</v>
      </c>
      <c r="K121" s="44">
        <f t="shared" si="19"/>
        <v>0</v>
      </c>
      <c r="L121" s="259">
        <f t="shared" si="17"/>
        <v>-100</v>
      </c>
      <c r="M121" s="27">
        <f>IFERROR(100/'Skjema total MA'!I121*K121,0)</f>
        <v>0</v>
      </c>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v>768533</v>
      </c>
      <c r="G125" s="234"/>
      <c r="H125" s="166">
        <f t="shared" si="15"/>
        <v>-100</v>
      </c>
      <c r="I125" s="27">
        <f>IFERROR(100/'Skjema total MA'!F125*G125,0)</f>
        <v>0</v>
      </c>
      <c r="J125" s="292">
        <f t="shared" si="19"/>
        <v>768533</v>
      </c>
      <c r="K125" s="44">
        <f t="shared" si="19"/>
        <v>0</v>
      </c>
      <c r="L125" s="259">
        <f t="shared" si="17"/>
        <v>-100</v>
      </c>
      <c r="M125" s="27">
        <f>IFERROR(100/'Skjema total MA'!I125*K125,0)</f>
        <v>0</v>
      </c>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403"/>
      <c r="F130" s="721"/>
      <c r="G130" s="721"/>
      <c r="H130" s="721"/>
      <c r="I130" s="403"/>
      <c r="J130" s="721"/>
      <c r="K130" s="721"/>
      <c r="L130" s="721"/>
      <c r="M130" s="403"/>
    </row>
    <row r="131" spans="1:14" s="3" customFormat="1" x14ac:dyDescent="0.2">
      <c r="A131" s="144"/>
      <c r="B131" s="719" t="s">
        <v>0</v>
      </c>
      <c r="C131" s="720"/>
      <c r="D131" s="720"/>
      <c r="E131" s="402"/>
      <c r="F131" s="719" t="s">
        <v>1</v>
      </c>
      <c r="G131" s="720"/>
      <c r="H131" s="720"/>
      <c r="I131" s="405"/>
      <c r="J131" s="719" t="s">
        <v>2</v>
      </c>
      <c r="K131" s="720"/>
      <c r="L131" s="720"/>
      <c r="M131" s="405"/>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662" priority="82">
      <formula>kvartal &lt; 4</formula>
    </cfRule>
  </conditionalFormatting>
  <conditionalFormatting sqref="B115">
    <cfRule type="expression" dxfId="661" priority="45">
      <formula>kvartal &lt; 4</formula>
    </cfRule>
  </conditionalFormatting>
  <conditionalFormatting sqref="C115">
    <cfRule type="expression" dxfId="660" priority="44">
      <formula>kvartal &lt; 4</formula>
    </cfRule>
  </conditionalFormatting>
  <conditionalFormatting sqref="B123">
    <cfRule type="expression" dxfId="659" priority="43">
      <formula>kvartal &lt; 4</formula>
    </cfRule>
  </conditionalFormatting>
  <conditionalFormatting sqref="C123">
    <cfRule type="expression" dxfId="658" priority="42">
      <formula>kvartal &lt; 4</formula>
    </cfRule>
  </conditionalFormatting>
  <conditionalFormatting sqref="F115">
    <cfRule type="expression" dxfId="657" priority="31">
      <formula>kvartal &lt; 4</formula>
    </cfRule>
  </conditionalFormatting>
  <conditionalFormatting sqref="G115">
    <cfRule type="expression" dxfId="656" priority="30">
      <formula>kvartal &lt; 4</formula>
    </cfRule>
  </conditionalFormatting>
  <conditionalFormatting sqref="F123:G123">
    <cfRule type="expression" dxfId="655" priority="29">
      <formula>kvartal &lt; 4</formula>
    </cfRule>
  </conditionalFormatting>
  <conditionalFormatting sqref="J115:K115">
    <cfRule type="expression" dxfId="654" priority="12">
      <formula>kvartal &lt; 4</formula>
    </cfRule>
  </conditionalFormatting>
  <conditionalFormatting sqref="J123:K123">
    <cfRule type="expression" dxfId="653" priority="11">
      <formula>kvartal &lt; 4</formula>
    </cfRule>
  </conditionalFormatting>
  <conditionalFormatting sqref="A50:A52">
    <cfRule type="expression" dxfId="652" priority="8">
      <formula>kvartal &lt; 4</formula>
    </cfRule>
  </conditionalFormatting>
  <conditionalFormatting sqref="A69:A74">
    <cfRule type="expression" dxfId="651" priority="7">
      <formula>kvartal &lt; 4</formula>
    </cfRule>
  </conditionalFormatting>
  <conditionalFormatting sqref="A80:A85">
    <cfRule type="expression" dxfId="650" priority="6">
      <formula>kvartal &lt; 4</formula>
    </cfRule>
  </conditionalFormatting>
  <conditionalFormatting sqref="A90:A95">
    <cfRule type="expression" dxfId="649" priority="5">
      <formula>kvartal &lt; 4</formula>
    </cfRule>
  </conditionalFormatting>
  <conditionalFormatting sqref="A101:A106">
    <cfRule type="expression" dxfId="648" priority="4">
      <formula>kvartal &lt; 4</formula>
    </cfRule>
  </conditionalFormatting>
  <conditionalFormatting sqref="A115">
    <cfRule type="expression" dxfId="647" priority="3">
      <formula>kvartal &lt; 4</formula>
    </cfRule>
  </conditionalFormatting>
  <conditionalFormatting sqref="A123">
    <cfRule type="expression" dxfId="646"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131</v>
      </c>
      <c r="B1" s="678"/>
      <c r="C1" s="250" t="s">
        <v>122</v>
      </c>
      <c r="D1" s="26"/>
      <c r="E1" s="26"/>
      <c r="F1" s="26"/>
      <c r="G1" s="26"/>
      <c r="H1" s="26"/>
      <c r="I1" s="26"/>
      <c r="J1" s="26"/>
      <c r="K1" s="26"/>
      <c r="L1" s="26"/>
      <c r="M1" s="26"/>
    </row>
    <row r="2" spans="1:17" ht="15.75" x14ac:dyDescent="0.25">
      <c r="A2" s="165" t="s">
        <v>28</v>
      </c>
      <c r="B2" s="718"/>
      <c r="C2" s="718"/>
      <c r="D2" s="718"/>
      <c r="E2" s="302"/>
      <c r="F2" s="718"/>
      <c r="G2" s="718"/>
      <c r="H2" s="718"/>
      <c r="I2" s="302"/>
      <c r="J2" s="718"/>
      <c r="K2" s="718"/>
      <c r="L2" s="718"/>
      <c r="M2" s="302"/>
    </row>
    <row r="3" spans="1:17" ht="15.75" x14ac:dyDescent="0.25">
      <c r="A3" s="163"/>
      <c r="B3" s="302"/>
      <c r="C3" s="302"/>
      <c r="D3" s="302"/>
      <c r="E3" s="302"/>
      <c r="F3" s="302"/>
      <c r="G3" s="302"/>
      <c r="H3" s="302"/>
      <c r="I3" s="302"/>
      <c r="J3" s="302"/>
      <c r="K3" s="302"/>
      <c r="L3" s="302"/>
      <c r="M3" s="302"/>
    </row>
    <row r="4" spans="1:17" x14ac:dyDescent="0.2">
      <c r="A4" s="144"/>
      <c r="B4" s="719" t="s">
        <v>0</v>
      </c>
      <c r="C4" s="720"/>
      <c r="D4" s="720"/>
      <c r="E4" s="304"/>
      <c r="F4" s="719" t="s">
        <v>1</v>
      </c>
      <c r="G4" s="720"/>
      <c r="H4" s="720"/>
      <c r="I4" s="307"/>
      <c r="J4" s="719" t="s">
        <v>2</v>
      </c>
      <c r="K4" s="720"/>
      <c r="L4" s="720"/>
      <c r="M4" s="307"/>
    </row>
    <row r="5" spans="1:17"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7" x14ac:dyDescent="0.2">
      <c r="A6" s="679"/>
      <c r="B6" s="156"/>
      <c r="C6" s="156"/>
      <c r="D6" s="248" t="s">
        <v>4</v>
      </c>
      <c r="E6" s="156" t="s">
        <v>30</v>
      </c>
      <c r="F6" s="161"/>
      <c r="G6" s="161"/>
      <c r="H6" s="246" t="s">
        <v>4</v>
      </c>
      <c r="I6" s="156" t="s">
        <v>30</v>
      </c>
      <c r="J6" s="161"/>
      <c r="K6" s="161"/>
      <c r="L6" s="246" t="s">
        <v>4</v>
      </c>
      <c r="M6" s="156" t="s">
        <v>30</v>
      </c>
    </row>
    <row r="7" spans="1:17" ht="15.75" x14ac:dyDescent="0.2">
      <c r="A7" s="14" t="s">
        <v>23</v>
      </c>
      <c r="B7" s="309">
        <v>71554</v>
      </c>
      <c r="C7" s="310">
        <v>45470</v>
      </c>
      <c r="D7" s="352">
        <f>IF(B7=0, "    ---- ", IF(ABS(ROUND(100/B7*C7-100,1))&lt;999,ROUND(100/B7*C7-100,1),IF(ROUND(100/B7*C7-100,1)&gt;999,999,-999)))</f>
        <v>-36.5</v>
      </c>
      <c r="E7" s="11">
        <f>IFERROR(100/'Skjema total MA'!C7*C7,0)</f>
        <v>2.4068348287867427</v>
      </c>
      <c r="F7" s="309">
        <v>130706.09391</v>
      </c>
      <c r="G7" s="310">
        <v>109145</v>
      </c>
      <c r="H7" s="352">
        <f>IF(F7=0, "    ---- ", IF(ABS(ROUND(100/F7*G7-100,1))&lt;999,ROUND(100/F7*G7-100,1),IF(ROUND(100/F7*G7-100,1)&gt;999,999,-999)))</f>
        <v>-16.5</v>
      </c>
      <c r="I7" s="160">
        <f>IFERROR(100/'Skjema total MA'!F7*G7,0)</f>
        <v>4.0381319697218583</v>
      </c>
      <c r="J7" s="311">
        <f t="shared" ref="J7:K12" si="0">SUM(B7,F7)</f>
        <v>202260.09391</v>
      </c>
      <c r="K7" s="312">
        <f t="shared" si="0"/>
        <v>154615</v>
      </c>
      <c r="L7" s="424">
        <f>IF(J7=0, "    ---- ", IF(ABS(ROUND(100/J7*K7-100,1))&lt;999,ROUND(100/J7*K7-100,1),IF(ROUND(100/J7*K7-100,1)&gt;999,999,-999)))</f>
        <v>-23.6</v>
      </c>
      <c r="M7" s="11">
        <f>IFERROR(100/'Skjema total MA'!I7*K7,0)</f>
        <v>3.367006047908192</v>
      </c>
    </row>
    <row r="8" spans="1:17" ht="15.75" x14ac:dyDescent="0.2">
      <c r="A8" s="21" t="s">
        <v>25</v>
      </c>
      <c r="B8" s="286">
        <v>7648.2505375000001</v>
      </c>
      <c r="C8" s="287">
        <v>7082.2039999999997</v>
      </c>
      <c r="D8" s="166">
        <f t="shared" ref="D8:D12" si="1">IF(B8=0, "    ---- ", IF(ABS(ROUND(100/B8*C8-100,1))&lt;999,ROUND(100/B8*C8-100,1),IF(ROUND(100/B8*C8-100,1)&gt;999,999,-999)))</f>
        <v>-7.4</v>
      </c>
      <c r="E8" s="27">
        <f>IFERROR(100/'Skjema total MA'!C8*C8,0)</f>
        <v>0.58061104524375762</v>
      </c>
      <c r="F8" s="290"/>
      <c r="G8" s="291"/>
      <c r="H8" s="166"/>
      <c r="I8" s="176"/>
      <c r="J8" s="234">
        <f t="shared" si="0"/>
        <v>7648.2505375000001</v>
      </c>
      <c r="K8" s="292">
        <f t="shared" si="0"/>
        <v>7082.2039999999997</v>
      </c>
      <c r="L8" s="166">
        <f t="shared" ref="L8:L9" si="2">IF(J8=0, "    ---- ", IF(ABS(ROUND(100/J8*K8-100,1))&lt;999,ROUND(100/J8*K8-100,1),IF(ROUND(100/J8*K8-100,1)&gt;999,999,-999)))</f>
        <v>-7.4</v>
      </c>
      <c r="M8" s="27">
        <f>IFERROR(100/'Skjema total MA'!I8*K8,0)</f>
        <v>0.58061104524375762</v>
      </c>
    </row>
    <row r="9" spans="1:17" ht="15.75" x14ac:dyDescent="0.2">
      <c r="A9" s="21" t="s">
        <v>24</v>
      </c>
      <c r="B9" s="286">
        <v>5128.0784949999997</v>
      </c>
      <c r="C9" s="287">
        <v>5263.7290000000003</v>
      </c>
      <c r="D9" s="166">
        <f t="shared" si="1"/>
        <v>2.6</v>
      </c>
      <c r="E9" s="27">
        <f>IFERROR(100/'Skjema total MA'!C9*C9,0)</f>
        <v>1.2057197708648844</v>
      </c>
      <c r="F9" s="290"/>
      <c r="G9" s="291"/>
      <c r="H9" s="166"/>
      <c r="I9" s="176"/>
      <c r="J9" s="234">
        <f t="shared" si="0"/>
        <v>5128.0784949999997</v>
      </c>
      <c r="K9" s="292">
        <f t="shared" si="0"/>
        <v>5263.7290000000003</v>
      </c>
      <c r="L9" s="166">
        <f t="shared" si="2"/>
        <v>2.6</v>
      </c>
      <c r="M9" s="27">
        <f>IFERROR(100/'Skjema total MA'!I9*K9,0)</f>
        <v>1.2057197708648844</v>
      </c>
    </row>
    <row r="10" spans="1:17" ht="15.75" x14ac:dyDescent="0.2">
      <c r="A10" s="13" t="s">
        <v>348</v>
      </c>
      <c r="B10" s="313">
        <v>9919922</v>
      </c>
      <c r="C10" s="314">
        <v>8142476</v>
      </c>
      <c r="D10" s="171">
        <f t="shared" si="1"/>
        <v>-17.899999999999999</v>
      </c>
      <c r="E10" s="11">
        <f>IFERROR(100/'Skjema total MA'!C10*C10,0)</f>
        <v>55.226727032836763</v>
      </c>
      <c r="F10" s="313">
        <v>7458151.0310000004</v>
      </c>
      <c r="G10" s="314">
        <v>7510129.8059999999</v>
      </c>
      <c r="H10" s="171">
        <f t="shared" ref="H10:H12" si="3">IF(F10=0, "    ---- ", IF(ABS(ROUND(100/F10*G10-100,1))&lt;999,ROUND(100/F10*G10-100,1),IF(ROUND(100/F10*G10-100,1)&gt;999,999,-999)))</f>
        <v>0.7</v>
      </c>
      <c r="I10" s="160">
        <f>IFERROR(100/'Skjema total MA'!F10*G10,0)</f>
        <v>9.9437345627807971</v>
      </c>
      <c r="J10" s="311">
        <f t="shared" si="0"/>
        <v>17378073.030999999</v>
      </c>
      <c r="K10" s="312">
        <f t="shared" si="0"/>
        <v>15652605.806</v>
      </c>
      <c r="L10" s="425">
        <f t="shared" ref="L10:L12" si="4">IF(J10=0, "    ---- ", IF(ABS(ROUND(100/J10*K10-100,1))&lt;999,ROUND(100/J10*K10-100,1),IF(ROUND(100/J10*K10-100,1)&gt;999,999,-999)))</f>
        <v>-9.9</v>
      </c>
      <c r="M10" s="11">
        <f>IFERROR(100/'Skjema total MA'!I10*K10,0)</f>
        <v>17.339770037833372</v>
      </c>
      <c r="Q10" s="149"/>
    </row>
    <row r="11" spans="1:17" s="43" customFormat="1" ht="15.75" x14ac:dyDescent="0.2">
      <c r="A11" s="13" t="s">
        <v>349</v>
      </c>
      <c r="B11" s="313">
        <v>16931.237000000001</v>
      </c>
      <c r="C11" s="314">
        <v>24653</v>
      </c>
      <c r="D11" s="171">
        <f t="shared" si="1"/>
        <v>45.6</v>
      </c>
      <c r="E11" s="11">
        <f>IFERROR(100/'Skjema total MA'!C11*C11,0)</f>
        <v>100</v>
      </c>
      <c r="F11" s="313">
        <v>8263.7929999999997</v>
      </c>
      <c r="G11" s="314">
        <v>4894</v>
      </c>
      <c r="H11" s="171">
        <f t="shared" si="3"/>
        <v>-40.799999999999997</v>
      </c>
      <c r="I11" s="160">
        <f>IFERROR(100/'Skjema total MA'!F11*G11,0)</f>
        <v>9.1753115347997962</v>
      </c>
      <c r="J11" s="311">
        <f t="shared" si="0"/>
        <v>25195.03</v>
      </c>
      <c r="K11" s="312">
        <f t="shared" si="0"/>
        <v>29547</v>
      </c>
      <c r="L11" s="425">
        <f t="shared" si="4"/>
        <v>17.3</v>
      </c>
      <c r="M11" s="11">
        <f>IFERROR(100/'Skjema total MA'!I11*K11,0)</f>
        <v>37.88475764577079</v>
      </c>
      <c r="N11" s="143"/>
    </row>
    <row r="12" spans="1:17" s="43" customFormat="1" ht="15.75" x14ac:dyDescent="0.2">
      <c r="A12" s="41" t="s">
        <v>350</v>
      </c>
      <c r="B12" s="315">
        <v>1556.90915</v>
      </c>
      <c r="C12" s="316">
        <v>0</v>
      </c>
      <c r="D12" s="169">
        <f t="shared" si="1"/>
        <v>-100</v>
      </c>
      <c r="E12" s="36">
        <f>IFERROR(100/'Skjema total MA'!C12*C12,0)</f>
        <v>0</v>
      </c>
      <c r="F12" s="315">
        <v>6604.6350000000002</v>
      </c>
      <c r="G12" s="316">
        <v>3766</v>
      </c>
      <c r="H12" s="169">
        <f t="shared" si="3"/>
        <v>-43</v>
      </c>
      <c r="I12" s="169">
        <f>IFERROR(100/'Skjema total MA'!F12*G12,0)</f>
        <v>7.4715990849286991</v>
      </c>
      <c r="J12" s="317">
        <f t="shared" si="0"/>
        <v>8161.5441499999997</v>
      </c>
      <c r="K12" s="318">
        <f t="shared" si="0"/>
        <v>3766</v>
      </c>
      <c r="L12" s="426">
        <f t="shared" si="4"/>
        <v>-53.9</v>
      </c>
      <c r="M12" s="36">
        <f>IFERROR(100/'Skjema total MA'!I12*K12,0)</f>
        <v>7.4715990849286991</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268</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79752</v>
      </c>
      <c r="C22" s="313">
        <v>63428.468000000001</v>
      </c>
      <c r="D22" s="352">
        <f t="shared" ref="D22:D39" si="5">IF(B22=0, "    ---- ", IF(ABS(ROUND(100/B22*C22-100,1))&lt;999,ROUND(100/B22*C22-100,1),IF(ROUND(100/B22*C22-100,1)&gt;999,999,-999)))</f>
        <v>-20.5</v>
      </c>
      <c r="E22" s="11">
        <f>IFERROR(100/'Skjema total MA'!C22*C22,0)</f>
        <v>7.7129088676493653</v>
      </c>
      <c r="F22" s="321">
        <v>6009.6191900000003</v>
      </c>
      <c r="G22" s="321">
        <v>5591.7160000000003</v>
      </c>
      <c r="H22" s="352">
        <f t="shared" ref="H22:H35" si="6">IF(F22=0, "    ---- ", IF(ABS(ROUND(100/F22*G22-100,1))&lt;999,ROUND(100/F22*G22-100,1),IF(ROUND(100/F22*G22-100,1)&gt;999,999,-999)))</f>
        <v>-7</v>
      </c>
      <c r="I22" s="11">
        <f>IFERROR(100/'Skjema total MA'!F22*G22,0)</f>
        <v>2.4031708759851349</v>
      </c>
      <c r="J22" s="319">
        <f t="shared" ref="J22:K35" si="7">SUM(B22,F22)</f>
        <v>85761.619189999998</v>
      </c>
      <c r="K22" s="319">
        <f t="shared" si="7"/>
        <v>69020.184000000008</v>
      </c>
      <c r="L22" s="424">
        <f t="shared" ref="L22:L37" si="8">IF(J22=0, "    ---- ", IF(ABS(ROUND(100/J22*K22-100,1))&lt;999,ROUND(100/J22*K22-100,1),IF(ROUND(100/J22*K22-100,1)&gt;999,999,-999)))</f>
        <v>-19.5</v>
      </c>
      <c r="M22" s="24">
        <f>IFERROR(100/'Skjema total MA'!I22*K22,0)</f>
        <v>6.54189737091271</v>
      </c>
    </row>
    <row r="23" spans="1:14" ht="15.75" x14ac:dyDescent="0.2">
      <c r="A23" s="507" t="s">
        <v>351</v>
      </c>
      <c r="B23" s="286">
        <v>68924.632817934194</v>
      </c>
      <c r="C23" s="286">
        <v>59193.163</v>
      </c>
      <c r="D23" s="166">
        <f t="shared" si="5"/>
        <v>-14.1</v>
      </c>
      <c r="E23" s="11">
        <f>IFERROR(100/'Skjema total MA'!C23*C23,0)</f>
        <v>10.069260322462481</v>
      </c>
      <c r="F23" s="294">
        <v>3871.1759999999999</v>
      </c>
      <c r="G23" s="294">
        <v>3635.049</v>
      </c>
      <c r="H23" s="166">
        <f t="shared" si="6"/>
        <v>-6.1</v>
      </c>
      <c r="I23" s="414">
        <f>IFERROR(100/'Skjema total MA'!F23*G23,0)</f>
        <v>29.22787210145632</v>
      </c>
      <c r="J23" s="294">
        <f t="shared" ref="J23:J25" si="9">SUM(B23,F23)</f>
        <v>72795.808817934201</v>
      </c>
      <c r="K23" s="294">
        <f t="shared" ref="K23:K25" si="10">SUM(C23,G23)</f>
        <v>62828.212</v>
      </c>
      <c r="L23" s="166">
        <f t="shared" si="8"/>
        <v>-13.7</v>
      </c>
      <c r="M23" s="23">
        <f>IFERROR(100/'Skjema total MA'!I23*K23,0)</f>
        <v>10.466187578557472</v>
      </c>
    </row>
    <row r="24" spans="1:14" ht="15.75" x14ac:dyDescent="0.2">
      <c r="A24" s="507" t="s">
        <v>352</v>
      </c>
      <c r="B24" s="286">
        <v>3331.1557685989201</v>
      </c>
      <c r="C24" s="286">
        <v>641.01599999999996</v>
      </c>
      <c r="D24" s="166">
        <f t="shared" si="5"/>
        <v>-80.8</v>
      </c>
      <c r="E24" s="11">
        <f>IFERROR(100/'Skjema total MA'!C24*C24,0)</f>
        <v>28.482093219917427</v>
      </c>
      <c r="F24" s="294">
        <v>6.7541900000000004</v>
      </c>
      <c r="G24" s="294">
        <v>6</v>
      </c>
      <c r="H24" s="166">
        <f t="shared" si="6"/>
        <v>-11.2</v>
      </c>
      <c r="I24" s="414">
        <f>IFERROR(100/'Skjema total MA'!F24*G24,0)</f>
        <v>2.7777777777777777</v>
      </c>
      <c r="J24" s="294">
        <f t="shared" si="9"/>
        <v>3337.9099585989202</v>
      </c>
      <c r="K24" s="294">
        <f t="shared" si="10"/>
        <v>647.01599999999996</v>
      </c>
      <c r="L24" s="166">
        <f t="shared" si="8"/>
        <v>-80.599999999999994</v>
      </c>
      <c r="M24" s="23">
        <f>IFERROR(100/'Skjema total MA'!I24*K24,0)</f>
        <v>26.231161628871622</v>
      </c>
    </row>
    <row r="25" spans="1:14" ht="15.75" x14ac:dyDescent="0.2">
      <c r="A25" s="507" t="s">
        <v>353</v>
      </c>
      <c r="B25" s="286">
        <v>7496.21141346685</v>
      </c>
      <c r="C25" s="286">
        <v>3594.2890000000002</v>
      </c>
      <c r="D25" s="166">
        <f t="shared" si="5"/>
        <v>-52.1</v>
      </c>
      <c r="E25" s="11">
        <f>IFERROR(100/'Skjema total MA'!C25*C25,0)</f>
        <v>100</v>
      </c>
      <c r="F25" s="294">
        <v>2131.6889999999999</v>
      </c>
      <c r="G25" s="294">
        <v>1950.6669999999999</v>
      </c>
      <c r="H25" s="166">
        <f t="shared" si="6"/>
        <v>-8.5</v>
      </c>
      <c r="I25" s="414">
        <f>IFERROR(100/'Skjema total MA'!F25*G25,0)</f>
        <v>46.755972844605409</v>
      </c>
      <c r="J25" s="294">
        <f t="shared" si="9"/>
        <v>9627.9004134668503</v>
      </c>
      <c r="K25" s="294">
        <f t="shared" si="10"/>
        <v>5544.9560000000001</v>
      </c>
      <c r="L25" s="166">
        <f t="shared" si="8"/>
        <v>-42.4</v>
      </c>
      <c r="M25" s="23">
        <f>IFERROR(100/'Skjema total MA'!I25*K25,0)</f>
        <v>71.39760147299171</v>
      </c>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v>26744.271895000002</v>
      </c>
      <c r="C28" s="292">
        <v>29050.645</v>
      </c>
      <c r="D28" s="166">
        <f t="shared" si="5"/>
        <v>8.6</v>
      </c>
      <c r="E28" s="11">
        <f>IFERROR(100/'Skjema total MA'!C28*C28,0)</f>
        <v>3.0595511067141663</v>
      </c>
      <c r="F28" s="234"/>
      <c r="G28" s="292"/>
      <c r="H28" s="166"/>
      <c r="I28" s="27"/>
      <c r="J28" s="44">
        <f t="shared" si="7"/>
        <v>26744.271895000002</v>
      </c>
      <c r="K28" s="44">
        <f t="shared" si="7"/>
        <v>29050.645</v>
      </c>
      <c r="L28" s="259">
        <f t="shared" si="8"/>
        <v>8.6</v>
      </c>
      <c r="M28" s="23">
        <f>IFERROR(100/'Skjema total MA'!I28*K28,0)</f>
        <v>3.0595511067141663</v>
      </c>
    </row>
    <row r="29" spans="1:14" s="3" customFormat="1" ht="15.75" x14ac:dyDescent="0.2">
      <c r="A29" s="13" t="s">
        <v>348</v>
      </c>
      <c r="B29" s="236">
        <v>22491824.427455701</v>
      </c>
      <c r="C29" s="236">
        <v>21015900.945223499</v>
      </c>
      <c r="D29" s="171">
        <f t="shared" si="5"/>
        <v>-6.6</v>
      </c>
      <c r="E29" s="11">
        <f>IFERROR(100/'Skjema total MA'!C29*C29,0)</f>
        <v>47.623996083246489</v>
      </c>
      <c r="F29" s="311">
        <v>4720149.1440000003</v>
      </c>
      <c r="G29" s="311">
        <v>4473710.8360000001</v>
      </c>
      <c r="H29" s="171">
        <f t="shared" si="6"/>
        <v>-5.2</v>
      </c>
      <c r="I29" s="11">
        <f>IFERROR(100/'Skjema total MA'!F29*G29,0)</f>
        <v>18.028410457851649</v>
      </c>
      <c r="J29" s="236">
        <f t="shared" si="7"/>
        <v>27211973.571455702</v>
      </c>
      <c r="K29" s="236">
        <f t="shared" si="7"/>
        <v>25489611.781223498</v>
      </c>
      <c r="L29" s="425">
        <f t="shared" si="8"/>
        <v>-6.3</v>
      </c>
      <c r="M29" s="24">
        <f>IFERROR(100/'Skjema total MA'!I29*K29,0)</f>
        <v>36.971692756242739</v>
      </c>
      <c r="N29" s="148"/>
    </row>
    <row r="30" spans="1:14" s="3" customFormat="1" ht="15.75" x14ac:dyDescent="0.2">
      <c r="A30" s="507" t="s">
        <v>351</v>
      </c>
      <c r="B30" s="286">
        <v>5622051</v>
      </c>
      <c r="C30" s="286">
        <v>5391261</v>
      </c>
      <c r="D30" s="166">
        <f t="shared" si="5"/>
        <v>-4.0999999999999996</v>
      </c>
      <c r="E30" s="11">
        <f>IFERROR(100/'Skjema total MA'!C30*C30,0)</f>
        <v>30.909248353561591</v>
      </c>
      <c r="F30" s="294">
        <v>1469347.6029999999</v>
      </c>
      <c r="G30" s="294">
        <v>1399100.8759999999</v>
      </c>
      <c r="H30" s="166">
        <f t="shared" si="6"/>
        <v>-4.8</v>
      </c>
      <c r="I30" s="414">
        <f>IFERROR(100/'Skjema total MA'!F30*G30,0)</f>
        <v>39.964934456495321</v>
      </c>
      <c r="J30" s="294">
        <f t="shared" ref="J30:J32" si="11">SUM(B30,F30)</f>
        <v>7091398.6030000001</v>
      </c>
      <c r="K30" s="294">
        <f t="shared" ref="K30:K32" si="12">SUM(C30,G30)</f>
        <v>6790361.8760000002</v>
      </c>
      <c r="L30" s="166">
        <f t="shared" si="8"/>
        <v>-4.2</v>
      </c>
      <c r="M30" s="23">
        <f>IFERROR(100/'Skjema total MA'!I30*K30,0)</f>
        <v>32.422988782063484</v>
      </c>
      <c r="N30" s="148"/>
    </row>
    <row r="31" spans="1:14" s="3" customFormat="1" ht="15.75" x14ac:dyDescent="0.2">
      <c r="A31" s="507" t="s">
        <v>352</v>
      </c>
      <c r="B31" s="286">
        <v>15120001</v>
      </c>
      <c r="C31" s="286">
        <v>13868014</v>
      </c>
      <c r="D31" s="166">
        <f t="shared" si="5"/>
        <v>-8.3000000000000007</v>
      </c>
      <c r="E31" s="11">
        <f>IFERROR(100/'Skjema total MA'!C31*C31,0)</f>
        <v>57.974088835106492</v>
      </c>
      <c r="F31" s="294">
        <v>2750585.9190000002</v>
      </c>
      <c r="G31" s="294">
        <v>2579986.5210000002</v>
      </c>
      <c r="H31" s="166">
        <f t="shared" si="6"/>
        <v>-6.2</v>
      </c>
      <c r="I31" s="414">
        <f>IFERROR(100/'Skjema total MA'!F31*G31,0)</f>
        <v>33.773429976441768</v>
      </c>
      <c r="J31" s="294">
        <f t="shared" si="11"/>
        <v>17870586.919</v>
      </c>
      <c r="K31" s="294">
        <f t="shared" si="12"/>
        <v>16448000.521</v>
      </c>
      <c r="L31" s="166">
        <f t="shared" si="8"/>
        <v>-8</v>
      </c>
      <c r="M31" s="23">
        <f>IFERROR(100/'Skjema total MA'!I31*K31,0)</f>
        <v>52.116345954624606</v>
      </c>
      <c r="N31" s="148"/>
    </row>
    <row r="32" spans="1:14" ht="15.75" x14ac:dyDescent="0.2">
      <c r="A32" s="507" t="s">
        <v>353</v>
      </c>
      <c r="B32" s="286">
        <v>1749772.42745572</v>
      </c>
      <c r="C32" s="286">
        <v>1756625.94522347</v>
      </c>
      <c r="D32" s="166">
        <f t="shared" si="5"/>
        <v>0.4</v>
      </c>
      <c r="E32" s="11">
        <f>IFERROR(100/'Skjema total MA'!C32*C32,0)</f>
        <v>70.122485947932333</v>
      </c>
      <c r="F32" s="294">
        <v>500215.62199999997</v>
      </c>
      <c r="G32" s="294">
        <v>494623.43900000001</v>
      </c>
      <c r="H32" s="166">
        <f t="shared" si="6"/>
        <v>-1.1000000000000001</v>
      </c>
      <c r="I32" s="414">
        <f>IFERROR(100/'Skjema total MA'!F32*G32,0)</f>
        <v>8.978526873067608</v>
      </c>
      <c r="J32" s="294">
        <f t="shared" si="11"/>
        <v>2249988.04945572</v>
      </c>
      <c r="K32" s="294">
        <f t="shared" si="12"/>
        <v>2251249.38422347</v>
      </c>
      <c r="L32" s="166">
        <f t="shared" si="8"/>
        <v>0.1</v>
      </c>
      <c r="M32" s="23">
        <f>IFERROR(100/'Skjema total MA'!I32*K32,0)</f>
        <v>28.091309758770461</v>
      </c>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v>3511.23405</v>
      </c>
      <c r="C34" s="312">
        <v>4467</v>
      </c>
      <c r="D34" s="171">
        <f t="shared" si="5"/>
        <v>27.2</v>
      </c>
      <c r="E34" s="11">
        <f>IFERROR(100/'Skjema total MA'!C34*C34,0)</f>
        <v>51.416183793462331</v>
      </c>
      <c r="F34" s="311">
        <v>-345.51600000000099</v>
      </c>
      <c r="G34" s="312">
        <v>-20618</v>
      </c>
      <c r="H34" s="171">
        <f t="shared" si="6"/>
        <v>999</v>
      </c>
      <c r="I34" s="11">
        <f>IFERROR(100/'Skjema total MA'!F34*G34,0)</f>
        <v>-211.05146285093812</v>
      </c>
      <c r="J34" s="236">
        <f t="shared" si="7"/>
        <v>3165.718049999999</v>
      </c>
      <c r="K34" s="236">
        <f t="shared" si="7"/>
        <v>-16151</v>
      </c>
      <c r="L34" s="425">
        <f t="shared" si="8"/>
        <v>-610.20000000000005</v>
      </c>
      <c r="M34" s="24">
        <f>IFERROR(100/'Skjema total MA'!I34*K34,0)</f>
        <v>-87.505586628415614</v>
      </c>
    </row>
    <row r="35" spans="1:14" ht="15.75" x14ac:dyDescent="0.2">
      <c r="A35" s="13" t="s">
        <v>350</v>
      </c>
      <c r="B35" s="236">
        <v>-467.99632000000003</v>
      </c>
      <c r="C35" s="312">
        <v>-21920</v>
      </c>
      <c r="D35" s="171">
        <f t="shared" si="5"/>
        <v>999</v>
      </c>
      <c r="E35" s="11">
        <f>IFERROR(100/'Skjema total MA'!C35*C35,0)</f>
        <v>99.999999999999986</v>
      </c>
      <c r="F35" s="311">
        <v>2743.4409999999998</v>
      </c>
      <c r="G35" s="312">
        <v>808</v>
      </c>
      <c r="H35" s="171">
        <f t="shared" si="6"/>
        <v>-70.5</v>
      </c>
      <c r="I35" s="11">
        <f>IFERROR(100/'Skjema total MA'!F35*G35,0)</f>
        <v>1.9712754788499249</v>
      </c>
      <c r="J35" s="236">
        <f t="shared" si="7"/>
        <v>2275.4446799999996</v>
      </c>
      <c r="K35" s="236">
        <f t="shared" si="7"/>
        <v>-21112</v>
      </c>
      <c r="L35" s="425">
        <f t="shared" si="8"/>
        <v>-999</v>
      </c>
      <c r="M35" s="24">
        <f>IFERROR(100/'Skjema total MA'!I35*K35,0)</f>
        <v>-110.71552226823759</v>
      </c>
    </row>
    <row r="36" spans="1:14" ht="15.75" x14ac:dyDescent="0.2">
      <c r="A36" s="12" t="s">
        <v>277</v>
      </c>
      <c r="B36" s="236">
        <v>1004.7054000000001</v>
      </c>
      <c r="C36" s="312">
        <v>325</v>
      </c>
      <c r="D36" s="171">
        <f t="shared" si="5"/>
        <v>-67.7</v>
      </c>
      <c r="E36" s="11">
        <f>IFERROR(100/'Skjema total MA'!C36*C36,0)</f>
        <v>90.561537261196193</v>
      </c>
      <c r="F36" s="322"/>
      <c r="G36" s="323"/>
      <c r="H36" s="171"/>
      <c r="I36" s="431"/>
      <c r="J36" s="236">
        <f t="shared" ref="J36:J37" si="13">SUM(B36,F36)</f>
        <v>1004.7054000000001</v>
      </c>
      <c r="K36" s="236">
        <f t="shared" ref="K36:K37" si="14">SUM(C36,G36)</f>
        <v>325</v>
      </c>
      <c r="L36" s="425">
        <f t="shared" si="8"/>
        <v>-67.7</v>
      </c>
      <c r="M36" s="24">
        <f>IFERROR(100/'Skjema total MA'!I36*K36,0)</f>
        <v>90.561537261196193</v>
      </c>
    </row>
    <row r="37" spans="1:14" ht="15.75" x14ac:dyDescent="0.2">
      <c r="A37" s="12" t="s">
        <v>356</v>
      </c>
      <c r="B37" s="236">
        <v>2673642</v>
      </c>
      <c r="C37" s="312">
        <v>2436291</v>
      </c>
      <c r="D37" s="171">
        <f t="shared" si="5"/>
        <v>-8.9</v>
      </c>
      <c r="E37" s="11">
        <f>IFERROR(100/'Skjema total MA'!C37*C37,0)</f>
        <v>85.302173079385469</v>
      </c>
      <c r="F37" s="322"/>
      <c r="G37" s="324"/>
      <c r="H37" s="171"/>
      <c r="I37" s="431"/>
      <c r="J37" s="236">
        <f t="shared" si="13"/>
        <v>2673642</v>
      </c>
      <c r="K37" s="236">
        <f t="shared" si="14"/>
        <v>2436291</v>
      </c>
      <c r="L37" s="425">
        <f t="shared" si="8"/>
        <v>-8.9</v>
      </c>
      <c r="M37" s="24">
        <f>IFERROR(100/'Skjema total MA'!I37*K37,0)</f>
        <v>85.302173079385469</v>
      </c>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v>2</v>
      </c>
      <c r="C39" s="318">
        <v>7</v>
      </c>
      <c r="D39" s="169">
        <f t="shared" si="5"/>
        <v>250</v>
      </c>
      <c r="E39" s="36">
        <f>IFERROR(100/'Skjema total MA'!C38*C39,0)</f>
        <v>0</v>
      </c>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324006.49099999998</v>
      </c>
      <c r="C47" s="314">
        <v>285530.24400000001</v>
      </c>
      <c r="D47" s="424">
        <f t="shared" ref="D47:D57" si="15">IF(B47=0, "    ---- ", IF(ABS(ROUND(100/B47*C47-100,1))&lt;999,ROUND(100/B47*C47-100,1),IF(ROUND(100/B47*C47-100,1)&gt;999,999,-999)))</f>
        <v>-11.9</v>
      </c>
      <c r="E47" s="11">
        <f>IFERROR(100/'Skjema total MA'!C47*C47,0)</f>
        <v>7.6410464029577509</v>
      </c>
      <c r="F47" s="145"/>
      <c r="G47" s="33"/>
      <c r="H47" s="159"/>
      <c r="I47" s="159"/>
      <c r="J47" s="37"/>
      <c r="K47" s="37"/>
      <c r="L47" s="159"/>
      <c r="M47" s="159"/>
      <c r="N47" s="148"/>
    </row>
    <row r="48" spans="1:14" s="3" customFormat="1" ht="15.75" x14ac:dyDescent="0.2">
      <c r="A48" s="38" t="s">
        <v>359</v>
      </c>
      <c r="B48" s="286">
        <v>324006.49099999998</v>
      </c>
      <c r="C48" s="287">
        <v>285530.24400000001</v>
      </c>
      <c r="D48" s="259">
        <f t="shared" si="15"/>
        <v>-11.9</v>
      </c>
      <c r="E48" s="27">
        <f>IFERROR(100/'Skjema total MA'!C48*C48,0)</f>
        <v>14.140946375357009</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4800</v>
      </c>
      <c r="C53" s="314">
        <v>17700</v>
      </c>
      <c r="D53" s="425">
        <f t="shared" si="15"/>
        <v>268.8</v>
      </c>
      <c r="E53" s="11">
        <f>IFERROR(100/'Skjema total MA'!C53*C53,0)</f>
        <v>17.931508869506807</v>
      </c>
      <c r="F53" s="145"/>
      <c r="G53" s="33"/>
      <c r="H53" s="145"/>
      <c r="I53" s="145"/>
      <c r="J53" s="33"/>
      <c r="K53" s="33"/>
      <c r="L53" s="159"/>
      <c r="M53" s="159"/>
      <c r="N53" s="148"/>
    </row>
    <row r="54" spans="1:14" s="3" customFormat="1" ht="15.75" x14ac:dyDescent="0.2">
      <c r="A54" s="38" t="s">
        <v>359</v>
      </c>
      <c r="B54" s="286">
        <v>4800</v>
      </c>
      <c r="C54" s="287">
        <v>17700</v>
      </c>
      <c r="D54" s="259">
        <f t="shared" si="15"/>
        <v>268.8</v>
      </c>
      <c r="E54" s="27">
        <f>IFERROR(100/'Skjema total MA'!C54*C54,0)</f>
        <v>18.105022571593015</v>
      </c>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v>18000</v>
      </c>
      <c r="C56" s="314">
        <v>35600</v>
      </c>
      <c r="D56" s="425">
        <f t="shared" si="15"/>
        <v>97.8</v>
      </c>
      <c r="E56" s="11">
        <f>IFERROR(100/'Skjema total MA'!C56*C56,0)</f>
        <v>59.784699845876396</v>
      </c>
      <c r="F56" s="145"/>
      <c r="G56" s="33"/>
      <c r="H56" s="145"/>
      <c r="I56" s="145"/>
      <c r="J56" s="33"/>
      <c r="K56" s="33"/>
      <c r="L56" s="159"/>
      <c r="M56" s="159"/>
      <c r="N56" s="148"/>
    </row>
    <row r="57" spans="1:14" s="3" customFormat="1" ht="15.75" x14ac:dyDescent="0.2">
      <c r="A57" s="38" t="s">
        <v>359</v>
      </c>
      <c r="B57" s="286">
        <v>18000</v>
      </c>
      <c r="C57" s="287">
        <v>35600</v>
      </c>
      <c r="D57" s="259">
        <f t="shared" si="15"/>
        <v>97.8</v>
      </c>
      <c r="E57" s="27">
        <f>IFERROR(100/'Skjema total MA'!C57*C57,0)</f>
        <v>59.784699845876396</v>
      </c>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v>765374.07400000002</v>
      </c>
      <c r="C66" s="355">
        <v>780086</v>
      </c>
      <c r="D66" s="352">
        <f t="shared" ref="D66:D111" si="16">IF(B66=0, "    ---- ", IF(ABS(ROUND(100/B66*C66-100,1))&lt;999,ROUND(100/B66*C66-100,1),IF(ROUND(100/B66*C66-100,1)&gt;999,999,-999)))</f>
        <v>1.9</v>
      </c>
      <c r="E66" s="11">
        <f>IFERROR(100/'Skjema total MA'!C66*C66,0)</f>
        <v>24.968984529242242</v>
      </c>
      <c r="F66" s="354">
        <v>2769132.2969999998</v>
      </c>
      <c r="G66" s="354">
        <v>3315699</v>
      </c>
      <c r="H66" s="352">
        <f t="shared" ref="H66:H111" si="17">IF(F66=0, "    ---- ", IF(ABS(ROUND(100/F66*G66-100,1))&lt;999,ROUND(100/F66*G66-100,1),IF(ROUND(100/F66*G66-100,1)&gt;999,999,-999)))</f>
        <v>19.7</v>
      </c>
      <c r="I66" s="11">
        <f>IFERROR(100/'Skjema total MA'!F66*G66,0)</f>
        <v>27.403863814020553</v>
      </c>
      <c r="J66" s="312">
        <f t="shared" ref="J66:K86" si="18">SUM(B66,F66)</f>
        <v>3534506.3709999998</v>
      </c>
      <c r="K66" s="319">
        <f t="shared" si="18"/>
        <v>4095785</v>
      </c>
      <c r="L66" s="425">
        <f t="shared" ref="L66:L111" si="19">IF(J66=0, "    ---- ", IF(ABS(ROUND(100/J66*K66-100,1))&lt;999,ROUND(100/J66*K66-100,1),IF(ROUND(100/J66*K66-100,1)&gt;999,999,-999)))</f>
        <v>15.9</v>
      </c>
      <c r="M66" s="11">
        <f>IFERROR(100/'Skjema total MA'!I66*K66,0)</f>
        <v>26.904172809743983</v>
      </c>
    </row>
    <row r="67" spans="1:14" x14ac:dyDescent="0.2">
      <c r="A67" s="21" t="s">
        <v>9</v>
      </c>
      <c r="B67" s="44">
        <v>684376</v>
      </c>
      <c r="C67" s="145">
        <v>678177</v>
      </c>
      <c r="D67" s="166">
        <f t="shared" si="16"/>
        <v>-0.9</v>
      </c>
      <c r="E67" s="27">
        <f>IFERROR(100/'Skjema total MA'!C67*C67,0)</f>
        <v>29.770221723700303</v>
      </c>
      <c r="F67" s="234"/>
      <c r="G67" s="145"/>
      <c r="H67" s="166"/>
      <c r="I67" s="27"/>
      <c r="J67" s="292">
        <f t="shared" si="18"/>
        <v>684376</v>
      </c>
      <c r="K67" s="44">
        <f t="shared" si="18"/>
        <v>678177</v>
      </c>
      <c r="L67" s="259">
        <f t="shared" si="19"/>
        <v>-0.9</v>
      </c>
      <c r="M67" s="27">
        <f>IFERROR(100/'Skjema total MA'!I67*K67,0)</f>
        <v>29.770221723700303</v>
      </c>
    </row>
    <row r="68" spans="1:14" x14ac:dyDescent="0.2">
      <c r="A68" s="21" t="s">
        <v>10</v>
      </c>
      <c r="B68" s="296"/>
      <c r="C68" s="297"/>
      <c r="D68" s="166"/>
      <c r="E68" s="27"/>
      <c r="F68" s="296">
        <v>2769132.2969999998</v>
      </c>
      <c r="G68" s="297">
        <v>3315699</v>
      </c>
      <c r="H68" s="166">
        <f t="shared" si="17"/>
        <v>19.7</v>
      </c>
      <c r="I68" s="27">
        <f>IFERROR(100/'Skjema total MA'!F68*G68,0)</f>
        <v>28.824458480553801</v>
      </c>
      <c r="J68" s="292">
        <f t="shared" si="18"/>
        <v>2769132.2969999998</v>
      </c>
      <c r="K68" s="44">
        <f t="shared" si="18"/>
        <v>3315699</v>
      </c>
      <c r="L68" s="259">
        <f t="shared" si="19"/>
        <v>19.7</v>
      </c>
      <c r="M68" s="27">
        <f>IFERROR(100/'Skjema total MA'!I68*K68,0)</f>
        <v>28.797562004808796</v>
      </c>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v>80998.073999999993</v>
      </c>
      <c r="C76" s="145">
        <v>101909</v>
      </c>
      <c r="D76" s="166">
        <f t="shared" ref="D76" si="20">IF(B76=0, "    ---- ", IF(ABS(ROUND(100/B76*C76-100,1))&lt;999,ROUND(100/B76*C76-100,1),IF(ROUND(100/B76*C76-100,1)&gt;999,999,-999)))</f>
        <v>25.8</v>
      </c>
      <c r="E76" s="27">
        <f>IFERROR(100/'Skjema total MA'!C77*C76,0)</f>
        <v>4.6020849433858793</v>
      </c>
      <c r="F76" s="234"/>
      <c r="G76" s="145"/>
      <c r="H76" s="166"/>
      <c r="I76" s="27"/>
      <c r="J76" s="292">
        <f t="shared" ref="J76" si="21">SUM(B76,F76)</f>
        <v>80998.073999999993</v>
      </c>
      <c r="K76" s="44">
        <f t="shared" ref="K76" si="22">SUM(C76,G76)</f>
        <v>101909</v>
      </c>
      <c r="L76" s="259">
        <f t="shared" ref="L76" si="23">IF(J76=0, "    ---- ", IF(ABS(ROUND(100/J76*K76-100,1))&lt;999,ROUND(100/J76*K76-100,1),IF(ROUND(100/J76*K76-100,1)&gt;999,999,-999)))</f>
        <v>25.8</v>
      </c>
      <c r="M76" s="27">
        <f>IFERROR(100/'Skjema total MA'!I77*K76,0)</f>
        <v>0.74311785423238741</v>
      </c>
      <c r="N76" s="148"/>
    </row>
    <row r="77" spans="1:14" ht="15.75" x14ac:dyDescent="0.2">
      <c r="A77" s="21" t="s">
        <v>365</v>
      </c>
      <c r="B77" s="234">
        <v>661214</v>
      </c>
      <c r="C77" s="234">
        <v>651962</v>
      </c>
      <c r="D77" s="166">
        <f t="shared" si="16"/>
        <v>-1.4</v>
      </c>
      <c r="E77" s="27">
        <f>IFERROR(100/'Skjema total MA'!C77*C77,0)</f>
        <v>29.441801056430194</v>
      </c>
      <c r="F77" s="234">
        <v>2769132.2969999998</v>
      </c>
      <c r="G77" s="145">
        <v>3315699</v>
      </c>
      <c r="H77" s="166">
        <f t="shared" si="17"/>
        <v>19.7</v>
      </c>
      <c r="I77" s="27">
        <f>IFERROR(100/'Skjema total MA'!F77*G77,0)</f>
        <v>28.833928009868348</v>
      </c>
      <c r="J77" s="292">
        <f t="shared" si="18"/>
        <v>3430346.2969999998</v>
      </c>
      <c r="K77" s="44">
        <f t="shared" si="18"/>
        <v>3967661</v>
      </c>
      <c r="L77" s="259">
        <f t="shared" si="19"/>
        <v>15.7</v>
      </c>
      <c r="M77" s="27">
        <f>IFERROR(100/'Skjema total MA'!I77*K77,0)</f>
        <v>28.932083806548281</v>
      </c>
    </row>
    <row r="78" spans="1:14" x14ac:dyDescent="0.2">
      <c r="A78" s="21" t="s">
        <v>9</v>
      </c>
      <c r="B78" s="234">
        <v>661214</v>
      </c>
      <c r="C78" s="145">
        <v>651962</v>
      </c>
      <c r="D78" s="166">
        <f t="shared" si="16"/>
        <v>-1.4</v>
      </c>
      <c r="E78" s="27">
        <f>IFERROR(100/'Skjema total MA'!C78*C78,0)</f>
        <v>29.585340832528377</v>
      </c>
      <c r="F78" s="234"/>
      <c r="G78" s="145"/>
      <c r="H78" s="166"/>
      <c r="I78" s="27"/>
      <c r="J78" s="292">
        <f t="shared" si="18"/>
        <v>661214</v>
      </c>
      <c r="K78" s="44">
        <f t="shared" si="18"/>
        <v>651962</v>
      </c>
      <c r="L78" s="259">
        <f t="shared" si="19"/>
        <v>-1.4</v>
      </c>
      <c r="M78" s="27">
        <f>IFERROR(100/'Skjema total MA'!I78*K78,0)</f>
        <v>29.585340832528377</v>
      </c>
    </row>
    <row r="79" spans="1:14" x14ac:dyDescent="0.2">
      <c r="A79" s="38" t="s">
        <v>399</v>
      </c>
      <c r="B79" s="296"/>
      <c r="C79" s="297"/>
      <c r="D79" s="166"/>
      <c r="E79" s="27"/>
      <c r="F79" s="296">
        <v>2769132.2969999998</v>
      </c>
      <c r="G79" s="297">
        <v>3315699</v>
      </c>
      <c r="H79" s="166">
        <f t="shared" si="17"/>
        <v>19.7</v>
      </c>
      <c r="I79" s="27">
        <f>IFERROR(100/'Skjema total MA'!F79*G79,0)</f>
        <v>28.833928009868348</v>
      </c>
      <c r="J79" s="292">
        <f t="shared" si="18"/>
        <v>2769132.2969999998</v>
      </c>
      <c r="K79" s="44">
        <f t="shared" si="18"/>
        <v>3315699</v>
      </c>
      <c r="L79" s="259">
        <f t="shared" si="19"/>
        <v>19.7</v>
      </c>
      <c r="M79" s="27">
        <f>IFERROR(100/'Skjema total MA'!I79*K79,0)</f>
        <v>28.807013867189958</v>
      </c>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v>23162.027999999998</v>
      </c>
      <c r="C86" s="145">
        <v>26215.026000000002</v>
      </c>
      <c r="D86" s="166">
        <f t="shared" si="16"/>
        <v>13.2</v>
      </c>
      <c r="E86" s="27">
        <f>IFERROR(100/'Skjema total MA'!C86*C86,0)</f>
        <v>35.248241630134153</v>
      </c>
      <c r="F86" s="234"/>
      <c r="G86" s="145"/>
      <c r="H86" s="166"/>
      <c r="I86" s="27"/>
      <c r="J86" s="292">
        <f t="shared" si="18"/>
        <v>23162.027999999998</v>
      </c>
      <c r="K86" s="44">
        <f t="shared" si="18"/>
        <v>26215.026000000002</v>
      </c>
      <c r="L86" s="259">
        <f t="shared" si="19"/>
        <v>13.2</v>
      </c>
      <c r="M86" s="27">
        <f>IFERROR(100/'Skjema total MA'!I86*K86,0)</f>
        <v>33.544338426666719</v>
      </c>
    </row>
    <row r="87" spans="1:13" ht="15.75" x14ac:dyDescent="0.2">
      <c r="A87" s="13" t="s">
        <v>348</v>
      </c>
      <c r="B87" s="355">
        <v>157529240.91411</v>
      </c>
      <c r="C87" s="355">
        <v>154112852</v>
      </c>
      <c r="D87" s="171">
        <f t="shared" si="16"/>
        <v>-2.2000000000000002</v>
      </c>
      <c r="E87" s="11">
        <f>IFERROR(100/'Skjema total MA'!C87*C87,0)</f>
        <v>38.740699536893125</v>
      </c>
      <c r="F87" s="354">
        <v>125182460.16500001</v>
      </c>
      <c r="G87" s="354">
        <v>134476027</v>
      </c>
      <c r="H87" s="171">
        <f t="shared" si="17"/>
        <v>7.4</v>
      </c>
      <c r="I87" s="11">
        <f>IFERROR(100/'Skjema total MA'!F87*G87,0)</f>
        <v>28.27122003979748</v>
      </c>
      <c r="J87" s="312">
        <f t="shared" ref="J87:K111" si="24">SUM(B87,F87)</f>
        <v>282711701.07911003</v>
      </c>
      <c r="K87" s="236">
        <f t="shared" si="24"/>
        <v>288588879</v>
      </c>
      <c r="L87" s="425">
        <f t="shared" si="19"/>
        <v>2.1</v>
      </c>
      <c r="M87" s="11">
        <f>IFERROR(100/'Skjema total MA'!I87*K87,0)</f>
        <v>33.039353967461189</v>
      </c>
    </row>
    <row r="88" spans="1:13" x14ac:dyDescent="0.2">
      <c r="A88" s="21" t="s">
        <v>9</v>
      </c>
      <c r="B88" s="234">
        <v>157386198</v>
      </c>
      <c r="C88" s="145">
        <v>153971399</v>
      </c>
      <c r="D88" s="166">
        <f t="shared" si="16"/>
        <v>-2.2000000000000002</v>
      </c>
      <c r="E88" s="27">
        <f>IFERROR(100/'Skjema total MA'!C88*C88,0)</f>
        <v>40.25070548411049</v>
      </c>
      <c r="F88" s="234"/>
      <c r="G88" s="145"/>
      <c r="H88" s="166"/>
      <c r="I88" s="27"/>
      <c r="J88" s="292">
        <f t="shared" si="24"/>
        <v>157386198</v>
      </c>
      <c r="K88" s="44">
        <f t="shared" si="24"/>
        <v>153971399</v>
      </c>
      <c r="L88" s="259">
        <f t="shared" si="19"/>
        <v>-2.2000000000000002</v>
      </c>
      <c r="M88" s="27">
        <f>IFERROR(100/'Skjema total MA'!I88*K88,0)</f>
        <v>40.25070548411049</v>
      </c>
    </row>
    <row r="89" spans="1:13" x14ac:dyDescent="0.2">
      <c r="A89" s="21" t="s">
        <v>10</v>
      </c>
      <c r="B89" s="234">
        <v>90595</v>
      </c>
      <c r="C89" s="145">
        <v>88164</v>
      </c>
      <c r="D89" s="166">
        <f t="shared" si="16"/>
        <v>-2.7</v>
      </c>
      <c r="E89" s="27">
        <f>IFERROR(100/'Skjema total MA'!C89*C89,0)</f>
        <v>3.9457658160684432</v>
      </c>
      <c r="F89" s="234">
        <v>125182460.16500001</v>
      </c>
      <c r="G89" s="145">
        <v>134476027</v>
      </c>
      <c r="H89" s="166">
        <f t="shared" si="17"/>
        <v>7.4</v>
      </c>
      <c r="I89" s="27">
        <f>IFERROR(100/'Skjema total MA'!F89*G89,0)</f>
        <v>28.646054642475978</v>
      </c>
      <c r="J89" s="292">
        <f t="shared" si="24"/>
        <v>125273055.16500001</v>
      </c>
      <c r="K89" s="44">
        <f t="shared" si="24"/>
        <v>134564191</v>
      </c>
      <c r="L89" s="259">
        <f t="shared" si="19"/>
        <v>7.4</v>
      </c>
      <c r="M89" s="27">
        <f>IFERROR(100/'Skjema total MA'!I89*K89,0)</f>
        <v>28.529045512924309</v>
      </c>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v>52447.914109999998</v>
      </c>
      <c r="C97" s="145">
        <v>53289</v>
      </c>
      <c r="D97" s="166">
        <f t="shared" ref="D97" si="25">IF(B97=0, "    ---- ", IF(ABS(ROUND(100/B97*C97-100,1))&lt;999,ROUND(100/B97*C97-100,1),IF(ROUND(100/B97*C97-100,1)&gt;999,999,-999)))</f>
        <v>1.6</v>
      </c>
      <c r="E97" s="27">
        <f>IFERROR(100/'Skjema total MA'!C98*C97,0)</f>
        <v>1.4009927651866804E-2</v>
      </c>
      <c r="F97" s="234"/>
      <c r="G97" s="145"/>
      <c r="H97" s="166"/>
      <c r="I97" s="27"/>
      <c r="J97" s="292">
        <f t="shared" ref="J97" si="26">SUM(B97,F97)</f>
        <v>52447.914109999998</v>
      </c>
      <c r="K97" s="44">
        <f t="shared" ref="K97" si="27">SUM(C97,G97)</f>
        <v>53289</v>
      </c>
      <c r="L97" s="259">
        <f t="shared" ref="L97" si="28">IF(J97=0, "    ---- ", IF(ABS(ROUND(100/J97*K97-100,1))&lt;999,ROUND(100/J97*K97-100,1),IF(ROUND(100/J97*K97-100,1)&gt;999,999,-999)))</f>
        <v>1.6</v>
      </c>
      <c r="M97" s="27">
        <f>IFERROR(100/'Skjema total MA'!I98*K97,0)</f>
        <v>6.2721582555334172E-3</v>
      </c>
    </row>
    <row r="98" spans="1:13" ht="15.75" x14ac:dyDescent="0.2">
      <c r="A98" s="21" t="s">
        <v>365</v>
      </c>
      <c r="B98" s="234">
        <v>156345865.03589001</v>
      </c>
      <c r="C98" s="234">
        <v>152929809</v>
      </c>
      <c r="D98" s="166">
        <f t="shared" si="16"/>
        <v>-2.2000000000000002</v>
      </c>
      <c r="E98" s="27">
        <f>IFERROR(100/'Skjema total MA'!C98*C98,0)</f>
        <v>40.205962954902681</v>
      </c>
      <c r="F98" s="296">
        <v>125087950.20999999</v>
      </c>
      <c r="G98" s="296">
        <v>134384341</v>
      </c>
      <c r="H98" s="166">
        <f t="shared" si="17"/>
        <v>7.4</v>
      </c>
      <c r="I98" s="27">
        <f>IFERROR(100/'Skjema total MA'!F98*G98,0)</f>
        <v>28.638364548802894</v>
      </c>
      <c r="J98" s="292">
        <f t="shared" si="24"/>
        <v>281433815.24589002</v>
      </c>
      <c r="K98" s="44">
        <f t="shared" si="24"/>
        <v>287314150</v>
      </c>
      <c r="L98" s="259">
        <f t="shared" si="19"/>
        <v>2.1</v>
      </c>
      <c r="M98" s="27">
        <f>IFERROR(100/'Skjema total MA'!I98*K98,0)</f>
        <v>33.81710705500322</v>
      </c>
    </row>
    <row r="99" spans="1:13" x14ac:dyDescent="0.2">
      <c r="A99" s="21" t="s">
        <v>9</v>
      </c>
      <c r="B99" s="296">
        <v>156255270.03589001</v>
      </c>
      <c r="C99" s="297">
        <v>152841645</v>
      </c>
      <c r="D99" s="166">
        <f t="shared" si="16"/>
        <v>-2.2000000000000002</v>
      </c>
      <c r="E99" s="27">
        <f>IFERROR(100/'Skjema total MA'!C99*C99,0)</f>
        <v>40.420225951497173</v>
      </c>
      <c r="F99" s="234"/>
      <c r="G99" s="145"/>
      <c r="H99" s="166"/>
      <c r="I99" s="27"/>
      <c r="J99" s="292">
        <f t="shared" si="24"/>
        <v>156255270.03589001</v>
      </c>
      <c r="K99" s="44">
        <f t="shared" si="24"/>
        <v>152841645</v>
      </c>
      <c r="L99" s="259">
        <f t="shared" si="19"/>
        <v>-2.2000000000000002</v>
      </c>
      <c r="M99" s="27">
        <f>IFERROR(100/'Skjema total MA'!I99*K99,0)</f>
        <v>40.420225951497173</v>
      </c>
    </row>
    <row r="100" spans="1:13" x14ac:dyDescent="0.2">
      <c r="A100" s="38" t="s">
        <v>399</v>
      </c>
      <c r="B100" s="296">
        <v>90595</v>
      </c>
      <c r="C100" s="297">
        <v>88164</v>
      </c>
      <c r="D100" s="166">
        <f t="shared" si="16"/>
        <v>-2.7</v>
      </c>
      <c r="E100" s="27">
        <f>IFERROR(100/'Skjema total MA'!C100*C100,0)</f>
        <v>3.9457658160684432</v>
      </c>
      <c r="F100" s="234">
        <v>125087950.20999999</v>
      </c>
      <c r="G100" s="234">
        <v>134384341</v>
      </c>
      <c r="H100" s="166">
        <f t="shared" si="17"/>
        <v>7.4</v>
      </c>
      <c r="I100" s="27">
        <f>IFERROR(100/'Skjema total MA'!F100*G100,0)</f>
        <v>28.638364548802894</v>
      </c>
      <c r="J100" s="292">
        <f t="shared" si="24"/>
        <v>125178545.20999999</v>
      </c>
      <c r="K100" s="44">
        <f t="shared" si="24"/>
        <v>134472505</v>
      </c>
      <c r="L100" s="259">
        <f t="shared" si="19"/>
        <v>7.4</v>
      </c>
      <c r="M100" s="27">
        <f>IFERROR(100/'Skjema total MA'!I100*K100,0)</f>
        <v>28.521343694101855</v>
      </c>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v>1130928.05</v>
      </c>
      <c r="C107" s="145">
        <v>1129754</v>
      </c>
      <c r="D107" s="166">
        <f t="shared" si="16"/>
        <v>-0.1</v>
      </c>
      <c r="E107" s="27">
        <f>IFERROR(100/'Skjema total MA'!C107*C107,0)</f>
        <v>25.680092914622865</v>
      </c>
      <c r="F107" s="234">
        <v>94509.953999999998</v>
      </c>
      <c r="G107" s="145">
        <v>91686</v>
      </c>
      <c r="H107" s="166">
        <f t="shared" si="17"/>
        <v>-3</v>
      </c>
      <c r="I107" s="27">
        <f>IFERROR(100/'Skjema total MA'!F107*G107,0)</f>
        <v>47.237698161135917</v>
      </c>
      <c r="J107" s="292">
        <f t="shared" si="24"/>
        <v>1225438.004</v>
      </c>
      <c r="K107" s="44">
        <f t="shared" si="24"/>
        <v>1221440</v>
      </c>
      <c r="L107" s="259">
        <f t="shared" si="19"/>
        <v>-0.3</v>
      </c>
      <c r="M107" s="27">
        <f>IFERROR(100/'Skjema total MA'!I107*K107,0)</f>
        <v>26.59100709311452</v>
      </c>
    </row>
    <row r="108" spans="1:13" ht="15.75" x14ac:dyDescent="0.2">
      <c r="A108" s="21" t="s">
        <v>367</v>
      </c>
      <c r="B108" s="234">
        <v>138270107</v>
      </c>
      <c r="C108" s="234">
        <v>134760748</v>
      </c>
      <c r="D108" s="166">
        <f t="shared" si="16"/>
        <v>-2.5</v>
      </c>
      <c r="E108" s="27">
        <f>IFERROR(100/'Skjema total MA'!C108*C108,0)</f>
        <v>41.065999853097019</v>
      </c>
      <c r="F108" s="234">
        <v>886319.29399999999</v>
      </c>
      <c r="G108" s="234">
        <v>992846</v>
      </c>
      <c r="H108" s="166">
        <f t="shared" si="17"/>
        <v>12</v>
      </c>
      <c r="I108" s="27">
        <f>IFERROR(100/'Skjema total MA'!F108*G108,0)</f>
        <v>4.9047745956771234</v>
      </c>
      <c r="J108" s="292">
        <f t="shared" si="24"/>
        <v>139156426.294</v>
      </c>
      <c r="K108" s="44">
        <f t="shared" si="24"/>
        <v>135753594</v>
      </c>
      <c r="L108" s="259">
        <f t="shared" si="19"/>
        <v>-2.4</v>
      </c>
      <c r="M108" s="27">
        <f>IFERROR(100/'Skjema total MA'!I108*K108,0)</f>
        <v>38.964984868217897</v>
      </c>
    </row>
    <row r="109" spans="1:13" ht="15.75" x14ac:dyDescent="0.2">
      <c r="A109" s="38" t="s">
        <v>407</v>
      </c>
      <c r="B109" s="234">
        <v>90595</v>
      </c>
      <c r="C109" s="234">
        <v>88164</v>
      </c>
      <c r="D109" s="166">
        <f t="shared" si="16"/>
        <v>-2.7</v>
      </c>
      <c r="E109" s="27">
        <f>IFERROR(100/'Skjema total MA'!C109*C109,0)</f>
        <v>4.1984856189462079</v>
      </c>
      <c r="F109" s="234">
        <v>41997129</v>
      </c>
      <c r="G109" s="234">
        <v>49666045</v>
      </c>
      <c r="H109" s="166">
        <f t="shared" si="17"/>
        <v>18.3</v>
      </c>
      <c r="I109" s="27">
        <f>IFERROR(100/'Skjema total MA'!F109*G109,0)</f>
        <v>28.789688553488585</v>
      </c>
      <c r="J109" s="292">
        <f t="shared" si="24"/>
        <v>42087724</v>
      </c>
      <c r="K109" s="44">
        <f t="shared" si="24"/>
        <v>49754209</v>
      </c>
      <c r="L109" s="259">
        <f t="shared" si="19"/>
        <v>18.2</v>
      </c>
      <c r="M109" s="27">
        <f>IFERROR(100/'Skjema total MA'!I109*K109,0)</f>
        <v>28.493954530973259</v>
      </c>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v>84456.405899999998</v>
      </c>
      <c r="C111" s="159">
        <v>28459</v>
      </c>
      <c r="D111" s="171">
        <f t="shared" si="16"/>
        <v>-66.3</v>
      </c>
      <c r="E111" s="11">
        <f>IFERROR(100/'Skjema total MA'!C111*C111,0)</f>
        <v>18.736780059053284</v>
      </c>
      <c r="F111" s="311">
        <v>4025404.95</v>
      </c>
      <c r="G111" s="159">
        <v>2997650</v>
      </c>
      <c r="H111" s="171">
        <f t="shared" si="17"/>
        <v>-25.5</v>
      </c>
      <c r="I111" s="11">
        <f>IFERROR(100/'Skjema total MA'!F111*G111,0)</f>
        <v>24.411134008019893</v>
      </c>
      <c r="J111" s="312">
        <f t="shared" si="24"/>
        <v>4109861.3559000003</v>
      </c>
      <c r="K111" s="236">
        <f t="shared" si="24"/>
        <v>3026109</v>
      </c>
      <c r="L111" s="425">
        <f t="shared" si="19"/>
        <v>-26.4</v>
      </c>
      <c r="M111" s="11">
        <f>IFERROR(100/'Skjema total MA'!I111*K111,0)</f>
        <v>24.341805903410556</v>
      </c>
    </row>
    <row r="112" spans="1:13" x14ac:dyDescent="0.2">
      <c r="A112" s="21" t="s">
        <v>9</v>
      </c>
      <c r="B112" s="234">
        <v>84456.405899999998</v>
      </c>
      <c r="C112" s="145">
        <v>28459</v>
      </c>
      <c r="D112" s="166">
        <f t="shared" ref="D112:D124" si="29">IF(B112=0, "    ---- ", IF(ABS(ROUND(100/B112*C112-100,1))&lt;999,ROUND(100/B112*C112-100,1),IF(ROUND(100/B112*C112-100,1)&gt;999,999,-999)))</f>
        <v>-66.3</v>
      </c>
      <c r="E112" s="27">
        <f>IFERROR(100/'Skjema total MA'!C112*C112,0)</f>
        <v>30.90993901219985</v>
      </c>
      <c r="F112" s="234"/>
      <c r="G112" s="145"/>
      <c r="H112" s="166"/>
      <c r="I112" s="27"/>
      <c r="J112" s="292">
        <f t="shared" ref="J112:K125" si="30">SUM(B112,F112)</f>
        <v>84456.405899999998</v>
      </c>
      <c r="K112" s="44">
        <f t="shared" si="30"/>
        <v>28459</v>
      </c>
      <c r="L112" s="259">
        <f t="shared" ref="L112:L125" si="31">IF(J112=0, "    ---- ", IF(ABS(ROUND(100/J112*K112-100,1))&lt;999,ROUND(100/J112*K112-100,1),IF(ROUND(100/J112*K112-100,1)&gt;999,999,-999)))</f>
        <v>-66.3</v>
      </c>
      <c r="M112" s="27">
        <f>IFERROR(100/'Skjema total MA'!I112*K112,0)</f>
        <v>30.454112888995134</v>
      </c>
    </row>
    <row r="113" spans="1:14" x14ac:dyDescent="0.2">
      <c r="A113" s="21" t="s">
        <v>10</v>
      </c>
      <c r="B113" s="234"/>
      <c r="C113" s="145"/>
      <c r="D113" s="166"/>
      <c r="E113" s="27"/>
      <c r="F113" s="234">
        <v>4025404.95</v>
      </c>
      <c r="G113" s="145">
        <v>2997650</v>
      </c>
      <c r="H113" s="166">
        <f t="shared" ref="H113:H125" si="32">IF(F113=0, "    ---- ", IF(ABS(ROUND(100/F113*G113-100,1))&lt;999,ROUND(100/F113*G113-100,1),IF(ROUND(100/F113*G113-100,1)&gt;999,999,-999)))</f>
        <v>-25.5</v>
      </c>
      <c r="I113" s="27">
        <f>IFERROR(100/'Skjema total MA'!F113*G113,0)</f>
        <v>24.413873805558556</v>
      </c>
      <c r="J113" s="292">
        <f t="shared" si="30"/>
        <v>4025404.95</v>
      </c>
      <c r="K113" s="44">
        <f t="shared" si="30"/>
        <v>2997650</v>
      </c>
      <c r="L113" s="259">
        <f t="shared" si="31"/>
        <v>-25.5</v>
      </c>
      <c r="M113" s="27">
        <f>IFERROR(100/'Skjema total MA'!I113*K113,0)</f>
        <v>24.413664728546514</v>
      </c>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v>15255</v>
      </c>
      <c r="C116" s="234">
        <v>17251</v>
      </c>
      <c r="D116" s="166">
        <f t="shared" si="29"/>
        <v>13.1</v>
      </c>
      <c r="E116" s="27">
        <f>IFERROR(100/'Skjema total MA'!C116*C116,0)</f>
        <v>66.798572970906704</v>
      </c>
      <c r="F116" s="234"/>
      <c r="G116" s="234"/>
      <c r="H116" s="166"/>
      <c r="I116" s="27"/>
      <c r="J116" s="292">
        <f t="shared" si="30"/>
        <v>15255</v>
      </c>
      <c r="K116" s="44">
        <f t="shared" si="30"/>
        <v>17251</v>
      </c>
      <c r="L116" s="259">
        <f t="shared" si="31"/>
        <v>13.1</v>
      </c>
      <c r="M116" s="27">
        <f>IFERROR(100/'Skjema total MA'!I116*K116,0)</f>
        <v>63.414673775413242</v>
      </c>
    </row>
    <row r="117" spans="1:14" ht="15.75" x14ac:dyDescent="0.2">
      <c r="A117" s="38" t="s">
        <v>407</v>
      </c>
      <c r="B117" s="234"/>
      <c r="C117" s="234"/>
      <c r="D117" s="166"/>
      <c r="E117" s="27"/>
      <c r="F117" s="234">
        <v>2413180.0789999999</v>
      </c>
      <c r="G117" s="234">
        <v>2487845</v>
      </c>
      <c r="H117" s="166">
        <f t="shared" si="32"/>
        <v>3.1</v>
      </c>
      <c r="I117" s="27">
        <f>IFERROR(100/'Skjema total MA'!F117*G117,0)</f>
        <v>38.327803916735171</v>
      </c>
      <c r="J117" s="292">
        <f t="shared" si="30"/>
        <v>2413180.0789999999</v>
      </c>
      <c r="K117" s="44">
        <f t="shared" si="30"/>
        <v>2487845</v>
      </c>
      <c r="L117" s="259">
        <f t="shared" si="31"/>
        <v>3.1</v>
      </c>
      <c r="M117" s="27">
        <f>IFERROR(100/'Skjema total MA'!I117*K117,0)</f>
        <v>38.327183026177856</v>
      </c>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v>56235.062449999998</v>
      </c>
      <c r="C119" s="159">
        <v>33305</v>
      </c>
      <c r="D119" s="171">
        <f t="shared" si="29"/>
        <v>-40.799999999999997</v>
      </c>
      <c r="E119" s="11">
        <f>IFERROR(100/'Skjema total MA'!C119*C119,0)</f>
        <v>23.598769176061857</v>
      </c>
      <c r="F119" s="311">
        <v>3921453.2820000001</v>
      </c>
      <c r="G119" s="159">
        <v>3928998</v>
      </c>
      <c r="H119" s="171">
        <f t="shared" si="32"/>
        <v>0.2</v>
      </c>
      <c r="I119" s="11">
        <f>IFERROR(100/'Skjema total MA'!F119*G119,0)</f>
        <v>30.243469353501819</v>
      </c>
      <c r="J119" s="312">
        <f t="shared" si="30"/>
        <v>3977688.3444500002</v>
      </c>
      <c r="K119" s="236">
        <f t="shared" si="30"/>
        <v>3962303</v>
      </c>
      <c r="L119" s="425">
        <f t="shared" si="31"/>
        <v>-0.4</v>
      </c>
      <c r="M119" s="11">
        <f>IFERROR(100/'Skjema total MA'!I119*K119,0)</f>
        <v>30.172060384956112</v>
      </c>
    </row>
    <row r="120" spans="1:14" x14ac:dyDescent="0.2">
      <c r="A120" s="21" t="s">
        <v>9</v>
      </c>
      <c r="B120" s="234">
        <v>56235.062449999998</v>
      </c>
      <c r="C120" s="145">
        <v>33305</v>
      </c>
      <c r="D120" s="166">
        <f t="shared" si="29"/>
        <v>-40.799999999999997</v>
      </c>
      <c r="E120" s="27">
        <f>IFERROR(100/'Skjema total MA'!C120*C120,0)</f>
        <v>48.301255363331833</v>
      </c>
      <c r="F120" s="234"/>
      <c r="G120" s="145"/>
      <c r="H120" s="166"/>
      <c r="I120" s="27"/>
      <c r="J120" s="292">
        <f t="shared" si="30"/>
        <v>56235.062449999998</v>
      </c>
      <c r="K120" s="44">
        <f t="shared" si="30"/>
        <v>33305</v>
      </c>
      <c r="L120" s="259">
        <f t="shared" si="31"/>
        <v>-40.799999999999997</v>
      </c>
      <c r="M120" s="27">
        <f>IFERROR(100/'Skjema total MA'!I120*K120,0)</f>
        <v>48.301255363331833</v>
      </c>
    </row>
    <row r="121" spans="1:14" x14ac:dyDescent="0.2">
      <c r="A121" s="21" t="s">
        <v>10</v>
      </c>
      <c r="B121" s="234"/>
      <c r="C121" s="145"/>
      <c r="D121" s="166"/>
      <c r="E121" s="27"/>
      <c r="F121" s="234">
        <v>3921453.2820000001</v>
      </c>
      <c r="G121" s="145">
        <v>3928998</v>
      </c>
      <c r="H121" s="166">
        <f t="shared" si="32"/>
        <v>0.2</v>
      </c>
      <c r="I121" s="27">
        <f>IFERROR(100/'Skjema total MA'!F121*G121,0)</f>
        <v>30.243469353501819</v>
      </c>
      <c r="J121" s="292">
        <f t="shared" si="30"/>
        <v>3921453.2820000001</v>
      </c>
      <c r="K121" s="44">
        <f t="shared" si="30"/>
        <v>3928998</v>
      </c>
      <c r="L121" s="259">
        <f t="shared" si="31"/>
        <v>0.2</v>
      </c>
      <c r="M121" s="27">
        <f>IFERROR(100/'Skjema total MA'!I121*K121,0)</f>
        <v>30.227594985288139</v>
      </c>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v>15087.207</v>
      </c>
      <c r="C124" s="234">
        <v>10140</v>
      </c>
      <c r="D124" s="166">
        <f t="shared" si="29"/>
        <v>-32.799999999999997</v>
      </c>
      <c r="E124" s="27">
        <f>IFERROR(100/'Skjema total MA'!C124*C124,0)</f>
        <v>60.216944905771165</v>
      </c>
      <c r="F124" s="234"/>
      <c r="G124" s="234"/>
      <c r="H124" s="166"/>
      <c r="I124" s="27"/>
      <c r="J124" s="292">
        <f t="shared" si="30"/>
        <v>15087.207</v>
      </c>
      <c r="K124" s="44">
        <f t="shared" si="30"/>
        <v>10140</v>
      </c>
      <c r="L124" s="259">
        <f t="shared" si="31"/>
        <v>-32.799999999999997</v>
      </c>
      <c r="M124" s="27">
        <f>IFERROR(100/'Skjema total MA'!I124*K124,0)</f>
        <v>48.730994911984325</v>
      </c>
    </row>
    <row r="125" spans="1:14" ht="15.75" x14ac:dyDescent="0.2">
      <c r="A125" s="38" t="s">
        <v>407</v>
      </c>
      <c r="B125" s="234"/>
      <c r="C125" s="234"/>
      <c r="D125" s="166"/>
      <c r="E125" s="27"/>
      <c r="F125" s="234">
        <v>2353168.73</v>
      </c>
      <c r="G125" s="234">
        <v>2698600</v>
      </c>
      <c r="H125" s="166">
        <f t="shared" si="32"/>
        <v>14.7</v>
      </c>
      <c r="I125" s="27">
        <f>IFERROR(100/'Skjema total MA'!F125*G125,0)</f>
        <v>40.687432212818884</v>
      </c>
      <c r="J125" s="292">
        <f t="shared" si="30"/>
        <v>2353168.73</v>
      </c>
      <c r="K125" s="44">
        <f t="shared" si="30"/>
        <v>2698600</v>
      </c>
      <c r="L125" s="259">
        <f t="shared" si="31"/>
        <v>14.7</v>
      </c>
      <c r="M125" s="27">
        <f>IFERROR(100/'Skjema total MA'!I125*K125,0)</f>
        <v>40.687058912145879</v>
      </c>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45" priority="132">
      <formula>kvartal &lt; 4</formula>
    </cfRule>
  </conditionalFormatting>
  <conditionalFormatting sqref="B115">
    <cfRule type="expression" dxfId="644" priority="76">
      <formula>kvartal &lt; 4</formula>
    </cfRule>
  </conditionalFormatting>
  <conditionalFormatting sqref="C115">
    <cfRule type="expression" dxfId="643" priority="75">
      <formula>kvartal &lt; 4</formula>
    </cfRule>
  </conditionalFormatting>
  <conditionalFormatting sqref="B123">
    <cfRule type="expression" dxfId="642" priority="74">
      <formula>kvartal &lt; 4</formula>
    </cfRule>
  </conditionalFormatting>
  <conditionalFormatting sqref="C123">
    <cfRule type="expression" dxfId="641" priority="73">
      <formula>kvartal &lt; 4</formula>
    </cfRule>
  </conditionalFormatting>
  <conditionalFormatting sqref="F115">
    <cfRule type="expression" dxfId="640" priority="58">
      <formula>kvartal &lt; 4</formula>
    </cfRule>
  </conditionalFormatting>
  <conditionalFormatting sqref="G115">
    <cfRule type="expression" dxfId="639" priority="57">
      <formula>kvartal &lt; 4</formula>
    </cfRule>
  </conditionalFormatting>
  <conditionalFormatting sqref="F123:G123">
    <cfRule type="expression" dxfId="638" priority="56">
      <formula>kvartal &lt; 4</formula>
    </cfRule>
  </conditionalFormatting>
  <conditionalFormatting sqref="J115:K115">
    <cfRule type="expression" dxfId="637" priority="32">
      <formula>kvartal &lt; 4</formula>
    </cfRule>
  </conditionalFormatting>
  <conditionalFormatting sqref="J123:K123">
    <cfRule type="expression" dxfId="636" priority="31">
      <formula>kvartal &lt; 4</formula>
    </cfRule>
  </conditionalFormatting>
  <conditionalFormatting sqref="A50:A52">
    <cfRule type="expression" dxfId="635" priority="12">
      <formula>kvartal &lt; 4</formula>
    </cfRule>
  </conditionalFormatting>
  <conditionalFormatting sqref="A69:A74">
    <cfRule type="expression" dxfId="634" priority="10">
      <formula>kvartal &lt; 4</formula>
    </cfRule>
  </conditionalFormatting>
  <conditionalFormatting sqref="A80:A85">
    <cfRule type="expression" dxfId="633" priority="9">
      <formula>kvartal &lt; 4</formula>
    </cfRule>
  </conditionalFormatting>
  <conditionalFormatting sqref="A90:A95">
    <cfRule type="expression" dxfId="632" priority="6">
      <formula>kvartal &lt; 4</formula>
    </cfRule>
  </conditionalFormatting>
  <conditionalFormatting sqref="A101:A106">
    <cfRule type="expression" dxfId="631" priority="5">
      <formula>kvartal &lt; 4</formula>
    </cfRule>
  </conditionalFormatting>
  <conditionalFormatting sqref="A115">
    <cfRule type="expression" dxfId="630" priority="4">
      <formula>kvartal &lt; 4</formula>
    </cfRule>
  </conditionalFormatting>
  <conditionalFormatting sqref="A123">
    <cfRule type="expression" dxfId="629"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84</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92020</v>
      </c>
      <c r="C7" s="310">
        <v>98440</v>
      </c>
      <c r="D7" s="352">
        <f>IF(B7=0, "    ---- ", IF(ABS(ROUND(100/B7*C7-100,1))&lt;999,ROUND(100/B7*C7-100,1),IF(ROUND(100/B7*C7-100,1)&gt;999,999,-999)))</f>
        <v>7</v>
      </c>
      <c r="E7" s="11">
        <f>IFERROR(100/'Skjema total MA'!C7*C7,0)</f>
        <v>5.2106624267817674</v>
      </c>
      <c r="F7" s="309"/>
      <c r="G7" s="310"/>
      <c r="H7" s="352"/>
      <c r="I7" s="160"/>
      <c r="J7" s="311">
        <f t="shared" ref="J7:K9" si="0">SUM(B7,F7)</f>
        <v>92020</v>
      </c>
      <c r="K7" s="312">
        <f t="shared" si="0"/>
        <v>98440</v>
      </c>
      <c r="L7" s="424">
        <f>IF(J7=0, "    ---- ", IF(ABS(ROUND(100/J7*K7-100,1))&lt;999,ROUND(100/J7*K7-100,1),IF(ROUND(100/J7*K7-100,1)&gt;999,999,-999)))</f>
        <v>7</v>
      </c>
      <c r="M7" s="11">
        <f>IFERROR(100/'Skjema total MA'!I7*K7,0)</f>
        <v>2.1436993523014096</v>
      </c>
    </row>
    <row r="8" spans="1:14" ht="15.75" x14ac:dyDescent="0.2">
      <c r="A8" s="21" t="s">
        <v>25</v>
      </c>
      <c r="B8" s="286">
        <v>44299</v>
      </c>
      <c r="C8" s="287">
        <v>48093</v>
      </c>
      <c r="D8" s="166">
        <f t="shared" ref="D8:D9" si="1">IF(B8=0, "    ---- ", IF(ABS(ROUND(100/B8*C8-100,1))&lt;999,ROUND(100/B8*C8-100,1),IF(ROUND(100/B8*C8-100,1)&gt;999,999,-999)))</f>
        <v>8.6</v>
      </c>
      <c r="E8" s="27">
        <f>IFERROR(100/'Skjema total MA'!C8*C8,0)</f>
        <v>3.9427453655540052</v>
      </c>
      <c r="F8" s="290"/>
      <c r="G8" s="291"/>
      <c r="H8" s="166"/>
      <c r="I8" s="176"/>
      <c r="J8" s="234">
        <f t="shared" si="0"/>
        <v>44299</v>
      </c>
      <c r="K8" s="292">
        <f t="shared" si="0"/>
        <v>48093</v>
      </c>
      <c r="L8" s="166">
        <f t="shared" ref="L8:L9" si="2">IF(J8=0, "    ---- ", IF(ABS(ROUND(100/J8*K8-100,1))&lt;999,ROUND(100/J8*K8-100,1),IF(ROUND(100/J8*K8-100,1)&gt;999,999,-999)))</f>
        <v>8.6</v>
      </c>
      <c r="M8" s="27">
        <f>IFERROR(100/'Skjema total MA'!I8*K8,0)</f>
        <v>3.9427453655540052</v>
      </c>
    </row>
    <row r="9" spans="1:14" ht="15.75" x14ac:dyDescent="0.2">
      <c r="A9" s="21" t="s">
        <v>24</v>
      </c>
      <c r="B9" s="286">
        <v>47721</v>
      </c>
      <c r="C9" s="287">
        <v>50347</v>
      </c>
      <c r="D9" s="166">
        <f t="shared" si="1"/>
        <v>5.5</v>
      </c>
      <c r="E9" s="27">
        <f>IFERROR(100/'Skjema total MA'!C9*C9,0)</f>
        <v>11.532579527504993</v>
      </c>
      <c r="F9" s="290"/>
      <c r="G9" s="291"/>
      <c r="H9" s="166"/>
      <c r="I9" s="176"/>
      <c r="J9" s="234">
        <f t="shared" si="0"/>
        <v>47721</v>
      </c>
      <c r="K9" s="292">
        <f t="shared" si="0"/>
        <v>50347</v>
      </c>
      <c r="L9" s="166">
        <f t="shared" si="2"/>
        <v>5.5</v>
      </c>
      <c r="M9" s="27">
        <f>IFERROR(100/'Skjema total MA'!I9*K9,0)</f>
        <v>11.532579527504993</v>
      </c>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24583</v>
      </c>
      <c r="C47" s="314">
        <v>91139</v>
      </c>
      <c r="D47" s="424">
        <f t="shared" ref="D47:D48" si="3">IF(B47=0, "    ---- ", IF(ABS(ROUND(100/B47*C47-100,1))&lt;999,ROUND(100/B47*C47-100,1),IF(ROUND(100/B47*C47-100,1)&gt;999,999,-999)))</f>
        <v>270.7</v>
      </c>
      <c r="E47" s="11">
        <f>IFERROR(100/'Skjema total MA'!C47*C47,0)</f>
        <v>2.4389616958376097</v>
      </c>
      <c r="F47" s="145"/>
      <c r="G47" s="33"/>
      <c r="H47" s="159"/>
      <c r="I47" s="159"/>
      <c r="J47" s="37"/>
      <c r="K47" s="37"/>
      <c r="L47" s="159"/>
      <c r="M47" s="159"/>
      <c r="N47" s="148"/>
    </row>
    <row r="48" spans="1:14" s="3" customFormat="1" ht="15.75" x14ac:dyDescent="0.2">
      <c r="A48" s="38" t="s">
        <v>359</v>
      </c>
      <c r="B48" s="286">
        <v>24583</v>
      </c>
      <c r="C48" s="287">
        <v>26526</v>
      </c>
      <c r="D48" s="259">
        <f t="shared" si="3"/>
        <v>7.9</v>
      </c>
      <c r="E48" s="27">
        <f>IFERROR(100/'Skjema total MA'!C48*C48,0)</f>
        <v>1.313705820784155</v>
      </c>
      <c r="F48" s="145"/>
      <c r="G48" s="33"/>
      <c r="H48" s="145"/>
      <c r="I48" s="145"/>
      <c r="J48" s="33"/>
      <c r="K48" s="33"/>
      <c r="L48" s="159"/>
      <c r="M48" s="159"/>
      <c r="N48" s="148"/>
    </row>
    <row r="49" spans="1:14" s="3" customFormat="1" ht="15.75" x14ac:dyDescent="0.2">
      <c r="A49" s="38" t="s">
        <v>360</v>
      </c>
      <c r="B49" s="44"/>
      <c r="C49" s="292">
        <v>64613</v>
      </c>
      <c r="D49" s="259" t="str">
        <f>IF(B49=0, "    ---- ", IF(ABS(ROUND(100/B49*C49-100,1))&lt;999,ROUND(100/B49*C49-100,1),IF(ROUND(100/B49*C49-100,1)&gt;999,999,-999)))</f>
        <v xml:space="preserve">    ---- </v>
      </c>
      <c r="E49" s="27">
        <f>IFERROR(100/'Skjema total MA'!C49*C49,0)</f>
        <v>3.761771645682193</v>
      </c>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28" priority="132">
      <formula>kvartal &lt; 4</formula>
    </cfRule>
  </conditionalFormatting>
  <conditionalFormatting sqref="B115">
    <cfRule type="expression" dxfId="627" priority="76">
      <formula>kvartal &lt; 4</formula>
    </cfRule>
  </conditionalFormatting>
  <conditionalFormatting sqref="C115">
    <cfRule type="expression" dxfId="626" priority="75">
      <formula>kvartal &lt; 4</formula>
    </cfRule>
  </conditionalFormatting>
  <conditionalFormatting sqref="B123">
    <cfRule type="expression" dxfId="625" priority="74">
      <formula>kvartal &lt; 4</formula>
    </cfRule>
  </conditionalFormatting>
  <conditionalFormatting sqref="C123">
    <cfRule type="expression" dxfId="624" priority="73">
      <formula>kvartal &lt; 4</formula>
    </cfRule>
  </conditionalFormatting>
  <conditionalFormatting sqref="F115">
    <cfRule type="expression" dxfId="623" priority="58">
      <formula>kvartal &lt; 4</formula>
    </cfRule>
  </conditionalFormatting>
  <conditionalFormatting sqref="G115">
    <cfRule type="expression" dxfId="622" priority="57">
      <formula>kvartal &lt; 4</formula>
    </cfRule>
  </conditionalFormatting>
  <conditionalFormatting sqref="F123:G123">
    <cfRule type="expression" dxfId="621" priority="56">
      <formula>kvartal &lt; 4</formula>
    </cfRule>
  </conditionalFormatting>
  <conditionalFormatting sqref="J115:K115">
    <cfRule type="expression" dxfId="620" priority="32">
      <formula>kvartal &lt; 4</formula>
    </cfRule>
  </conditionalFormatting>
  <conditionalFormatting sqref="J123:K123">
    <cfRule type="expression" dxfId="619" priority="31">
      <formula>kvartal &lt; 4</formula>
    </cfRule>
  </conditionalFormatting>
  <conditionalFormatting sqref="A50:A52">
    <cfRule type="expression" dxfId="618" priority="12">
      <formula>kvartal &lt; 4</formula>
    </cfRule>
  </conditionalFormatting>
  <conditionalFormatting sqref="A69:A74">
    <cfRule type="expression" dxfId="617" priority="10">
      <formula>kvartal &lt; 4</formula>
    </cfRule>
  </conditionalFormatting>
  <conditionalFormatting sqref="A80:A85">
    <cfRule type="expression" dxfId="616" priority="9">
      <formula>kvartal &lt; 4</formula>
    </cfRule>
  </conditionalFormatting>
  <conditionalFormatting sqref="A90:A95">
    <cfRule type="expression" dxfId="615" priority="6">
      <formula>kvartal &lt; 4</formula>
    </cfRule>
  </conditionalFormatting>
  <conditionalFormatting sqref="A101:A106">
    <cfRule type="expression" dxfId="614" priority="5">
      <formula>kvartal &lt; 4</formula>
    </cfRule>
  </conditionalFormatting>
  <conditionalFormatting sqref="A115">
    <cfRule type="expression" dxfId="613" priority="4">
      <formula>kvartal &lt; 4</formula>
    </cfRule>
  </conditionalFormatting>
  <conditionalFormatting sqref="A123">
    <cfRule type="expression" dxfId="612" priority="3">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4"/>
  <sheetViews>
    <sheetView showGridLines="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398</v>
      </c>
      <c r="D1" s="26"/>
      <c r="E1" s="26"/>
      <c r="F1" s="26"/>
      <c r="G1" s="26"/>
      <c r="H1" s="26"/>
      <c r="I1" s="26"/>
      <c r="J1" s="26"/>
      <c r="K1" s="26"/>
      <c r="L1" s="26"/>
      <c r="M1" s="26"/>
    </row>
    <row r="2" spans="1:14" ht="15.75" x14ac:dyDescent="0.25">
      <c r="A2" s="165" t="s">
        <v>28</v>
      </c>
      <c r="B2" s="718"/>
      <c r="C2" s="718"/>
      <c r="D2" s="718"/>
      <c r="E2" s="563"/>
      <c r="F2" s="718"/>
      <c r="G2" s="718"/>
      <c r="H2" s="718"/>
      <c r="I2" s="563"/>
      <c r="J2" s="718"/>
      <c r="K2" s="718"/>
      <c r="L2" s="718"/>
      <c r="M2" s="563"/>
    </row>
    <row r="3" spans="1:14" ht="15.75" x14ac:dyDescent="0.25">
      <c r="A3" s="163"/>
      <c r="B3" s="563"/>
      <c r="C3" s="563"/>
      <c r="D3" s="563"/>
      <c r="E3" s="563"/>
      <c r="F3" s="563"/>
      <c r="G3" s="563"/>
      <c r="H3" s="563"/>
      <c r="I3" s="563"/>
      <c r="J3" s="563"/>
      <c r="K3" s="563"/>
      <c r="L3" s="563"/>
      <c r="M3" s="563"/>
    </row>
    <row r="4" spans="1:14" x14ac:dyDescent="0.2">
      <c r="A4" s="144"/>
      <c r="B4" s="719" t="s">
        <v>0</v>
      </c>
      <c r="C4" s="720"/>
      <c r="D4" s="720"/>
      <c r="E4" s="561"/>
      <c r="F4" s="719" t="s">
        <v>1</v>
      </c>
      <c r="G4" s="720"/>
      <c r="H4" s="720"/>
      <c r="I4" s="562"/>
      <c r="J4" s="719" t="s">
        <v>2</v>
      </c>
      <c r="K4" s="720"/>
      <c r="L4" s="720"/>
      <c r="M4" s="562"/>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563"/>
      <c r="F18" s="721"/>
      <c r="G18" s="721"/>
      <c r="H18" s="721"/>
      <c r="I18" s="563"/>
      <c r="J18" s="721"/>
      <c r="K18" s="721"/>
      <c r="L18" s="721"/>
      <c r="M18" s="563"/>
    </row>
    <row r="19" spans="1:14" x14ac:dyDescent="0.2">
      <c r="A19" s="144"/>
      <c r="B19" s="719" t="s">
        <v>0</v>
      </c>
      <c r="C19" s="720"/>
      <c r="D19" s="720"/>
      <c r="E19" s="561"/>
      <c r="F19" s="719" t="s">
        <v>1</v>
      </c>
      <c r="G19" s="720"/>
      <c r="H19" s="720"/>
      <c r="I19" s="562"/>
      <c r="J19" s="719" t="s">
        <v>2</v>
      </c>
      <c r="K19" s="720"/>
      <c r="L19" s="720"/>
      <c r="M19" s="562"/>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413"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60"/>
      <c r="J22" s="319"/>
      <c r="K22" s="319"/>
      <c r="L22" s="424"/>
      <c r="M22" s="24"/>
    </row>
    <row r="23" spans="1:14" ht="15.75" x14ac:dyDescent="0.2">
      <c r="A23" s="507" t="s">
        <v>351</v>
      </c>
      <c r="B23" s="286"/>
      <c r="C23" s="286"/>
      <c r="D23" s="166"/>
      <c r="E23" s="11"/>
      <c r="F23" s="294"/>
      <c r="G23" s="294"/>
      <c r="H23" s="166"/>
      <c r="I23" s="240"/>
      <c r="J23" s="294"/>
      <c r="K23" s="294"/>
      <c r="L23" s="166"/>
      <c r="M23" s="23"/>
    </row>
    <row r="24" spans="1:14" ht="15.75" x14ac:dyDescent="0.2">
      <c r="A24" s="507" t="s">
        <v>352</v>
      </c>
      <c r="B24" s="286"/>
      <c r="C24" s="286"/>
      <c r="D24" s="166"/>
      <c r="E24" s="11"/>
      <c r="F24" s="294"/>
      <c r="G24" s="294"/>
      <c r="H24" s="166"/>
      <c r="I24" s="240"/>
      <c r="J24" s="294"/>
      <c r="K24" s="294"/>
      <c r="L24" s="166"/>
      <c r="M24" s="23"/>
    </row>
    <row r="25" spans="1:14" ht="15.75" x14ac:dyDescent="0.2">
      <c r="A25" s="507" t="s">
        <v>353</v>
      </c>
      <c r="B25" s="286"/>
      <c r="C25" s="286"/>
      <c r="D25" s="166"/>
      <c r="E25" s="11"/>
      <c r="F25" s="294"/>
      <c r="G25" s="294"/>
      <c r="H25" s="166"/>
      <c r="I25" s="240"/>
      <c r="J25" s="294"/>
      <c r="K25" s="294"/>
      <c r="L25" s="166"/>
      <c r="M25" s="23"/>
    </row>
    <row r="26" spans="1:14" ht="15.75" x14ac:dyDescent="0.2">
      <c r="A26" s="507" t="s">
        <v>354</v>
      </c>
      <c r="B26" s="286"/>
      <c r="C26" s="286"/>
      <c r="D26" s="166"/>
      <c r="E26" s="11"/>
      <c r="F26" s="294"/>
      <c r="G26" s="294"/>
      <c r="H26" s="166"/>
      <c r="I26" s="240"/>
      <c r="J26" s="294"/>
      <c r="K26" s="294"/>
      <c r="L26" s="166"/>
      <c r="M26" s="23"/>
    </row>
    <row r="27" spans="1:14" x14ac:dyDescent="0.2">
      <c r="A27" s="507" t="s">
        <v>11</v>
      </c>
      <c r="B27" s="286"/>
      <c r="C27" s="286"/>
      <c r="D27" s="166"/>
      <c r="E27" s="11"/>
      <c r="F27" s="294"/>
      <c r="G27" s="294"/>
      <c r="H27" s="166"/>
      <c r="I27" s="240"/>
      <c r="J27" s="294"/>
      <c r="K27" s="294"/>
      <c r="L27" s="166"/>
      <c r="M27" s="23"/>
    </row>
    <row r="28" spans="1:14" ht="15.75" x14ac:dyDescent="0.2">
      <c r="A28" s="49" t="s">
        <v>269</v>
      </c>
      <c r="B28" s="44"/>
      <c r="C28" s="292"/>
      <c r="D28" s="166"/>
      <c r="E28" s="11"/>
      <c r="F28" s="234"/>
      <c r="G28" s="292"/>
      <c r="H28" s="166"/>
      <c r="I28" s="176"/>
      <c r="J28" s="44"/>
      <c r="K28" s="44"/>
      <c r="L28" s="259"/>
      <c r="M28" s="23"/>
    </row>
    <row r="29" spans="1:14" s="3" customFormat="1" ht="15.75" x14ac:dyDescent="0.2">
      <c r="A29" s="13" t="s">
        <v>348</v>
      </c>
      <c r="B29" s="236"/>
      <c r="C29" s="236"/>
      <c r="D29" s="171"/>
      <c r="E29" s="11"/>
      <c r="F29" s="311"/>
      <c r="G29" s="311"/>
      <c r="H29" s="171"/>
      <c r="I29" s="160"/>
      <c r="J29" s="236"/>
      <c r="K29" s="236"/>
      <c r="L29" s="425"/>
      <c r="M29" s="24"/>
      <c r="N29" s="148"/>
    </row>
    <row r="30" spans="1:14" s="3" customFormat="1" ht="15.75" x14ac:dyDescent="0.2">
      <c r="A30" s="507" t="s">
        <v>351</v>
      </c>
      <c r="B30" s="286"/>
      <c r="C30" s="286"/>
      <c r="D30" s="166"/>
      <c r="E30" s="11"/>
      <c r="F30" s="294"/>
      <c r="G30" s="294"/>
      <c r="H30" s="166"/>
      <c r="I30" s="240"/>
      <c r="J30" s="294"/>
      <c r="K30" s="294"/>
      <c r="L30" s="166"/>
      <c r="M30" s="23"/>
      <c r="N30" s="148"/>
    </row>
    <row r="31" spans="1:14" s="3" customFormat="1" ht="15.75" x14ac:dyDescent="0.2">
      <c r="A31" s="507" t="s">
        <v>352</v>
      </c>
      <c r="B31" s="286"/>
      <c r="C31" s="286"/>
      <c r="D31" s="166"/>
      <c r="E31" s="11"/>
      <c r="F31" s="294"/>
      <c r="G31" s="294"/>
      <c r="H31" s="166"/>
      <c r="I31" s="240"/>
      <c r="J31" s="294"/>
      <c r="K31" s="294"/>
      <c r="L31" s="166"/>
      <c r="M31" s="23"/>
      <c r="N31" s="148"/>
    </row>
    <row r="32" spans="1:14" ht="15.75" x14ac:dyDescent="0.2">
      <c r="A32" s="507" t="s">
        <v>353</v>
      </c>
      <c r="B32" s="286"/>
      <c r="C32" s="286"/>
      <c r="D32" s="166"/>
      <c r="E32" s="11"/>
      <c r="F32" s="294"/>
      <c r="G32" s="294"/>
      <c r="H32" s="166"/>
      <c r="I32" s="240"/>
      <c r="J32" s="294"/>
      <c r="K32" s="294"/>
      <c r="L32" s="166"/>
      <c r="M32" s="23"/>
    </row>
    <row r="33" spans="1:14" ht="15.75" x14ac:dyDescent="0.2">
      <c r="A33" s="507" t="s">
        <v>354</v>
      </c>
      <c r="B33" s="286"/>
      <c r="C33" s="286"/>
      <c r="D33" s="166"/>
      <c r="E33" s="11"/>
      <c r="F33" s="294"/>
      <c r="G33" s="294"/>
      <c r="H33" s="166"/>
      <c r="I33" s="240"/>
      <c r="J33" s="294"/>
      <c r="K33" s="294"/>
      <c r="L33" s="166"/>
      <c r="M33" s="23"/>
    </row>
    <row r="34" spans="1:14" ht="15.75" x14ac:dyDescent="0.2">
      <c r="A34" s="13" t="s">
        <v>349</v>
      </c>
      <c r="B34" s="236"/>
      <c r="C34" s="312"/>
      <c r="D34" s="171"/>
      <c r="E34" s="11"/>
      <c r="F34" s="311"/>
      <c r="G34" s="312"/>
      <c r="H34" s="171"/>
      <c r="I34" s="160"/>
      <c r="J34" s="236"/>
      <c r="K34" s="236"/>
      <c r="L34" s="425"/>
      <c r="M34" s="24"/>
    </row>
    <row r="35" spans="1:14" ht="15.75" x14ac:dyDescent="0.2">
      <c r="A35" s="13" t="s">
        <v>350</v>
      </c>
      <c r="B35" s="236"/>
      <c r="C35" s="312"/>
      <c r="D35" s="171"/>
      <c r="E35" s="11"/>
      <c r="F35" s="311"/>
      <c r="G35" s="312"/>
      <c r="H35" s="171"/>
      <c r="I35" s="160"/>
      <c r="J35" s="236"/>
      <c r="K35" s="236"/>
      <c r="L35" s="425"/>
      <c r="M35" s="24"/>
    </row>
    <row r="36" spans="1:14" ht="15.75" x14ac:dyDescent="0.2">
      <c r="A36" s="12" t="s">
        <v>277</v>
      </c>
      <c r="B36" s="236"/>
      <c r="C36" s="312"/>
      <c r="D36" s="171"/>
      <c r="E36" s="11"/>
      <c r="F36" s="322"/>
      <c r="G36" s="323"/>
      <c r="H36" s="171"/>
      <c r="I36" s="427"/>
      <c r="J36" s="236"/>
      <c r="K36" s="236"/>
      <c r="L36" s="425"/>
      <c r="M36" s="24"/>
    </row>
    <row r="37" spans="1:14" ht="15.75" x14ac:dyDescent="0.2">
      <c r="A37" s="12" t="s">
        <v>356</v>
      </c>
      <c r="B37" s="236"/>
      <c r="C37" s="312"/>
      <c r="D37" s="171"/>
      <c r="E37" s="11"/>
      <c r="F37" s="322"/>
      <c r="G37" s="324"/>
      <c r="H37" s="171"/>
      <c r="I37" s="427"/>
      <c r="J37" s="236"/>
      <c r="K37" s="236"/>
      <c r="L37" s="425"/>
      <c r="M37" s="24"/>
    </row>
    <row r="38" spans="1:14" ht="15.75" x14ac:dyDescent="0.2">
      <c r="A38" s="12" t="s">
        <v>357</v>
      </c>
      <c r="B38" s="236"/>
      <c r="C38" s="312"/>
      <c r="D38" s="171"/>
      <c r="E38" s="24"/>
      <c r="F38" s="322"/>
      <c r="G38" s="323"/>
      <c r="H38" s="171"/>
      <c r="I38" s="427"/>
      <c r="J38" s="236"/>
      <c r="K38" s="236"/>
      <c r="L38" s="425"/>
      <c r="M38" s="24"/>
    </row>
    <row r="39" spans="1:14" ht="15.75" x14ac:dyDescent="0.2">
      <c r="A39" s="18" t="s">
        <v>358</v>
      </c>
      <c r="B39" s="281"/>
      <c r="C39" s="318"/>
      <c r="D39" s="169"/>
      <c r="E39" s="36"/>
      <c r="F39" s="325"/>
      <c r="G39" s="326"/>
      <c r="H39" s="169"/>
      <c r="I39" s="169"/>
      <c r="J39" s="236"/>
      <c r="K39" s="236"/>
      <c r="L39" s="426"/>
      <c r="M39" s="36"/>
    </row>
    <row r="40" spans="1:14" ht="15.75" x14ac:dyDescent="0.25">
      <c r="A40" s="47"/>
      <c r="B40" s="258"/>
      <c r="C40" s="258"/>
      <c r="D40" s="722"/>
      <c r="E40" s="722"/>
      <c r="F40" s="722"/>
      <c r="G40" s="722"/>
      <c r="H40" s="722"/>
      <c r="I40" s="722"/>
      <c r="J40" s="722"/>
      <c r="K40" s="722"/>
      <c r="L40" s="722"/>
      <c r="M40" s="564"/>
    </row>
    <row r="41" spans="1:14" x14ac:dyDescent="0.2">
      <c r="A41" s="155"/>
    </row>
    <row r="42" spans="1:14" ht="15.75" x14ac:dyDescent="0.25">
      <c r="A42" s="147" t="s">
        <v>266</v>
      </c>
      <c r="B42" s="718"/>
      <c r="C42" s="718"/>
      <c r="D42" s="718"/>
      <c r="E42" s="563"/>
      <c r="F42" s="723"/>
      <c r="G42" s="723"/>
      <c r="H42" s="723"/>
      <c r="I42" s="564"/>
      <c r="J42" s="723"/>
      <c r="K42" s="723"/>
      <c r="L42" s="723"/>
      <c r="M42" s="564"/>
    </row>
    <row r="43" spans="1:14" ht="15.75" x14ac:dyDescent="0.25">
      <c r="A43" s="163"/>
      <c r="B43" s="559"/>
      <c r="C43" s="559"/>
      <c r="D43" s="559"/>
      <c r="E43" s="559"/>
      <c r="F43" s="564"/>
      <c r="G43" s="564"/>
      <c r="H43" s="564"/>
      <c r="I43" s="564"/>
      <c r="J43" s="564"/>
      <c r="K43" s="564"/>
      <c r="L43" s="564"/>
      <c r="M43" s="564"/>
    </row>
    <row r="44" spans="1:14" ht="15.75" x14ac:dyDescent="0.25">
      <c r="A44" s="249"/>
      <c r="B44" s="719" t="s">
        <v>0</v>
      </c>
      <c r="C44" s="720"/>
      <c r="D44" s="720"/>
      <c r="E44" s="244"/>
      <c r="F44" s="564"/>
      <c r="G44" s="564"/>
      <c r="H44" s="564"/>
      <c r="I44" s="564"/>
      <c r="J44" s="564"/>
      <c r="K44" s="564"/>
      <c r="L44" s="564"/>
      <c r="M44" s="564"/>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22472</v>
      </c>
      <c r="C47" s="314">
        <v>36616</v>
      </c>
      <c r="D47" s="424">
        <f t="shared" ref="D47:D55" si="0">IF(B47=0, "    ---- ", IF(ABS(ROUND(100/B47*C47-100,1))&lt;999,ROUND(100/B47*C47-100,1),IF(ROUND(100/B47*C47-100,1)&gt;999,999,-999)))</f>
        <v>62.9</v>
      </c>
      <c r="E47" s="11">
        <f>IFERROR(100/'Skjema total MA'!C47*C47,0)</f>
        <v>0.97987712674914051</v>
      </c>
      <c r="F47" s="145"/>
      <c r="G47" s="33"/>
      <c r="H47" s="159"/>
      <c r="I47" s="159"/>
      <c r="J47" s="37"/>
      <c r="K47" s="37"/>
      <c r="L47" s="159"/>
      <c r="M47" s="159"/>
      <c r="N47" s="148"/>
    </row>
    <row r="48" spans="1:14" s="3" customFormat="1" ht="15.75" x14ac:dyDescent="0.2">
      <c r="A48" s="38" t="s">
        <v>359</v>
      </c>
      <c r="B48" s="286">
        <v>21523</v>
      </c>
      <c r="C48" s="287">
        <v>35670</v>
      </c>
      <c r="D48" s="259">
        <f t="shared" si="0"/>
        <v>65.7</v>
      </c>
      <c r="E48" s="27">
        <f>IFERROR(100/'Skjema total MA'!C48*C48,0)</f>
        <v>1.766564375607736</v>
      </c>
      <c r="F48" s="145"/>
      <c r="G48" s="33"/>
      <c r="H48" s="145"/>
      <c r="I48" s="145"/>
      <c r="J48" s="33"/>
      <c r="K48" s="33"/>
      <c r="L48" s="159"/>
      <c r="M48" s="159"/>
      <c r="N48" s="148"/>
    </row>
    <row r="49" spans="1:14" s="3" customFormat="1" ht="15.75" x14ac:dyDescent="0.2">
      <c r="A49" s="38" t="s">
        <v>360</v>
      </c>
      <c r="B49" s="44">
        <v>949</v>
      </c>
      <c r="C49" s="292">
        <v>946</v>
      </c>
      <c r="D49" s="259">
        <f>IF(B49=0, "    ---- ", IF(ABS(ROUND(100/B49*C49-100,1))&lt;999,ROUND(100/B49*C49-100,1),IF(ROUND(100/B49*C49-100,1)&gt;999,999,-999)))</f>
        <v>-0.3</v>
      </c>
      <c r="E49" s="27">
        <f>IFERROR(100/'Skjema total MA'!C49*C49,0)</f>
        <v>5.5076160785218993E-2</v>
      </c>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22472</v>
      </c>
      <c r="C53" s="314">
        <v>36616</v>
      </c>
      <c r="D53" s="425">
        <f t="shared" si="0"/>
        <v>62.9</v>
      </c>
      <c r="E53" s="11">
        <f>IFERROR(100/'Skjema total MA'!C53*C53,0)</f>
        <v>37.094922529144704</v>
      </c>
      <c r="F53" s="145"/>
      <c r="G53" s="33"/>
      <c r="H53" s="145"/>
      <c r="I53" s="145"/>
      <c r="J53" s="33"/>
      <c r="K53" s="33"/>
      <c r="L53" s="159"/>
      <c r="M53" s="159"/>
      <c r="N53" s="148"/>
    </row>
    <row r="54" spans="1:14" s="3" customFormat="1" ht="15.75" x14ac:dyDescent="0.2">
      <c r="A54" s="38" t="s">
        <v>359</v>
      </c>
      <c r="B54" s="286">
        <v>21523</v>
      </c>
      <c r="C54" s="287">
        <v>35670</v>
      </c>
      <c r="D54" s="259">
        <f t="shared" si="0"/>
        <v>65.7</v>
      </c>
      <c r="E54" s="27">
        <f>IFERROR(100/'Skjema total MA'!C54*C54,0)</f>
        <v>36.486223453600161</v>
      </c>
      <c r="F54" s="145"/>
      <c r="G54" s="33"/>
      <c r="H54" s="145"/>
      <c r="I54" s="145"/>
      <c r="J54" s="33"/>
      <c r="K54" s="33"/>
      <c r="L54" s="159"/>
      <c r="M54" s="159"/>
      <c r="N54" s="148"/>
    </row>
    <row r="55" spans="1:14" s="3" customFormat="1" ht="15.75" x14ac:dyDescent="0.2">
      <c r="A55" s="38" t="s">
        <v>360</v>
      </c>
      <c r="B55" s="286">
        <v>949</v>
      </c>
      <c r="C55" s="287">
        <v>946</v>
      </c>
      <c r="D55" s="259">
        <f t="shared" si="0"/>
        <v>-0.3</v>
      </c>
      <c r="E55" s="27">
        <f>IFERROR(100/'Skjema total MA'!C55*C55,0)</f>
        <v>100</v>
      </c>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563"/>
      <c r="F62" s="721"/>
      <c r="G62" s="721"/>
      <c r="H62" s="721"/>
      <c r="I62" s="563"/>
      <c r="J62" s="721"/>
      <c r="K62" s="721"/>
      <c r="L62" s="721"/>
      <c r="M62" s="563"/>
    </row>
    <row r="63" spans="1:14" x14ac:dyDescent="0.2">
      <c r="A63" s="144"/>
      <c r="B63" s="719" t="s">
        <v>0</v>
      </c>
      <c r="C63" s="720"/>
      <c r="D63" s="724"/>
      <c r="E63" s="560"/>
      <c r="F63" s="720" t="s">
        <v>1</v>
      </c>
      <c r="G63" s="720"/>
      <c r="H63" s="720"/>
      <c r="I63" s="562"/>
      <c r="J63" s="719" t="s">
        <v>2</v>
      </c>
      <c r="K63" s="720"/>
      <c r="L63" s="720"/>
      <c r="M63" s="562"/>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21"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563"/>
      <c r="F130" s="721"/>
      <c r="G130" s="721"/>
      <c r="H130" s="721"/>
      <c r="I130" s="563"/>
      <c r="J130" s="721"/>
      <c r="K130" s="721"/>
      <c r="L130" s="721"/>
      <c r="M130" s="563"/>
    </row>
    <row r="131" spans="1:14" s="3" customFormat="1" x14ac:dyDescent="0.2">
      <c r="A131" s="144"/>
      <c r="B131" s="719" t="s">
        <v>0</v>
      </c>
      <c r="C131" s="720"/>
      <c r="D131" s="720"/>
      <c r="E131" s="561"/>
      <c r="F131" s="719" t="s">
        <v>1</v>
      </c>
      <c r="G131" s="720"/>
      <c r="H131" s="720"/>
      <c r="I131" s="562"/>
      <c r="J131" s="719" t="s">
        <v>2</v>
      </c>
      <c r="K131" s="720"/>
      <c r="L131" s="720"/>
      <c r="M131" s="562"/>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611" priority="59">
      <formula>kvartal &lt; 4</formula>
    </cfRule>
  </conditionalFormatting>
  <conditionalFormatting sqref="B115">
    <cfRule type="expression" dxfId="610" priority="42">
      <formula>kvartal &lt; 4</formula>
    </cfRule>
  </conditionalFormatting>
  <conditionalFormatting sqref="C115">
    <cfRule type="expression" dxfId="609" priority="41">
      <formula>kvartal &lt; 4</formula>
    </cfRule>
  </conditionalFormatting>
  <conditionalFormatting sqref="B123">
    <cfRule type="expression" dxfId="608" priority="40">
      <formula>kvartal &lt; 4</formula>
    </cfRule>
  </conditionalFormatting>
  <conditionalFormatting sqref="C123">
    <cfRule type="expression" dxfId="607" priority="39">
      <formula>kvartal &lt; 4</formula>
    </cfRule>
  </conditionalFormatting>
  <conditionalFormatting sqref="F115">
    <cfRule type="expression" dxfId="606" priority="28">
      <formula>kvartal &lt; 4</formula>
    </cfRule>
  </conditionalFormatting>
  <conditionalFormatting sqref="G115">
    <cfRule type="expression" dxfId="605" priority="27">
      <formula>kvartal &lt; 4</formula>
    </cfRule>
  </conditionalFormatting>
  <conditionalFormatting sqref="F123:G123">
    <cfRule type="expression" dxfId="604" priority="26">
      <formula>kvartal &lt; 4</formula>
    </cfRule>
  </conditionalFormatting>
  <conditionalFormatting sqref="J115:K115">
    <cfRule type="expression" dxfId="603" priority="9">
      <formula>kvartal &lt; 4</formula>
    </cfRule>
  </conditionalFormatting>
  <conditionalFormatting sqref="J123:K123">
    <cfRule type="expression" dxfId="602" priority="8">
      <formula>kvartal &lt; 4</formula>
    </cfRule>
  </conditionalFormatting>
  <conditionalFormatting sqref="A50:A52">
    <cfRule type="expression" dxfId="601" priority="7">
      <formula>kvartal &lt; 4</formula>
    </cfRule>
  </conditionalFormatting>
  <conditionalFormatting sqref="A69:A74">
    <cfRule type="expression" dxfId="600" priority="6">
      <formula>kvartal &lt; 4</formula>
    </cfRule>
  </conditionalFormatting>
  <conditionalFormatting sqref="A80:A85">
    <cfRule type="expression" dxfId="599" priority="5">
      <formula>kvartal &lt; 4</formula>
    </cfRule>
  </conditionalFormatting>
  <conditionalFormatting sqref="A90:A95">
    <cfRule type="expression" dxfId="598" priority="4">
      <formula>kvartal &lt; 4</formula>
    </cfRule>
  </conditionalFormatting>
  <conditionalFormatting sqref="A101:A106">
    <cfRule type="expression" dxfId="597" priority="3">
      <formula>kvartal &lt; 4</formula>
    </cfRule>
  </conditionalFormatting>
  <conditionalFormatting sqref="A115">
    <cfRule type="expression" dxfId="596" priority="2">
      <formula>kvartal &lt; 4</formula>
    </cfRule>
  </conditionalFormatting>
  <conditionalFormatting sqref="A123">
    <cfRule type="expression" dxfId="595" priority="1">
      <formula>kvartal &lt; 4</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pane="topRight"/>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381</v>
      </c>
      <c r="D1" s="26"/>
      <c r="E1" s="26"/>
      <c r="F1" s="26"/>
      <c r="G1" s="26"/>
      <c r="H1" s="26"/>
      <c r="I1" s="26"/>
      <c r="J1" s="26"/>
      <c r="K1" s="26"/>
      <c r="L1" s="26"/>
      <c r="M1" s="26"/>
    </row>
    <row r="2" spans="1:14" ht="15.75" x14ac:dyDescent="0.25">
      <c r="A2" s="165" t="s">
        <v>28</v>
      </c>
      <c r="B2" s="360"/>
      <c r="C2" s="360"/>
      <c r="D2" s="360"/>
      <c r="E2" s="360"/>
      <c r="F2" s="360"/>
      <c r="G2" s="360"/>
      <c r="H2" s="360"/>
      <c r="I2" s="360"/>
      <c r="J2" s="360"/>
      <c r="K2" s="360"/>
      <c r="L2" s="360"/>
      <c r="M2" s="360"/>
    </row>
    <row r="3" spans="1:14" ht="15.75" x14ac:dyDescent="0.25">
      <c r="A3" s="163"/>
      <c r="B3" s="360"/>
      <c r="C3" s="360"/>
      <c r="D3" s="360"/>
      <c r="E3" s="360"/>
      <c r="F3" s="360"/>
      <c r="G3" s="360"/>
      <c r="H3" s="360"/>
      <c r="I3" s="360"/>
      <c r="J3" s="360"/>
      <c r="K3" s="360"/>
      <c r="L3" s="360"/>
      <c r="M3" s="360"/>
    </row>
    <row r="4" spans="1:14" x14ac:dyDescent="0.2">
      <c r="A4" s="144"/>
      <c r="B4" s="719" t="s">
        <v>0</v>
      </c>
      <c r="C4" s="720"/>
      <c r="D4" s="720"/>
      <c r="E4" s="357"/>
      <c r="F4" s="719" t="s">
        <v>1</v>
      </c>
      <c r="G4" s="720"/>
      <c r="H4" s="720"/>
      <c r="I4" s="358"/>
      <c r="J4" s="719" t="s">
        <v>2</v>
      </c>
      <c r="K4" s="720"/>
      <c r="L4" s="720"/>
      <c r="M4" s="358"/>
    </row>
    <row r="5" spans="1:14" x14ac:dyDescent="0.2">
      <c r="A5" s="158"/>
      <c r="B5" s="152" t="s">
        <v>432</v>
      </c>
      <c r="C5" s="152" t="s">
        <v>433</v>
      </c>
      <c r="D5" s="246" t="s">
        <v>3</v>
      </c>
      <c r="E5" s="308" t="s">
        <v>29</v>
      </c>
      <c r="F5" s="152" t="s">
        <v>432</v>
      </c>
      <c r="G5" s="152" t="s">
        <v>433</v>
      </c>
      <c r="H5" s="246" t="s">
        <v>3</v>
      </c>
      <c r="I5" s="308"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63">
        <v>311773.92843000003</v>
      </c>
      <c r="C7" s="364">
        <v>335745.48225</v>
      </c>
      <c r="D7" s="372">
        <f t="shared" ref="D7:D10" si="0">IF(AND(_xlfn.NUMBERVALUE(B7)=0,_xlfn.NUMBERVALUE(C7)=0),,IF(B7=0, "    ---- ", IF(ABS(ROUND(100/B7*C7-100,1))&lt;999,IF(ROUND(100/B7*C7-100,1)=0,"    ---- ",ROUND(100/B7*C7-100,1)),IF(ROUND(100/B7*C7-100,1)&gt;999,999,-999))))</f>
        <v>7.7</v>
      </c>
      <c r="E7" s="675">
        <f>IFERROR(100/'Skjema total MA'!C7*C7,0)</f>
        <v>17.771803833012999</v>
      </c>
      <c r="F7" s="363"/>
      <c r="G7" s="364"/>
      <c r="H7" s="372"/>
      <c r="I7" s="373"/>
      <c r="J7" s="374">
        <f t="shared" ref="J7:K10" si="1">SUM(B7,F7)</f>
        <v>311773.92843000003</v>
      </c>
      <c r="K7" s="369">
        <f t="shared" si="1"/>
        <v>335745.48225</v>
      </c>
      <c r="L7" s="372">
        <f t="shared" ref="L7:L10" si="2">IF(AND(_xlfn.NUMBERVALUE(J7)=0,_xlfn.NUMBERVALUE(K7)=0),,IF(J7=0, "    ---- ", IF(ABS(ROUND(100/J7*K7-100,1))&lt;999,IF(ROUND(100/J7*K7-100,1)=0,"    ---- ",ROUND(100/J7*K7-100,1)),IF(ROUND(100/J7*K7-100,1)&gt;999,999,-999))))</f>
        <v>7.7</v>
      </c>
      <c r="M7" s="675">
        <f>IFERROR(100/'Skjema total MA'!I7*K7,0)</f>
        <v>7.3114320686453613</v>
      </c>
    </row>
    <row r="8" spans="1:14" ht="15.75" x14ac:dyDescent="0.2">
      <c r="A8" s="21" t="s">
        <v>25</v>
      </c>
      <c r="B8" s="366">
        <v>277326.02028</v>
      </c>
      <c r="C8" s="367">
        <v>298262.47953000001</v>
      </c>
      <c r="D8" s="375">
        <f t="shared" si="0"/>
        <v>7.5</v>
      </c>
      <c r="E8" s="675">
        <f>IFERROR(100/'Skjema total MA'!C8*C8,0)</f>
        <v>24.452061815348468</v>
      </c>
      <c r="F8" s="376"/>
      <c r="G8" s="377"/>
      <c r="H8" s="375"/>
      <c r="I8" s="373"/>
      <c r="J8" s="378">
        <f t="shared" si="1"/>
        <v>277326.02028</v>
      </c>
      <c r="K8" s="367">
        <f t="shared" si="1"/>
        <v>298262.47953000001</v>
      </c>
      <c r="L8" s="375">
        <f t="shared" si="2"/>
        <v>7.5</v>
      </c>
      <c r="M8" s="675">
        <f>IFERROR(100/'Skjema total MA'!I8*K8,0)</f>
        <v>24.452061815348468</v>
      </c>
    </row>
    <row r="9" spans="1:14" ht="15.75" x14ac:dyDescent="0.2">
      <c r="A9" s="21" t="s">
        <v>24</v>
      </c>
      <c r="B9" s="366">
        <v>34447.908150000003</v>
      </c>
      <c r="C9" s="367">
        <v>37483.002719999997</v>
      </c>
      <c r="D9" s="375">
        <f t="shared" si="0"/>
        <v>8.8000000000000007</v>
      </c>
      <c r="E9" s="675">
        <f>IFERROR(100/'Skjema total MA'!C9*C9,0)</f>
        <v>8.5859278566366601</v>
      </c>
      <c r="F9" s="376"/>
      <c r="G9" s="377"/>
      <c r="H9" s="375"/>
      <c r="I9" s="373"/>
      <c r="J9" s="378">
        <f t="shared" si="1"/>
        <v>34447.908150000003</v>
      </c>
      <c r="K9" s="367">
        <f t="shared" si="1"/>
        <v>37483.002719999997</v>
      </c>
      <c r="L9" s="375">
        <f t="shared" si="2"/>
        <v>8.8000000000000007</v>
      </c>
      <c r="M9" s="675">
        <f>IFERROR(100/'Skjema total MA'!I9*K9,0)</f>
        <v>8.5859278566366601</v>
      </c>
    </row>
    <row r="10" spans="1:14" ht="15.75" x14ac:dyDescent="0.2">
      <c r="A10" s="13" t="s">
        <v>348</v>
      </c>
      <c r="B10" s="368">
        <v>628218.92773999996</v>
      </c>
      <c r="C10" s="369">
        <v>672397.01667000004</v>
      </c>
      <c r="D10" s="375">
        <f t="shared" si="0"/>
        <v>7</v>
      </c>
      <c r="E10" s="675">
        <f>IFERROR(100/'Skjema total MA'!C10*C10,0)</f>
        <v>4.5605644397757983</v>
      </c>
      <c r="F10" s="368"/>
      <c r="G10" s="369"/>
      <c r="H10" s="375"/>
      <c r="I10" s="373"/>
      <c r="J10" s="374">
        <f t="shared" si="1"/>
        <v>628218.92773999996</v>
      </c>
      <c r="K10" s="369">
        <f t="shared" si="1"/>
        <v>672397.01667000004</v>
      </c>
      <c r="L10" s="375">
        <f t="shared" si="2"/>
        <v>7</v>
      </c>
      <c r="M10" s="675">
        <f>IFERROR(100/'Skjema total MA'!I10*K10,0)</f>
        <v>0.74487339601395774</v>
      </c>
    </row>
    <row r="11" spans="1:14" s="43" customFormat="1" ht="15.75" x14ac:dyDescent="0.2">
      <c r="A11" s="13" t="s">
        <v>349</v>
      </c>
      <c r="B11" s="368"/>
      <c r="C11" s="369"/>
      <c r="D11" s="375"/>
      <c r="E11" s="373"/>
      <c r="F11" s="368"/>
      <c r="G11" s="369"/>
      <c r="H11" s="375"/>
      <c r="I11" s="373"/>
      <c r="J11" s="374"/>
      <c r="K11" s="369"/>
      <c r="L11" s="375"/>
      <c r="M11" s="373"/>
      <c r="N11" s="143"/>
    </row>
    <row r="12" spans="1:14" s="43" customFormat="1" ht="15.75" x14ac:dyDescent="0.2">
      <c r="A12" s="41" t="s">
        <v>350</v>
      </c>
      <c r="B12" s="370"/>
      <c r="C12" s="371"/>
      <c r="D12" s="379"/>
      <c r="E12" s="379"/>
      <c r="F12" s="370"/>
      <c r="G12" s="371"/>
      <c r="H12" s="379"/>
      <c r="I12" s="379"/>
      <c r="J12" s="380"/>
      <c r="K12" s="371"/>
      <c r="L12" s="379"/>
      <c r="M12" s="379"/>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359"/>
      <c r="C18" s="359"/>
      <c r="D18" s="359"/>
      <c r="E18" s="360"/>
      <c r="F18" s="359"/>
      <c r="G18" s="359"/>
      <c r="H18" s="359"/>
      <c r="I18" s="360"/>
      <c r="J18" s="359"/>
      <c r="K18" s="359"/>
      <c r="L18" s="359"/>
      <c r="M18" s="360"/>
    </row>
    <row r="19" spans="1:14" x14ac:dyDescent="0.2">
      <c r="A19" s="144"/>
      <c r="B19" s="719" t="s">
        <v>0</v>
      </c>
      <c r="C19" s="720"/>
      <c r="D19" s="720"/>
      <c r="E19" s="357"/>
      <c r="F19" s="719" t="s">
        <v>1</v>
      </c>
      <c r="G19" s="720"/>
      <c r="H19" s="720"/>
      <c r="I19" s="358"/>
      <c r="J19" s="719" t="s">
        <v>2</v>
      </c>
      <c r="K19" s="720"/>
      <c r="L19" s="720"/>
      <c r="M19" s="358"/>
    </row>
    <row r="20" spans="1:14" x14ac:dyDescent="0.2">
      <c r="A20" s="140" t="s">
        <v>5</v>
      </c>
      <c r="B20" s="243" t="s">
        <v>432</v>
      </c>
      <c r="C20" s="243" t="s">
        <v>433</v>
      </c>
      <c r="D20" s="162" t="s">
        <v>3</v>
      </c>
      <c r="E20" s="308" t="s">
        <v>29</v>
      </c>
      <c r="F20" s="243" t="s">
        <v>432</v>
      </c>
      <c r="G20" s="243" t="s">
        <v>433</v>
      </c>
      <c r="H20" s="162" t="s">
        <v>3</v>
      </c>
      <c r="I20" s="308"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519">
        <v>192433.72029</v>
      </c>
      <c r="C22" s="519">
        <v>216264.1447</v>
      </c>
      <c r="D22" s="421">
        <f t="shared" ref="D22:D39" si="3">IF(AND(_xlfn.NUMBERVALUE(B22)=0,_xlfn.NUMBERVALUE(C22)=0),,IF(B22=0, "    ---- ", IF(ABS(ROUND(100/B22*C22-100,1))&lt;999,IF(ROUND(100/B22*C22-100,1)=0,"    ---- ",ROUND(100/B22*C22-100,1)),IF(ROUND(100/B22*C22-100,1)&gt;999,999,-999))))</f>
        <v>12.4</v>
      </c>
      <c r="E22" s="676">
        <f>IFERROR(100/'Skjema total MA'!C22*C22,0)</f>
        <v>26.297744404156749</v>
      </c>
      <c r="F22" s="381"/>
      <c r="G22" s="381"/>
      <c r="H22" s="372"/>
      <c r="I22" s="373"/>
      <c r="J22" s="363">
        <f t="shared" ref="J22:K35" si="4">SUM(B22,F22)</f>
        <v>192433.72029</v>
      </c>
      <c r="K22" s="363">
        <f t="shared" si="4"/>
        <v>216264.1447</v>
      </c>
      <c r="L22" s="372">
        <f t="shared" ref="L22:L39" si="5">IF(AND(_xlfn.NUMBERVALUE(J22)=0,_xlfn.NUMBERVALUE(K22)=0),,IF(J22=0, "    ---- ", IF(ABS(ROUND(100/J22*K22-100,1))&lt;999,IF(ROUND(100/J22*K22-100,1)=0,"    ---- ",ROUND(100/J22*K22-100,1)),IF(ROUND(100/J22*K22-100,1)&gt;999,999,-999))))</f>
        <v>12.4</v>
      </c>
      <c r="M22" s="676">
        <f>IFERROR(100/'Skjema total MA'!I22*K22,0)</f>
        <v>20.498030541842887</v>
      </c>
    </row>
    <row r="23" spans="1:14" ht="15.75" x14ac:dyDescent="0.2">
      <c r="A23" s="507" t="s">
        <v>351</v>
      </c>
      <c r="B23" s="365"/>
      <c r="C23" s="365"/>
      <c r="D23" s="375"/>
      <c r="E23" s="373"/>
      <c r="F23" s="365"/>
      <c r="G23" s="365"/>
      <c r="H23" s="375"/>
      <c r="I23" s="373"/>
      <c r="J23" s="365"/>
      <c r="K23" s="365"/>
      <c r="L23" s="375"/>
      <c r="M23" s="373"/>
    </row>
    <row r="24" spans="1:14" ht="15.75" x14ac:dyDescent="0.2">
      <c r="A24" s="507" t="s">
        <v>352</v>
      </c>
      <c r="B24" s="365"/>
      <c r="C24" s="365"/>
      <c r="D24" s="375"/>
      <c r="E24" s="373"/>
      <c r="F24" s="365"/>
      <c r="G24" s="365"/>
      <c r="H24" s="375"/>
      <c r="I24" s="373"/>
      <c r="J24" s="365"/>
      <c r="K24" s="365"/>
      <c r="L24" s="375"/>
      <c r="M24" s="373"/>
    </row>
    <row r="25" spans="1:14" ht="15.75" x14ac:dyDescent="0.2">
      <c r="A25" s="507" t="s">
        <v>353</v>
      </c>
      <c r="B25" s="365"/>
      <c r="C25" s="365"/>
      <c r="D25" s="375"/>
      <c r="E25" s="373"/>
      <c r="F25" s="365"/>
      <c r="G25" s="365"/>
      <c r="H25" s="375"/>
      <c r="I25" s="373"/>
      <c r="J25" s="365"/>
      <c r="K25" s="365"/>
      <c r="L25" s="375"/>
      <c r="M25" s="373"/>
    </row>
    <row r="26" spans="1:14" ht="15.75" x14ac:dyDescent="0.2">
      <c r="A26" s="507" t="s">
        <v>354</v>
      </c>
      <c r="B26" s="365"/>
      <c r="C26" s="365"/>
      <c r="D26" s="375"/>
      <c r="E26" s="373"/>
      <c r="F26" s="365"/>
      <c r="G26" s="365"/>
      <c r="H26" s="375"/>
      <c r="I26" s="373"/>
      <c r="J26" s="365"/>
      <c r="K26" s="365"/>
      <c r="L26" s="375"/>
      <c r="M26" s="373"/>
    </row>
    <row r="27" spans="1:14" x14ac:dyDescent="0.2">
      <c r="A27" s="507" t="s">
        <v>11</v>
      </c>
      <c r="B27" s="365"/>
      <c r="C27" s="365"/>
      <c r="D27" s="375"/>
      <c r="E27" s="373"/>
      <c r="F27" s="365"/>
      <c r="G27" s="365"/>
      <c r="H27" s="375"/>
      <c r="I27" s="373"/>
      <c r="J27" s="365"/>
      <c r="K27" s="365"/>
      <c r="L27" s="375"/>
      <c r="M27" s="373"/>
    </row>
    <row r="28" spans="1:14" ht="15.75" x14ac:dyDescent="0.2">
      <c r="A28" s="49" t="s">
        <v>269</v>
      </c>
      <c r="B28" s="365">
        <v>192433.72029</v>
      </c>
      <c r="C28" s="365">
        <v>216264.1447</v>
      </c>
      <c r="D28" s="375">
        <f t="shared" si="3"/>
        <v>12.4</v>
      </c>
      <c r="E28" s="675">
        <f>IFERROR(100/'Skjema total MA'!C28*C28,0)</f>
        <v>22.776472028744202</v>
      </c>
      <c r="F28" s="378"/>
      <c r="G28" s="367"/>
      <c r="H28" s="375"/>
      <c r="I28" s="373"/>
      <c r="J28" s="366">
        <f t="shared" si="4"/>
        <v>192433.72029</v>
      </c>
      <c r="K28" s="366">
        <f t="shared" si="4"/>
        <v>216264.1447</v>
      </c>
      <c r="L28" s="375">
        <f t="shared" si="5"/>
        <v>12.4</v>
      </c>
      <c r="M28" s="675">
        <f>IFERROR(100/'Skjema total MA'!I28*K28,0)</f>
        <v>22.776472028744202</v>
      </c>
    </row>
    <row r="29" spans="1:14" s="3" customFormat="1" ht="15.75" x14ac:dyDescent="0.2">
      <c r="A29" s="13" t="s">
        <v>348</v>
      </c>
      <c r="B29" s="368">
        <v>3810474.0251000002</v>
      </c>
      <c r="C29" s="368">
        <v>4278648.8908799998</v>
      </c>
      <c r="D29" s="677">
        <f t="shared" si="3"/>
        <v>12.3</v>
      </c>
      <c r="E29" s="676">
        <f>IFERROR(100/'Skjema total MA'!C29*C29,0)</f>
        <v>9.6958183497323791</v>
      </c>
      <c r="F29" s="374"/>
      <c r="G29" s="374"/>
      <c r="H29" s="375"/>
      <c r="I29" s="373"/>
      <c r="J29" s="368">
        <f t="shared" si="4"/>
        <v>3810474.0251000002</v>
      </c>
      <c r="K29" s="368">
        <f t="shared" si="4"/>
        <v>4278648.8908799998</v>
      </c>
      <c r="L29" s="375">
        <f t="shared" si="5"/>
        <v>12.3</v>
      </c>
      <c r="M29" s="676">
        <f>IFERROR(100/'Skjema total MA'!I29*K29,0)</f>
        <v>6.2060141819021881</v>
      </c>
      <c r="N29" s="148"/>
    </row>
    <row r="30" spans="1:14" s="3" customFormat="1" ht="15.75" x14ac:dyDescent="0.2">
      <c r="A30" s="507" t="s">
        <v>351</v>
      </c>
      <c r="B30" s="365">
        <v>0</v>
      </c>
      <c r="C30" s="365">
        <v>4278648.8908799998</v>
      </c>
      <c r="D30" s="375" t="str">
        <f t="shared" si="3"/>
        <v xml:space="preserve">    ---- </v>
      </c>
      <c r="E30" s="675">
        <f>IFERROR(100/'Skjema total MA'!C30*C30,0)</f>
        <v>24.53040600072984</v>
      </c>
      <c r="F30" s="365"/>
      <c r="G30" s="365"/>
      <c r="H30" s="375"/>
      <c r="I30" s="373"/>
      <c r="J30" s="365">
        <f t="shared" ref="J30:J33" si="6">SUM(B30,F30)</f>
        <v>0</v>
      </c>
      <c r="K30" s="365">
        <f t="shared" ref="K30:K33" si="7">SUM(C30,G30)</f>
        <v>4278648.8908799998</v>
      </c>
      <c r="L30" s="375" t="str">
        <f t="shared" si="5"/>
        <v xml:space="preserve">    ---- </v>
      </c>
      <c r="M30" s="675">
        <f>IFERROR(100/'Skjema total MA'!I30*K30,0)</f>
        <v>20.429925168157649</v>
      </c>
      <c r="N30" s="148"/>
    </row>
    <row r="31" spans="1:14" s="3" customFormat="1" ht="15.75" x14ac:dyDescent="0.2">
      <c r="A31" s="507" t="s">
        <v>352</v>
      </c>
      <c r="B31" s="365">
        <v>0</v>
      </c>
      <c r="C31" s="365">
        <v>0</v>
      </c>
      <c r="D31" s="375">
        <f t="shared" si="3"/>
        <v>0</v>
      </c>
      <c r="E31" s="373"/>
      <c r="F31" s="365"/>
      <c r="G31" s="365"/>
      <c r="H31" s="375"/>
      <c r="I31" s="373"/>
      <c r="J31" s="365">
        <f t="shared" si="6"/>
        <v>0</v>
      </c>
      <c r="K31" s="365">
        <f t="shared" si="7"/>
        <v>0</v>
      </c>
      <c r="L31" s="375">
        <f t="shared" si="5"/>
        <v>0</v>
      </c>
      <c r="M31" s="373">
        <f>IFERROR(100/'Skjema total MA'!I31*K31,0)</f>
        <v>0</v>
      </c>
      <c r="N31" s="148"/>
    </row>
    <row r="32" spans="1:14" ht="15.75" x14ac:dyDescent="0.2">
      <c r="A32" s="507" t="s">
        <v>353</v>
      </c>
      <c r="B32" s="365">
        <v>0</v>
      </c>
      <c r="C32" s="365">
        <v>0</v>
      </c>
      <c r="D32" s="375">
        <f t="shared" si="3"/>
        <v>0</v>
      </c>
      <c r="E32" s="373"/>
      <c r="F32" s="365"/>
      <c r="G32" s="365"/>
      <c r="H32" s="375"/>
      <c r="I32" s="373"/>
      <c r="J32" s="365">
        <f t="shared" si="6"/>
        <v>0</v>
      </c>
      <c r="K32" s="365">
        <f t="shared" si="7"/>
        <v>0</v>
      </c>
      <c r="L32" s="375">
        <f t="shared" si="5"/>
        <v>0</v>
      </c>
      <c r="M32" s="373">
        <f>IFERROR(100/'Skjema total MA'!I32*K32,0)</f>
        <v>0</v>
      </c>
    </row>
    <row r="33" spans="1:14" ht="15.75" x14ac:dyDescent="0.2">
      <c r="A33" s="507" t="s">
        <v>354</v>
      </c>
      <c r="B33" s="365">
        <v>0</v>
      </c>
      <c r="C33" s="365">
        <v>0</v>
      </c>
      <c r="D33" s="375">
        <f t="shared" si="3"/>
        <v>0</v>
      </c>
      <c r="E33" s="373"/>
      <c r="F33" s="365"/>
      <c r="G33" s="365"/>
      <c r="H33" s="375"/>
      <c r="I33" s="373"/>
      <c r="J33" s="365">
        <f t="shared" si="6"/>
        <v>0</v>
      </c>
      <c r="K33" s="365">
        <f t="shared" si="7"/>
        <v>0</v>
      </c>
      <c r="L33" s="375">
        <f t="shared" si="5"/>
        <v>0</v>
      </c>
      <c r="M33" s="373">
        <f>IFERROR(100/'Skjema total MA'!I34*K33,0)</f>
        <v>0</v>
      </c>
    </row>
    <row r="34" spans="1:14" ht="15.75" x14ac:dyDescent="0.2">
      <c r="A34" s="13" t="s">
        <v>349</v>
      </c>
      <c r="B34" s="368">
        <v>0</v>
      </c>
      <c r="C34" s="369">
        <v>0</v>
      </c>
      <c r="D34" s="375">
        <f t="shared" si="3"/>
        <v>0</v>
      </c>
      <c r="E34" s="373"/>
      <c r="F34" s="374"/>
      <c r="G34" s="369"/>
      <c r="H34" s="375"/>
      <c r="I34" s="373"/>
      <c r="J34" s="368">
        <f t="shared" si="4"/>
        <v>0</v>
      </c>
      <c r="K34" s="368">
        <f t="shared" si="4"/>
        <v>0</v>
      </c>
      <c r="L34" s="375">
        <f t="shared" si="5"/>
        <v>0</v>
      </c>
      <c r="M34" s="373">
        <f>IFERROR(100/'Skjema total MA'!I34*K34,0)</f>
        <v>0</v>
      </c>
    </row>
    <row r="35" spans="1:14" ht="15.75" x14ac:dyDescent="0.2">
      <c r="A35" s="13" t="s">
        <v>350</v>
      </c>
      <c r="B35" s="368">
        <v>0</v>
      </c>
      <c r="C35" s="369">
        <v>0</v>
      </c>
      <c r="D35" s="375">
        <f t="shared" si="3"/>
        <v>0</v>
      </c>
      <c r="E35" s="373"/>
      <c r="F35" s="374"/>
      <c r="G35" s="369"/>
      <c r="H35" s="375"/>
      <c r="I35" s="373"/>
      <c r="J35" s="368">
        <f t="shared" si="4"/>
        <v>0</v>
      </c>
      <c r="K35" s="368">
        <f t="shared" si="4"/>
        <v>0</v>
      </c>
      <c r="L35" s="375">
        <f t="shared" si="5"/>
        <v>0</v>
      </c>
      <c r="M35" s="373">
        <f>IFERROR(100/'Skjema total MA'!I35*K35,0)</f>
        <v>0</v>
      </c>
    </row>
    <row r="36" spans="1:14" ht="15.75" x14ac:dyDescent="0.2">
      <c r="A36" s="12" t="s">
        <v>277</v>
      </c>
      <c r="B36" s="368">
        <v>0</v>
      </c>
      <c r="C36" s="369">
        <v>0</v>
      </c>
      <c r="D36" s="375">
        <f t="shared" si="3"/>
        <v>0</v>
      </c>
      <c r="E36" s="373"/>
      <c r="F36" s="382"/>
      <c r="G36" s="383"/>
      <c r="H36" s="375"/>
      <c r="I36" s="373"/>
      <c r="J36" s="368">
        <f t="shared" ref="J36:J39" si="8">SUM(B36,F36)</f>
        <v>0</v>
      </c>
      <c r="K36" s="368">
        <f t="shared" ref="K36:K39" si="9">SUM(C36,G36)</f>
        <v>0</v>
      </c>
      <c r="L36" s="375">
        <f t="shared" si="5"/>
        <v>0</v>
      </c>
      <c r="M36" s="373">
        <f>IFERROR(100/'Skjema total MA'!I36*K36,0)</f>
        <v>0</v>
      </c>
    </row>
    <row r="37" spans="1:14" ht="15.75" x14ac:dyDescent="0.2">
      <c r="A37" s="12" t="s">
        <v>356</v>
      </c>
      <c r="B37" s="368">
        <v>0</v>
      </c>
      <c r="C37" s="369">
        <v>0</v>
      </c>
      <c r="D37" s="375">
        <f t="shared" si="3"/>
        <v>0</v>
      </c>
      <c r="E37" s="373"/>
      <c r="F37" s="382"/>
      <c r="G37" s="384"/>
      <c r="H37" s="375"/>
      <c r="I37" s="373"/>
      <c r="J37" s="368">
        <f t="shared" si="8"/>
        <v>0</v>
      </c>
      <c r="K37" s="368">
        <f t="shared" si="9"/>
        <v>0</v>
      </c>
      <c r="L37" s="375">
        <f t="shared" si="5"/>
        <v>0</v>
      </c>
      <c r="M37" s="373">
        <f>IFERROR(100/'Skjema total MA'!I37*K37,0)</f>
        <v>0</v>
      </c>
    </row>
    <row r="38" spans="1:14" ht="15.75" x14ac:dyDescent="0.2">
      <c r="A38" s="12" t="s">
        <v>357</v>
      </c>
      <c r="B38" s="368">
        <v>0</v>
      </c>
      <c r="C38" s="369">
        <v>0</v>
      </c>
      <c r="D38" s="375">
        <f t="shared" si="3"/>
        <v>0</v>
      </c>
      <c r="E38" s="166"/>
      <c r="F38" s="382"/>
      <c r="G38" s="383"/>
      <c r="H38" s="375"/>
      <c r="I38" s="373"/>
      <c r="J38" s="368">
        <f t="shared" si="8"/>
        <v>0</v>
      </c>
      <c r="K38" s="368">
        <f t="shared" si="9"/>
        <v>0</v>
      </c>
      <c r="L38" s="375">
        <f t="shared" si="5"/>
        <v>0</v>
      </c>
      <c r="M38" s="373">
        <f>IFERROR(100/'Skjema total MA'!I38*K38,0)</f>
        <v>0</v>
      </c>
    </row>
    <row r="39" spans="1:14" ht="15.75" x14ac:dyDescent="0.2">
      <c r="A39" s="18" t="s">
        <v>358</v>
      </c>
      <c r="B39" s="370">
        <v>0</v>
      </c>
      <c r="C39" s="371">
        <v>0</v>
      </c>
      <c r="D39" s="379">
        <f t="shared" si="3"/>
        <v>0</v>
      </c>
      <c r="E39" s="167"/>
      <c r="F39" s="385"/>
      <c r="G39" s="386"/>
      <c r="H39" s="379"/>
      <c r="I39" s="373"/>
      <c r="J39" s="368">
        <f t="shared" si="8"/>
        <v>0</v>
      </c>
      <c r="K39" s="368">
        <f t="shared" si="9"/>
        <v>0</v>
      </c>
      <c r="L39" s="379">
        <f t="shared" si="5"/>
        <v>0</v>
      </c>
      <c r="M39" s="379">
        <f>IFERROR(100/'Skjema total MA'!I39*K39,0)</f>
        <v>0</v>
      </c>
    </row>
    <row r="40" spans="1:14" ht="15.75" x14ac:dyDescent="0.25">
      <c r="A40" s="47"/>
      <c r="B40" s="258"/>
      <c r="C40" s="258"/>
      <c r="D40" s="362"/>
      <c r="E40" s="362"/>
      <c r="F40" s="362"/>
      <c r="G40" s="362"/>
      <c r="H40" s="362"/>
      <c r="I40" s="362"/>
      <c r="J40" s="362"/>
      <c r="K40" s="362"/>
      <c r="L40" s="362"/>
      <c r="M40" s="361"/>
    </row>
    <row r="41" spans="1:14" x14ac:dyDescent="0.2">
      <c r="A41" s="155"/>
    </row>
    <row r="42" spans="1:14" ht="15.75" x14ac:dyDescent="0.25">
      <c r="A42" s="147" t="s">
        <v>266</v>
      </c>
      <c r="B42" s="360"/>
      <c r="C42" s="360"/>
      <c r="D42" s="360"/>
      <c r="E42" s="360"/>
      <c r="F42" s="361"/>
      <c r="G42" s="361"/>
      <c r="H42" s="361"/>
      <c r="I42" s="361"/>
      <c r="J42" s="361"/>
      <c r="K42" s="361"/>
      <c r="L42" s="361"/>
      <c r="M42" s="361"/>
    </row>
    <row r="43" spans="1:14" ht="15.75" x14ac:dyDescent="0.25">
      <c r="A43" s="163"/>
      <c r="B43" s="359"/>
      <c r="C43" s="359"/>
      <c r="D43" s="359"/>
      <c r="E43" s="359"/>
      <c r="F43" s="361"/>
      <c r="G43" s="361"/>
      <c r="H43" s="361"/>
      <c r="I43" s="361"/>
      <c r="J43" s="361"/>
      <c r="K43" s="361"/>
      <c r="L43" s="361"/>
      <c r="M43" s="361"/>
    </row>
    <row r="44" spans="1:14" ht="15.75" x14ac:dyDescent="0.25">
      <c r="A44" s="249"/>
      <c r="B44" s="719" t="s">
        <v>0</v>
      </c>
      <c r="C44" s="720"/>
      <c r="D44" s="720"/>
      <c r="E44" s="244"/>
      <c r="F44" s="361"/>
      <c r="G44" s="361"/>
      <c r="H44" s="361"/>
      <c r="I44" s="361"/>
      <c r="J44" s="361"/>
      <c r="K44" s="361"/>
      <c r="L44" s="361"/>
      <c r="M44" s="361"/>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417" customFormat="1" ht="15.75" x14ac:dyDescent="0.2">
      <c r="A47" s="14" t="s">
        <v>23</v>
      </c>
      <c r="B47" s="368">
        <v>363412.49969999999</v>
      </c>
      <c r="C47" s="369">
        <v>379747.93596999999</v>
      </c>
      <c r="D47" s="421">
        <f>IF(AND(_xlfn.NUMBERVALUE(B47)=0,_xlfn.NUMBERVALUE(C47)=0),,IF(B47=0, "    ---- ", IF(ABS(ROUND(100/B47*C47-100,1))&lt;999,IF(ROUND(100/B47*C47-100,1)=0,"    ---- ",ROUND(100/B47*C47-100,1)),IF(ROUND(100/B47*C47-100,1)&gt;999,999,-999))))</f>
        <v>4.5</v>
      </c>
      <c r="E47" s="422">
        <f>IFERROR(100/'Skjema total MA'!C47*C47,0)</f>
        <v>10.162396667773656</v>
      </c>
      <c r="F47" s="159"/>
      <c r="G47" s="174"/>
      <c r="H47" s="159"/>
      <c r="I47" s="159"/>
      <c r="J47" s="420"/>
      <c r="K47" s="420"/>
      <c r="L47" s="159"/>
      <c r="M47" s="159"/>
      <c r="N47" s="423"/>
    </row>
    <row r="48" spans="1:14" s="3" customFormat="1" ht="15.75" x14ac:dyDescent="0.2">
      <c r="A48" s="38" t="s">
        <v>359</v>
      </c>
      <c r="B48" s="366">
        <v>87806.750450000007</v>
      </c>
      <c r="C48" s="367">
        <v>88238.48328</v>
      </c>
      <c r="D48" s="375">
        <f t="shared" ref="D48:D57" si="10">IF(AND(_xlfn.NUMBERVALUE(B48)=0,_xlfn.NUMBERVALUE(C48)=0),,IF(B48=0, "    ---- ", IF(ABS(ROUND(100/B48*C48-100,1))&lt;999,IF(ROUND(100/B48*C48-100,1)=0,"    ---- ",ROUND(100/B48*C48-100,1)),IF(ROUND(100/B48*C48-100,1)&gt;999,999,-999))))</f>
        <v>0.5</v>
      </c>
      <c r="E48" s="675">
        <f>IFERROR(100/'Skjema total MA'!C48*C48,0)</f>
        <v>4.3700297482508228</v>
      </c>
      <c r="F48" s="145"/>
      <c r="G48" s="33"/>
      <c r="H48" s="145"/>
      <c r="I48" s="145"/>
      <c r="J48" s="33"/>
      <c r="K48" s="33"/>
      <c r="L48" s="159"/>
      <c r="M48" s="159"/>
      <c r="N48" s="148"/>
    </row>
    <row r="49" spans="1:14" s="3" customFormat="1" ht="15.75" x14ac:dyDescent="0.2">
      <c r="A49" s="38" t="s">
        <v>360</v>
      </c>
      <c r="B49" s="366">
        <v>275605.74924999999</v>
      </c>
      <c r="C49" s="367">
        <v>291509.45269000001</v>
      </c>
      <c r="D49" s="375">
        <f t="shared" si="10"/>
        <v>5.8</v>
      </c>
      <c r="E49" s="675">
        <f>IFERROR(100/'Skjema total MA'!C49*C49,0)</f>
        <v>16.971692903557749</v>
      </c>
      <c r="F49" s="145"/>
      <c r="G49" s="33"/>
      <c r="H49" s="145"/>
      <c r="I49" s="145"/>
      <c r="J49" s="37"/>
      <c r="K49" s="37"/>
      <c r="L49" s="159"/>
      <c r="M49" s="159"/>
      <c r="N49" s="148"/>
    </row>
    <row r="50" spans="1:14" s="3" customFormat="1" x14ac:dyDescent="0.2">
      <c r="A50" s="299" t="s">
        <v>6</v>
      </c>
      <c r="B50" s="365"/>
      <c r="C50" s="387"/>
      <c r="D50" s="375"/>
      <c r="E50" s="411"/>
      <c r="F50" s="145"/>
      <c r="G50" s="33"/>
      <c r="H50" s="145"/>
      <c r="I50" s="145"/>
      <c r="J50" s="33"/>
      <c r="K50" s="33"/>
      <c r="L50" s="159"/>
      <c r="M50" s="159"/>
      <c r="N50" s="148"/>
    </row>
    <row r="51" spans="1:14" s="3" customFormat="1" x14ac:dyDescent="0.2">
      <c r="A51" s="299" t="s">
        <v>7</v>
      </c>
      <c r="B51" s="365"/>
      <c r="C51" s="387"/>
      <c r="D51" s="375"/>
      <c r="E51" s="411"/>
      <c r="F51" s="145"/>
      <c r="G51" s="33"/>
      <c r="H51" s="145"/>
      <c r="I51" s="145"/>
      <c r="J51" s="33"/>
      <c r="K51" s="33"/>
      <c r="L51" s="159"/>
      <c r="M51" s="159"/>
      <c r="N51" s="148"/>
    </row>
    <row r="52" spans="1:14" s="3" customFormat="1" x14ac:dyDescent="0.2">
      <c r="A52" s="299" t="s">
        <v>8</v>
      </c>
      <c r="B52" s="365"/>
      <c r="C52" s="387"/>
      <c r="D52" s="375"/>
      <c r="E52" s="411"/>
      <c r="F52" s="145"/>
      <c r="G52" s="33"/>
      <c r="H52" s="145"/>
      <c r="I52" s="145"/>
      <c r="J52" s="33"/>
      <c r="K52" s="33"/>
      <c r="L52" s="159"/>
      <c r="M52" s="159"/>
      <c r="N52" s="148"/>
    </row>
    <row r="53" spans="1:14" s="3" customFormat="1" ht="15.75" x14ac:dyDescent="0.2">
      <c r="A53" s="39" t="s">
        <v>361</v>
      </c>
      <c r="B53" s="368">
        <v>269</v>
      </c>
      <c r="C53" s="369">
        <v>1895.201</v>
      </c>
      <c r="D53" s="677">
        <f t="shared" si="10"/>
        <v>604.5</v>
      </c>
      <c r="E53" s="422">
        <f>IFERROR(100/'Skjema total MA'!C53*C53,0)</f>
        <v>1.9199894655931169</v>
      </c>
      <c r="F53" s="145"/>
      <c r="G53" s="33"/>
      <c r="H53" s="145"/>
      <c r="I53" s="145"/>
      <c r="J53" s="33"/>
      <c r="K53" s="33"/>
      <c r="L53" s="159"/>
      <c r="M53" s="159"/>
      <c r="N53" s="148"/>
    </row>
    <row r="54" spans="1:14" s="3" customFormat="1" ht="15.75" x14ac:dyDescent="0.2">
      <c r="A54" s="38" t="s">
        <v>359</v>
      </c>
      <c r="B54" s="366">
        <v>269</v>
      </c>
      <c r="C54" s="367">
        <v>1895.201</v>
      </c>
      <c r="D54" s="375">
        <f t="shared" si="10"/>
        <v>604.5</v>
      </c>
      <c r="E54" s="675">
        <f>IFERROR(100/'Skjema total MA'!C54*C54,0)</f>
        <v>1.9385681854635963</v>
      </c>
      <c r="F54" s="145"/>
      <c r="G54" s="33"/>
      <c r="H54" s="145"/>
      <c r="I54" s="145"/>
      <c r="J54" s="33"/>
      <c r="K54" s="33"/>
      <c r="L54" s="159"/>
      <c r="M54" s="159"/>
      <c r="N54" s="148"/>
    </row>
    <row r="55" spans="1:14" s="3" customFormat="1" ht="15.75" x14ac:dyDescent="0.2">
      <c r="A55" s="38" t="s">
        <v>360</v>
      </c>
      <c r="B55" s="366"/>
      <c r="C55" s="367"/>
      <c r="D55" s="375"/>
      <c r="E55" s="410"/>
      <c r="F55" s="145"/>
      <c r="G55" s="33"/>
      <c r="H55" s="145"/>
      <c r="I55" s="145"/>
      <c r="J55" s="33"/>
      <c r="K55" s="33"/>
      <c r="L55" s="159"/>
      <c r="M55" s="159"/>
      <c r="N55" s="148"/>
    </row>
    <row r="56" spans="1:14" s="3" customFormat="1" ht="15.75" x14ac:dyDescent="0.2">
      <c r="A56" s="39" t="s">
        <v>362</v>
      </c>
      <c r="B56" s="368">
        <v>3921</v>
      </c>
      <c r="C56" s="369">
        <v>2701.4580000000001</v>
      </c>
      <c r="D56" s="677">
        <f t="shared" si="10"/>
        <v>-31.1</v>
      </c>
      <c r="E56" s="422">
        <f>IFERROR(100/'Skjema total MA'!C56*C56,0)</f>
        <v>4.5366813392202685</v>
      </c>
      <c r="F56" s="145"/>
      <c r="G56" s="33"/>
      <c r="H56" s="145"/>
      <c r="I56" s="145"/>
      <c r="J56" s="33"/>
      <c r="K56" s="33"/>
      <c r="L56" s="159"/>
      <c r="M56" s="159"/>
      <c r="N56" s="148"/>
    </row>
    <row r="57" spans="1:14" s="3" customFormat="1" ht="15.75" x14ac:dyDescent="0.2">
      <c r="A57" s="38" t="s">
        <v>359</v>
      </c>
      <c r="B57" s="366">
        <v>3921</v>
      </c>
      <c r="C57" s="367">
        <v>2701.4580000000001</v>
      </c>
      <c r="D57" s="375">
        <f t="shared" si="10"/>
        <v>-31.1</v>
      </c>
      <c r="E57" s="675">
        <f>IFERROR(100/'Skjema total MA'!C57*C57,0)</f>
        <v>4.5366813392202685</v>
      </c>
      <c r="F57" s="145"/>
      <c r="G57" s="33"/>
      <c r="H57" s="145"/>
      <c r="I57" s="145"/>
      <c r="J57" s="33"/>
      <c r="K57" s="33"/>
      <c r="L57" s="159"/>
      <c r="M57" s="159"/>
      <c r="N57" s="148"/>
    </row>
    <row r="58" spans="1:14" s="3" customFormat="1" ht="15.75" x14ac:dyDescent="0.2">
      <c r="A58" s="46" t="s">
        <v>360</v>
      </c>
      <c r="B58" s="388"/>
      <c r="C58" s="389"/>
      <c r="D58" s="379"/>
      <c r="E58" s="41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359"/>
      <c r="C62" s="359"/>
      <c r="D62" s="359"/>
      <c r="E62" s="360"/>
      <c r="F62" s="359"/>
      <c r="G62" s="359"/>
      <c r="H62" s="359"/>
      <c r="I62" s="360"/>
      <c r="J62" s="359"/>
      <c r="K62" s="359"/>
      <c r="L62" s="359"/>
      <c r="M62" s="360"/>
    </row>
    <row r="63" spans="1:14" x14ac:dyDescent="0.2">
      <c r="A63" s="144"/>
      <c r="B63" s="719" t="s">
        <v>0</v>
      </c>
      <c r="C63" s="720"/>
      <c r="D63" s="724"/>
      <c r="E63" s="356"/>
      <c r="F63" s="720" t="s">
        <v>1</v>
      </c>
      <c r="G63" s="720"/>
      <c r="H63" s="720"/>
      <c r="I63" s="358"/>
      <c r="J63" s="719" t="s">
        <v>2</v>
      </c>
      <c r="K63" s="720"/>
      <c r="L63" s="720"/>
      <c r="M63" s="358"/>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90"/>
      <c r="C66" s="390"/>
      <c r="D66" s="372"/>
      <c r="E66" s="373"/>
      <c r="F66" s="390"/>
      <c r="G66" s="390"/>
      <c r="H66" s="372"/>
      <c r="I66" s="373"/>
      <c r="J66" s="369"/>
      <c r="K66" s="363"/>
      <c r="L66" s="375"/>
      <c r="M66" s="373"/>
    </row>
    <row r="67" spans="1:14" x14ac:dyDescent="0.2">
      <c r="A67" s="21" t="s">
        <v>9</v>
      </c>
      <c r="B67" s="366"/>
      <c r="C67" s="391"/>
      <c r="D67" s="375"/>
      <c r="E67" s="373"/>
      <c r="F67" s="378"/>
      <c r="G67" s="391"/>
      <c r="H67" s="375"/>
      <c r="I67" s="373"/>
      <c r="J67" s="367"/>
      <c r="K67" s="366"/>
      <c r="L67" s="375"/>
      <c r="M67" s="373"/>
    </row>
    <row r="68" spans="1:14" x14ac:dyDescent="0.2">
      <c r="A68" s="21" t="s">
        <v>10</v>
      </c>
      <c r="B68" s="392"/>
      <c r="C68" s="393"/>
      <c r="D68" s="375"/>
      <c r="E68" s="373"/>
      <c r="F68" s="392"/>
      <c r="G68" s="393"/>
      <c r="H68" s="375"/>
      <c r="I68" s="373"/>
      <c r="J68" s="367"/>
      <c r="K68" s="366"/>
      <c r="L68" s="375"/>
      <c r="M68" s="373"/>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378"/>
      <c r="C75" s="391"/>
      <c r="D75" s="375"/>
      <c r="E75" s="373"/>
      <c r="F75" s="378"/>
      <c r="G75" s="391"/>
      <c r="H75" s="375"/>
      <c r="I75" s="373"/>
      <c r="J75" s="367"/>
      <c r="K75" s="366"/>
      <c r="L75" s="375"/>
      <c r="M75" s="373"/>
      <c r="N75" s="148"/>
    </row>
    <row r="76" spans="1:14" s="3" customFormat="1" x14ac:dyDescent="0.2">
      <c r="A76" s="21" t="s">
        <v>334</v>
      </c>
      <c r="B76" s="378"/>
      <c r="C76" s="391"/>
      <c r="D76" s="375"/>
      <c r="E76" s="373"/>
      <c r="F76" s="378"/>
      <c r="G76" s="391"/>
      <c r="H76" s="375"/>
      <c r="I76" s="373"/>
      <c r="J76" s="367"/>
      <c r="K76" s="366"/>
      <c r="L76" s="375"/>
      <c r="M76" s="373"/>
      <c r="N76" s="148"/>
    </row>
    <row r="77" spans="1:14" ht="15.75" x14ac:dyDescent="0.2">
      <c r="A77" s="21" t="s">
        <v>365</v>
      </c>
      <c r="B77" s="378"/>
      <c r="C77" s="378"/>
      <c r="D77" s="375"/>
      <c r="E77" s="373"/>
      <c r="F77" s="378"/>
      <c r="G77" s="391"/>
      <c r="H77" s="375"/>
      <c r="I77" s="373"/>
      <c r="J77" s="367"/>
      <c r="K77" s="366"/>
      <c r="L77" s="375"/>
      <c r="M77" s="373"/>
    </row>
    <row r="78" spans="1:14" x14ac:dyDescent="0.2">
      <c r="A78" s="21" t="s">
        <v>9</v>
      </c>
      <c r="B78" s="378"/>
      <c r="C78" s="391"/>
      <c r="D78" s="375"/>
      <c r="E78" s="373"/>
      <c r="F78" s="378"/>
      <c r="G78" s="391"/>
      <c r="H78" s="375"/>
      <c r="I78" s="373"/>
      <c r="J78" s="367"/>
      <c r="K78" s="366"/>
      <c r="L78" s="375"/>
      <c r="M78" s="373"/>
    </row>
    <row r="79" spans="1:14" x14ac:dyDescent="0.2">
      <c r="A79" s="38" t="s">
        <v>399</v>
      </c>
      <c r="B79" s="392"/>
      <c r="C79" s="393"/>
      <c r="D79" s="375"/>
      <c r="E79" s="373"/>
      <c r="F79" s="392"/>
      <c r="G79" s="393"/>
      <c r="H79" s="375"/>
      <c r="I79" s="373"/>
      <c r="J79" s="367"/>
      <c r="K79" s="366"/>
      <c r="L79" s="375"/>
      <c r="M79" s="373"/>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378"/>
      <c r="C86" s="391"/>
      <c r="D86" s="375"/>
      <c r="E86" s="373"/>
      <c r="F86" s="378"/>
      <c r="G86" s="391"/>
      <c r="H86" s="375"/>
      <c r="I86" s="373"/>
      <c r="J86" s="367"/>
      <c r="K86" s="366"/>
      <c r="L86" s="375"/>
      <c r="M86" s="373"/>
    </row>
    <row r="87" spans="1:13" ht="15.75" x14ac:dyDescent="0.2">
      <c r="A87" s="13" t="s">
        <v>348</v>
      </c>
      <c r="B87" s="390"/>
      <c r="C87" s="390"/>
      <c r="D87" s="375"/>
      <c r="E87" s="373"/>
      <c r="F87" s="390"/>
      <c r="G87" s="390"/>
      <c r="H87" s="375"/>
      <c r="I87" s="373"/>
      <c r="J87" s="369"/>
      <c r="K87" s="368"/>
      <c r="L87" s="375"/>
      <c r="M87" s="373"/>
    </row>
    <row r="88" spans="1:13" x14ac:dyDescent="0.2">
      <c r="A88" s="21" t="s">
        <v>9</v>
      </c>
      <c r="B88" s="378"/>
      <c r="C88" s="391"/>
      <c r="D88" s="375"/>
      <c r="E88" s="373"/>
      <c r="F88" s="378"/>
      <c r="G88" s="391"/>
      <c r="H88" s="375"/>
      <c r="I88" s="373"/>
      <c r="J88" s="367"/>
      <c r="K88" s="366"/>
      <c r="L88" s="375"/>
      <c r="M88" s="373"/>
    </row>
    <row r="89" spans="1:13" x14ac:dyDescent="0.2">
      <c r="A89" s="21" t="s">
        <v>10</v>
      </c>
      <c r="B89" s="378"/>
      <c r="C89" s="391"/>
      <c r="D89" s="375"/>
      <c r="E89" s="373"/>
      <c r="F89" s="378"/>
      <c r="G89" s="391"/>
      <c r="H89" s="375"/>
      <c r="I89" s="373"/>
      <c r="J89" s="367"/>
      <c r="K89" s="366"/>
      <c r="L89" s="375"/>
      <c r="M89" s="373"/>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378"/>
      <c r="C96" s="391"/>
      <c r="D96" s="375"/>
      <c r="E96" s="373"/>
      <c r="F96" s="378"/>
      <c r="G96" s="391"/>
      <c r="H96" s="375"/>
      <c r="I96" s="373"/>
      <c r="J96" s="367"/>
      <c r="K96" s="366"/>
      <c r="L96" s="375"/>
      <c r="M96" s="373"/>
    </row>
    <row r="97" spans="1:13" x14ac:dyDescent="0.2">
      <c r="A97" s="21" t="s">
        <v>332</v>
      </c>
      <c r="B97" s="378"/>
      <c r="C97" s="391"/>
      <c r="D97" s="375"/>
      <c r="E97" s="373"/>
      <c r="F97" s="378"/>
      <c r="G97" s="391"/>
      <c r="H97" s="375"/>
      <c r="I97" s="373"/>
      <c r="J97" s="367"/>
      <c r="K97" s="366"/>
      <c r="L97" s="375"/>
      <c r="M97" s="373"/>
    </row>
    <row r="98" spans="1:13" ht="15.75" x14ac:dyDescent="0.2">
      <c r="A98" s="21" t="s">
        <v>365</v>
      </c>
      <c r="B98" s="378"/>
      <c r="C98" s="378"/>
      <c r="D98" s="375"/>
      <c r="E98" s="373"/>
      <c r="F98" s="392"/>
      <c r="G98" s="392"/>
      <c r="H98" s="375"/>
      <c r="I98" s="373"/>
      <c r="J98" s="367"/>
      <c r="K98" s="366"/>
      <c r="L98" s="375"/>
      <c r="M98" s="373"/>
    </row>
    <row r="99" spans="1:13" x14ac:dyDescent="0.2">
      <c r="A99" s="21" t="s">
        <v>9</v>
      </c>
      <c r="B99" s="392"/>
      <c r="C99" s="393"/>
      <c r="D99" s="375"/>
      <c r="E99" s="373"/>
      <c r="F99" s="378"/>
      <c r="G99" s="391"/>
      <c r="H99" s="375"/>
      <c r="I99" s="373"/>
      <c r="J99" s="367"/>
      <c r="K99" s="366"/>
      <c r="L99" s="375"/>
      <c r="M99" s="373"/>
    </row>
    <row r="100" spans="1:13" x14ac:dyDescent="0.2">
      <c r="A100" s="38" t="s">
        <v>399</v>
      </c>
      <c r="B100" s="392"/>
      <c r="C100" s="393"/>
      <c r="D100" s="375"/>
      <c r="E100" s="373"/>
      <c r="F100" s="378"/>
      <c r="G100" s="378"/>
      <c r="H100" s="375"/>
      <c r="I100" s="373"/>
      <c r="J100" s="367"/>
      <c r="K100" s="366"/>
      <c r="L100" s="375"/>
      <c r="M100" s="373"/>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378"/>
      <c r="C107" s="391"/>
      <c r="D107" s="375"/>
      <c r="E107" s="373"/>
      <c r="F107" s="378"/>
      <c r="G107" s="391"/>
      <c r="H107" s="375"/>
      <c r="I107" s="373"/>
      <c r="J107" s="367"/>
      <c r="K107" s="366"/>
      <c r="L107" s="375"/>
      <c r="M107" s="373"/>
    </row>
    <row r="108" spans="1:13" ht="15.75" x14ac:dyDescent="0.2">
      <c r="A108" s="21" t="s">
        <v>367</v>
      </c>
      <c r="B108" s="378"/>
      <c r="C108" s="378"/>
      <c r="D108" s="375"/>
      <c r="E108" s="373"/>
      <c r="F108" s="378"/>
      <c r="G108" s="378"/>
      <c r="H108" s="375"/>
      <c r="I108" s="373"/>
      <c r="J108" s="367"/>
      <c r="K108" s="366"/>
      <c r="L108" s="375"/>
      <c r="M108" s="373"/>
    </row>
    <row r="109" spans="1:13" ht="15.75" x14ac:dyDescent="0.2">
      <c r="A109" s="38" t="s">
        <v>407</v>
      </c>
      <c r="B109" s="378"/>
      <c r="C109" s="378"/>
      <c r="D109" s="375"/>
      <c r="E109" s="373"/>
      <c r="F109" s="378"/>
      <c r="G109" s="378"/>
      <c r="H109" s="375"/>
      <c r="I109" s="373"/>
      <c r="J109" s="367"/>
      <c r="K109" s="366"/>
      <c r="L109" s="375"/>
      <c r="M109" s="373"/>
    </row>
    <row r="110" spans="1:13" ht="15.75" x14ac:dyDescent="0.2">
      <c r="A110" s="21" t="s">
        <v>368</v>
      </c>
      <c r="B110" s="378"/>
      <c r="C110" s="378"/>
      <c r="D110" s="375"/>
      <c r="E110" s="373"/>
      <c r="F110" s="378"/>
      <c r="G110" s="378"/>
      <c r="H110" s="375"/>
      <c r="I110" s="373"/>
      <c r="J110" s="367"/>
      <c r="K110" s="366"/>
      <c r="L110" s="375"/>
      <c r="M110" s="373"/>
    </row>
    <row r="111" spans="1:13" ht="15.75" x14ac:dyDescent="0.2">
      <c r="A111" s="13" t="s">
        <v>349</v>
      </c>
      <c r="B111" s="374"/>
      <c r="C111" s="394"/>
      <c r="D111" s="375"/>
      <c r="E111" s="373"/>
      <c r="F111" s="374"/>
      <c r="G111" s="394"/>
      <c r="H111" s="375"/>
      <c r="I111" s="373"/>
      <c r="J111" s="369"/>
      <c r="K111" s="368"/>
      <c r="L111" s="375"/>
      <c r="M111" s="373"/>
    </row>
    <row r="112" spans="1:13" x14ac:dyDescent="0.2">
      <c r="A112" s="21" t="s">
        <v>9</v>
      </c>
      <c r="B112" s="378"/>
      <c r="C112" s="391"/>
      <c r="D112" s="375"/>
      <c r="E112" s="373"/>
      <c r="F112" s="378"/>
      <c r="G112" s="391"/>
      <c r="H112" s="375"/>
      <c r="I112" s="373"/>
      <c r="J112" s="367"/>
      <c r="K112" s="366"/>
      <c r="L112" s="375"/>
      <c r="M112" s="373"/>
    </row>
    <row r="113" spans="1:14" x14ac:dyDescent="0.2">
      <c r="A113" s="21" t="s">
        <v>10</v>
      </c>
      <c r="B113" s="378"/>
      <c r="C113" s="391"/>
      <c r="D113" s="375"/>
      <c r="E113" s="373"/>
      <c r="F113" s="378"/>
      <c r="G113" s="391"/>
      <c r="H113" s="375"/>
      <c r="I113" s="373"/>
      <c r="J113" s="367"/>
      <c r="K113" s="366"/>
      <c r="L113" s="375"/>
      <c r="M113" s="373"/>
    </row>
    <row r="114" spans="1:14" x14ac:dyDescent="0.2">
      <c r="A114" s="21" t="s">
        <v>26</v>
      </c>
      <c r="B114" s="378"/>
      <c r="C114" s="391"/>
      <c r="D114" s="375"/>
      <c r="E114" s="373"/>
      <c r="F114" s="378"/>
      <c r="G114" s="391"/>
      <c r="H114" s="375"/>
      <c r="I114" s="373"/>
      <c r="J114" s="367"/>
      <c r="K114" s="366"/>
      <c r="L114" s="375"/>
      <c r="M114" s="373"/>
    </row>
    <row r="115" spans="1:14" x14ac:dyDescent="0.2">
      <c r="A115" s="299" t="s">
        <v>15</v>
      </c>
      <c r="B115" s="366"/>
      <c r="C115" s="366"/>
      <c r="D115" s="375"/>
      <c r="E115" s="396"/>
      <c r="F115" s="366"/>
      <c r="G115" s="366"/>
      <c r="H115" s="375"/>
      <c r="I115" s="373"/>
      <c r="J115" s="365"/>
      <c r="K115" s="365"/>
      <c r="L115" s="375"/>
      <c r="M115" s="373"/>
    </row>
    <row r="116" spans="1:14" ht="15.75" x14ac:dyDescent="0.2">
      <c r="A116" s="21" t="s">
        <v>369</v>
      </c>
      <c r="B116" s="378"/>
      <c r="C116" s="378"/>
      <c r="D116" s="375"/>
      <c r="E116" s="373"/>
      <c r="F116" s="378"/>
      <c r="G116" s="378"/>
      <c r="H116" s="375"/>
      <c r="I116" s="373"/>
      <c r="J116" s="367"/>
      <c r="K116" s="366"/>
      <c r="L116" s="375"/>
      <c r="M116" s="373"/>
    </row>
    <row r="117" spans="1:14" ht="15.75" x14ac:dyDescent="0.2">
      <c r="A117" s="38" t="s">
        <v>407</v>
      </c>
      <c r="B117" s="378"/>
      <c r="C117" s="378"/>
      <c r="D117" s="375"/>
      <c r="E117" s="373"/>
      <c r="F117" s="378"/>
      <c r="G117" s="378"/>
      <c r="H117" s="375"/>
      <c r="I117" s="373"/>
      <c r="J117" s="367"/>
      <c r="K117" s="366"/>
      <c r="L117" s="375"/>
      <c r="M117" s="373"/>
    </row>
    <row r="118" spans="1:14" ht="15.75" x14ac:dyDescent="0.2">
      <c r="A118" s="21" t="s">
        <v>368</v>
      </c>
      <c r="B118" s="378"/>
      <c r="C118" s="378"/>
      <c r="D118" s="375"/>
      <c r="E118" s="373"/>
      <c r="F118" s="378"/>
      <c r="G118" s="378"/>
      <c r="H118" s="375"/>
      <c r="I118" s="373"/>
      <c r="J118" s="367"/>
      <c r="K118" s="366"/>
      <c r="L118" s="375"/>
      <c r="M118" s="373"/>
    </row>
    <row r="119" spans="1:14" ht="15.75" x14ac:dyDescent="0.2">
      <c r="A119" s="13" t="s">
        <v>350</v>
      </c>
      <c r="B119" s="374"/>
      <c r="C119" s="394"/>
      <c r="D119" s="375"/>
      <c r="E119" s="373"/>
      <c r="F119" s="374"/>
      <c r="G119" s="394"/>
      <c r="H119" s="375"/>
      <c r="I119" s="373"/>
      <c r="J119" s="369"/>
      <c r="K119" s="368"/>
      <c r="L119" s="375"/>
      <c r="M119" s="373"/>
    </row>
    <row r="120" spans="1:14" x14ac:dyDescent="0.2">
      <c r="A120" s="21" t="s">
        <v>9</v>
      </c>
      <c r="B120" s="378"/>
      <c r="C120" s="391"/>
      <c r="D120" s="375"/>
      <c r="E120" s="373"/>
      <c r="F120" s="378"/>
      <c r="G120" s="391"/>
      <c r="H120" s="375"/>
      <c r="I120" s="373"/>
      <c r="J120" s="367"/>
      <c r="K120" s="366"/>
      <c r="L120" s="375"/>
      <c r="M120" s="373"/>
    </row>
    <row r="121" spans="1:14" x14ac:dyDescent="0.2">
      <c r="A121" s="21" t="s">
        <v>10</v>
      </c>
      <c r="B121" s="378"/>
      <c r="C121" s="391"/>
      <c r="D121" s="375"/>
      <c r="E121" s="373"/>
      <c r="F121" s="378"/>
      <c r="G121" s="391"/>
      <c r="H121" s="375"/>
      <c r="I121" s="373"/>
      <c r="J121" s="367"/>
      <c r="K121" s="366"/>
      <c r="L121" s="375"/>
      <c r="M121" s="373"/>
    </row>
    <row r="122" spans="1:14" x14ac:dyDescent="0.2">
      <c r="A122" s="21" t="s">
        <v>26</v>
      </c>
      <c r="B122" s="378"/>
      <c r="C122" s="391"/>
      <c r="D122" s="375"/>
      <c r="E122" s="373"/>
      <c r="F122" s="378"/>
      <c r="G122" s="391"/>
      <c r="H122" s="375"/>
      <c r="I122" s="373"/>
      <c r="J122" s="367"/>
      <c r="K122" s="366"/>
      <c r="L122" s="375"/>
      <c r="M122" s="373"/>
    </row>
    <row r="123" spans="1:14" x14ac:dyDescent="0.2">
      <c r="A123" s="299" t="s">
        <v>14</v>
      </c>
      <c r="B123" s="366"/>
      <c r="C123" s="366"/>
      <c r="D123" s="375"/>
      <c r="E123" s="396"/>
      <c r="F123" s="366"/>
      <c r="G123" s="366"/>
      <c r="H123" s="375"/>
      <c r="I123" s="373"/>
      <c r="J123" s="365"/>
      <c r="K123" s="365"/>
      <c r="L123" s="375"/>
      <c r="M123" s="373"/>
    </row>
    <row r="124" spans="1:14" ht="15.75" x14ac:dyDescent="0.2">
      <c r="A124" s="21" t="s">
        <v>374</v>
      </c>
      <c r="B124" s="378"/>
      <c r="C124" s="378"/>
      <c r="D124" s="375"/>
      <c r="E124" s="373"/>
      <c r="F124" s="378"/>
      <c r="G124" s="378"/>
      <c r="H124" s="375"/>
      <c r="I124" s="373"/>
      <c r="J124" s="367"/>
      <c r="K124" s="366"/>
      <c r="L124" s="375"/>
      <c r="M124" s="373"/>
    </row>
    <row r="125" spans="1:14" ht="15.75" x14ac:dyDescent="0.2">
      <c r="A125" s="38" t="s">
        <v>407</v>
      </c>
      <c r="B125" s="378"/>
      <c r="C125" s="378"/>
      <c r="D125" s="375"/>
      <c r="E125" s="373"/>
      <c r="F125" s="378"/>
      <c r="G125" s="378"/>
      <c r="H125" s="375"/>
      <c r="I125" s="373"/>
      <c r="J125" s="367"/>
      <c r="K125" s="366"/>
      <c r="L125" s="375"/>
      <c r="M125" s="373"/>
    </row>
    <row r="126" spans="1:14" ht="15.75" x14ac:dyDescent="0.2">
      <c r="A126" s="10" t="s">
        <v>368</v>
      </c>
      <c r="B126" s="388"/>
      <c r="C126" s="388"/>
      <c r="D126" s="379"/>
      <c r="E126" s="395"/>
      <c r="F126" s="388"/>
      <c r="G126" s="388"/>
      <c r="H126" s="379"/>
      <c r="I126" s="379"/>
      <c r="J126" s="389"/>
      <c r="K126" s="388"/>
      <c r="L126" s="379"/>
      <c r="M126" s="379"/>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359"/>
      <c r="C130" s="359"/>
      <c r="D130" s="359"/>
      <c r="E130" s="360"/>
      <c r="F130" s="359"/>
      <c r="G130" s="359"/>
      <c r="H130" s="359"/>
      <c r="I130" s="360"/>
      <c r="J130" s="359"/>
      <c r="K130" s="359"/>
      <c r="L130" s="359"/>
      <c r="M130" s="360"/>
    </row>
    <row r="131" spans="1:14" s="3" customFormat="1" x14ac:dyDescent="0.2">
      <c r="A131" s="144"/>
      <c r="B131" s="719" t="s">
        <v>0</v>
      </c>
      <c r="C131" s="720"/>
      <c r="D131" s="720"/>
      <c r="E131" s="357"/>
      <c r="F131" s="719" t="s">
        <v>1</v>
      </c>
      <c r="G131" s="720"/>
      <c r="H131" s="720"/>
      <c r="I131" s="358"/>
      <c r="J131" s="719" t="s">
        <v>2</v>
      </c>
      <c r="K131" s="720"/>
      <c r="L131" s="720"/>
      <c r="M131" s="358"/>
      <c r="N131" s="148"/>
    </row>
    <row r="132" spans="1:14" s="3" customFormat="1" x14ac:dyDescent="0.2">
      <c r="A132" s="140"/>
      <c r="B132" s="152" t="s">
        <v>432</v>
      </c>
      <c r="C132" s="152" t="s">
        <v>433</v>
      </c>
      <c r="D132" s="246" t="s">
        <v>3</v>
      </c>
      <c r="E132" s="308" t="s">
        <v>29</v>
      </c>
      <c r="F132" s="152" t="s">
        <v>432</v>
      </c>
      <c r="G132" s="152" t="s">
        <v>433</v>
      </c>
      <c r="H132" s="206" t="s">
        <v>3</v>
      </c>
      <c r="I132" s="308"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368"/>
      <c r="C134" s="369"/>
      <c r="D134" s="372"/>
      <c r="E134" s="373"/>
      <c r="F134" s="363"/>
      <c r="G134" s="364"/>
      <c r="H134" s="397"/>
      <c r="I134" s="373"/>
      <c r="J134" s="381"/>
      <c r="K134" s="381"/>
      <c r="L134" s="372"/>
      <c r="M134" s="373"/>
      <c r="N134" s="148"/>
    </row>
    <row r="135" spans="1:14" s="3" customFormat="1" ht="15.75" x14ac:dyDescent="0.2">
      <c r="A135" s="13" t="s">
        <v>375</v>
      </c>
      <c r="B135" s="368"/>
      <c r="C135" s="369"/>
      <c r="D135" s="375"/>
      <c r="E135" s="373"/>
      <c r="F135" s="368"/>
      <c r="G135" s="369"/>
      <c r="H135" s="398"/>
      <c r="I135" s="373"/>
      <c r="J135" s="374"/>
      <c r="K135" s="374"/>
      <c r="L135" s="375"/>
      <c r="M135" s="373"/>
      <c r="N135" s="148"/>
    </row>
    <row r="136" spans="1:14" s="3" customFormat="1" ht="15.75" x14ac:dyDescent="0.2">
      <c r="A136" s="13" t="s">
        <v>372</v>
      </c>
      <c r="B136" s="368"/>
      <c r="C136" s="369"/>
      <c r="D136" s="375"/>
      <c r="E136" s="373"/>
      <c r="F136" s="368"/>
      <c r="G136" s="369"/>
      <c r="H136" s="398"/>
      <c r="I136" s="373"/>
      <c r="J136" s="374"/>
      <c r="K136" s="374"/>
      <c r="L136" s="375"/>
      <c r="M136" s="373"/>
      <c r="N136" s="148"/>
    </row>
    <row r="137" spans="1:14" s="3" customFormat="1" ht="15.75" x14ac:dyDescent="0.2">
      <c r="A137" s="41" t="s">
        <v>373</v>
      </c>
      <c r="B137" s="370"/>
      <c r="C137" s="371"/>
      <c r="D137" s="379"/>
      <c r="E137" s="395"/>
      <c r="F137" s="370"/>
      <c r="G137" s="371"/>
      <c r="H137" s="399"/>
      <c r="I137" s="395"/>
      <c r="J137" s="380"/>
      <c r="K137" s="380"/>
      <c r="L137" s="379"/>
      <c r="M137" s="379"/>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50:C52">
    <cfRule type="expression" dxfId="594" priority="132">
      <formula>kvartal &lt; 4</formula>
    </cfRule>
  </conditionalFormatting>
  <conditionalFormatting sqref="B115">
    <cfRule type="expression" dxfId="593" priority="76">
      <formula>kvartal &lt; 4</formula>
    </cfRule>
  </conditionalFormatting>
  <conditionalFormatting sqref="C115">
    <cfRule type="expression" dxfId="592" priority="75">
      <formula>kvartal &lt; 4</formula>
    </cfRule>
  </conditionalFormatting>
  <conditionalFormatting sqref="B123">
    <cfRule type="expression" dxfId="591" priority="74">
      <formula>kvartal &lt; 4</formula>
    </cfRule>
  </conditionalFormatting>
  <conditionalFormatting sqref="C123">
    <cfRule type="expression" dxfId="590" priority="73">
      <formula>kvartal &lt; 4</formula>
    </cfRule>
  </conditionalFormatting>
  <conditionalFormatting sqref="F115">
    <cfRule type="expression" dxfId="589" priority="58">
      <formula>kvartal &lt; 4</formula>
    </cfRule>
  </conditionalFormatting>
  <conditionalFormatting sqref="G115">
    <cfRule type="expression" dxfId="588" priority="57">
      <formula>kvartal &lt; 4</formula>
    </cfRule>
  </conditionalFormatting>
  <conditionalFormatting sqref="F123:G123">
    <cfRule type="expression" dxfId="587" priority="56">
      <formula>kvartal &lt; 4</formula>
    </cfRule>
  </conditionalFormatting>
  <conditionalFormatting sqref="J115:K115">
    <cfRule type="expression" dxfId="586" priority="32">
      <formula>kvartal &lt; 4</formula>
    </cfRule>
  </conditionalFormatting>
  <conditionalFormatting sqref="J123:K123">
    <cfRule type="expression" dxfId="585" priority="31">
      <formula>kvartal &lt; 4</formula>
    </cfRule>
  </conditionalFormatting>
  <conditionalFormatting sqref="A50:A52">
    <cfRule type="expression" dxfId="584" priority="12">
      <formula>kvartal &lt; 4</formula>
    </cfRule>
  </conditionalFormatting>
  <conditionalFormatting sqref="A69:A74">
    <cfRule type="expression" dxfId="583" priority="10">
      <formula>kvartal &lt; 4</formula>
    </cfRule>
  </conditionalFormatting>
  <conditionalFormatting sqref="A80:A85">
    <cfRule type="expression" dxfId="582" priority="9">
      <formula>kvartal &lt; 4</formula>
    </cfRule>
  </conditionalFormatting>
  <conditionalFormatting sqref="A90:A95">
    <cfRule type="expression" dxfId="581" priority="6">
      <formula>kvartal &lt; 4</formula>
    </cfRule>
  </conditionalFormatting>
  <conditionalFormatting sqref="A101:A106">
    <cfRule type="expression" dxfId="580" priority="5">
      <formula>kvartal &lt; 4</formula>
    </cfRule>
  </conditionalFormatting>
  <conditionalFormatting sqref="A115">
    <cfRule type="expression" dxfId="579" priority="4">
      <formula>kvartal &lt; 4</formula>
    </cfRule>
  </conditionalFormatting>
  <conditionalFormatting sqref="A123">
    <cfRule type="expression" dxfId="578"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7" x14ac:dyDescent="0.2">
      <c r="A1" s="172" t="s">
        <v>131</v>
      </c>
      <c r="B1" s="678"/>
      <c r="C1" s="250" t="s">
        <v>123</v>
      </c>
      <c r="D1" s="26"/>
      <c r="E1" s="26"/>
      <c r="F1" s="26"/>
      <c r="G1" s="26"/>
      <c r="H1" s="26"/>
      <c r="I1" s="26"/>
      <c r="J1" s="26"/>
      <c r="K1" s="26"/>
      <c r="L1" s="26"/>
      <c r="M1" s="26"/>
    </row>
    <row r="2" spans="1:17" ht="15.75" x14ac:dyDescent="0.25">
      <c r="A2" s="165" t="s">
        <v>28</v>
      </c>
      <c r="B2" s="718"/>
      <c r="C2" s="718"/>
      <c r="D2" s="718"/>
      <c r="E2" s="302"/>
      <c r="F2" s="718"/>
      <c r="G2" s="718"/>
      <c r="H2" s="718"/>
      <c r="I2" s="302"/>
      <c r="J2" s="718"/>
      <c r="K2" s="718"/>
      <c r="L2" s="718"/>
      <c r="M2" s="302"/>
    </row>
    <row r="3" spans="1:17" ht="15.75" x14ac:dyDescent="0.25">
      <c r="A3" s="163"/>
      <c r="B3" s="302"/>
      <c r="C3" s="302"/>
      <c r="D3" s="302"/>
      <c r="E3" s="302"/>
      <c r="F3" s="302"/>
      <c r="G3" s="302"/>
      <c r="H3" s="302"/>
      <c r="I3" s="302"/>
      <c r="J3" s="302"/>
      <c r="K3" s="302"/>
      <c r="L3" s="302"/>
      <c r="M3" s="302"/>
    </row>
    <row r="4" spans="1:17" x14ac:dyDescent="0.2">
      <c r="A4" s="144"/>
      <c r="B4" s="719" t="s">
        <v>0</v>
      </c>
      <c r="C4" s="720"/>
      <c r="D4" s="720"/>
      <c r="E4" s="304"/>
      <c r="F4" s="719" t="s">
        <v>1</v>
      </c>
      <c r="G4" s="720"/>
      <c r="H4" s="720"/>
      <c r="I4" s="307"/>
      <c r="J4" s="719" t="s">
        <v>2</v>
      </c>
      <c r="K4" s="720"/>
      <c r="L4" s="720"/>
      <c r="M4" s="307"/>
    </row>
    <row r="5" spans="1:17"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7" x14ac:dyDescent="0.2">
      <c r="A6" s="679"/>
      <c r="B6" s="156"/>
      <c r="C6" s="156"/>
      <c r="D6" s="248" t="s">
        <v>4</v>
      </c>
      <c r="E6" s="156" t="s">
        <v>30</v>
      </c>
      <c r="F6" s="161"/>
      <c r="G6" s="161"/>
      <c r="H6" s="246" t="s">
        <v>4</v>
      </c>
      <c r="I6" s="156" t="s">
        <v>30</v>
      </c>
      <c r="J6" s="161"/>
      <c r="K6" s="161"/>
      <c r="L6" s="246" t="s">
        <v>4</v>
      </c>
      <c r="M6" s="156" t="s">
        <v>30</v>
      </c>
    </row>
    <row r="7" spans="1:17" ht="15.75" x14ac:dyDescent="0.2">
      <c r="A7" s="14" t="s">
        <v>23</v>
      </c>
      <c r="B7" s="309">
        <v>235530</v>
      </c>
      <c r="C7" s="310">
        <v>255090</v>
      </c>
      <c r="D7" s="352">
        <f>IF(B7=0, "    ---- ", IF(ABS(ROUND(100/B7*C7-100,1))&lt;999,ROUND(100/B7*C7-100,1),IF(ROUND(100/B7*C7-100,1)&gt;999,999,-999)))</f>
        <v>8.3000000000000007</v>
      </c>
      <c r="E7" s="11">
        <f>IFERROR(100/'Skjema total MA'!C7*C7,0)</f>
        <v>13.502518066312078</v>
      </c>
      <c r="F7" s="309"/>
      <c r="G7" s="310"/>
      <c r="H7" s="352"/>
      <c r="I7" s="160"/>
      <c r="J7" s="311">
        <f t="shared" ref="J7:K10" si="0">SUM(B7,F7)</f>
        <v>235530</v>
      </c>
      <c r="K7" s="312">
        <f t="shared" si="0"/>
        <v>255090</v>
      </c>
      <c r="L7" s="424">
        <f>IF(J7=0, "    ---- ", IF(ABS(ROUND(100/J7*K7-100,1))&lt;999,ROUND(100/J7*K7-100,1),IF(ROUND(100/J7*K7-100,1)&gt;999,999,-999)))</f>
        <v>8.3000000000000007</v>
      </c>
      <c r="M7" s="11">
        <f>IFERROR(100/'Skjema total MA'!I7*K7,0)</f>
        <v>5.555021005471013</v>
      </c>
    </row>
    <row r="8" spans="1:17" ht="15.75" x14ac:dyDescent="0.2">
      <c r="A8" s="21" t="s">
        <v>25</v>
      </c>
      <c r="B8" s="286">
        <v>204970</v>
      </c>
      <c r="C8" s="287">
        <v>223121</v>
      </c>
      <c r="D8" s="166">
        <f t="shared" ref="D8:D10" si="1">IF(B8=0, "    ---- ", IF(ABS(ROUND(100/B8*C8-100,1))&lt;999,ROUND(100/B8*C8-100,1),IF(ROUND(100/B8*C8-100,1)&gt;999,999,-999)))</f>
        <v>8.9</v>
      </c>
      <c r="E8" s="27">
        <f>IFERROR(100/'Skjema total MA'!C8*C8,0)</f>
        <v>18.291836415024541</v>
      </c>
      <c r="F8" s="290"/>
      <c r="G8" s="291"/>
      <c r="H8" s="166"/>
      <c r="I8" s="176"/>
      <c r="J8" s="234">
        <f t="shared" si="0"/>
        <v>204970</v>
      </c>
      <c r="K8" s="292">
        <f t="shared" si="0"/>
        <v>223121</v>
      </c>
      <c r="L8" s="166">
        <f t="shared" ref="L8:L9" si="2">IF(J8=0, "    ---- ", IF(ABS(ROUND(100/J8*K8-100,1))&lt;999,ROUND(100/J8*K8-100,1),IF(ROUND(100/J8*K8-100,1)&gt;999,999,-999)))</f>
        <v>8.9</v>
      </c>
      <c r="M8" s="27">
        <f>IFERROR(100/'Skjema total MA'!I8*K8,0)</f>
        <v>18.291836415024541</v>
      </c>
    </row>
    <row r="9" spans="1:17" ht="15.75" x14ac:dyDescent="0.2">
      <c r="A9" s="21" t="s">
        <v>24</v>
      </c>
      <c r="B9" s="286">
        <v>30560</v>
      </c>
      <c r="C9" s="287">
        <v>31969</v>
      </c>
      <c r="D9" s="166">
        <f t="shared" si="1"/>
        <v>4.5999999999999996</v>
      </c>
      <c r="E9" s="27">
        <f>IFERROR(100/'Skjema total MA'!C9*C9,0)</f>
        <v>7.322879911708883</v>
      </c>
      <c r="F9" s="290"/>
      <c r="G9" s="291"/>
      <c r="H9" s="166"/>
      <c r="I9" s="176"/>
      <c r="J9" s="234">
        <f t="shared" si="0"/>
        <v>30560</v>
      </c>
      <c r="K9" s="292">
        <f t="shared" si="0"/>
        <v>31969</v>
      </c>
      <c r="L9" s="166">
        <f t="shared" si="2"/>
        <v>4.5999999999999996</v>
      </c>
      <c r="M9" s="27">
        <f>IFERROR(100/'Skjema total MA'!I9*K9,0)</f>
        <v>7.322879911708883</v>
      </c>
    </row>
    <row r="10" spans="1:17" ht="15.75" x14ac:dyDescent="0.2">
      <c r="A10" s="13" t="s">
        <v>348</v>
      </c>
      <c r="B10" s="313">
        <v>239738</v>
      </c>
      <c r="C10" s="314">
        <v>259275</v>
      </c>
      <c r="D10" s="171">
        <f t="shared" si="1"/>
        <v>8.1</v>
      </c>
      <c r="E10" s="11">
        <f>IFERROR(100/'Skjema total MA'!C10*C10,0)</f>
        <v>1.7585449010152134</v>
      </c>
      <c r="F10" s="313"/>
      <c r="G10" s="314"/>
      <c r="H10" s="171"/>
      <c r="I10" s="160"/>
      <c r="J10" s="311">
        <f t="shared" si="0"/>
        <v>239738</v>
      </c>
      <c r="K10" s="312">
        <f t="shared" si="0"/>
        <v>259275</v>
      </c>
      <c r="L10" s="425">
        <f t="shared" ref="L10" si="3">IF(J10=0, "    ---- ", IF(ABS(ROUND(100/J10*K10-100,1))&lt;999,ROUND(100/J10*K10-100,1),IF(ROUND(100/J10*K10-100,1)&gt;999,999,-999)))</f>
        <v>8.1</v>
      </c>
      <c r="M10" s="11">
        <f>IFERROR(100/'Skjema total MA'!I10*K10,0)</f>
        <v>0.28722175286851709</v>
      </c>
    </row>
    <row r="11" spans="1:17" s="43" customFormat="1" ht="15.75" x14ac:dyDescent="0.2">
      <c r="A11" s="13" t="s">
        <v>349</v>
      </c>
      <c r="B11" s="313"/>
      <c r="C11" s="314"/>
      <c r="D11" s="171"/>
      <c r="E11" s="11"/>
      <c r="F11" s="313"/>
      <c r="G11" s="314"/>
      <c r="H11" s="171"/>
      <c r="I11" s="160"/>
      <c r="J11" s="311"/>
      <c r="K11" s="312"/>
      <c r="L11" s="425"/>
      <c r="M11" s="11"/>
      <c r="N11" s="143"/>
      <c r="Q11" s="143"/>
    </row>
    <row r="12" spans="1:17" s="43" customFormat="1" ht="15.75" x14ac:dyDescent="0.2">
      <c r="A12" s="41" t="s">
        <v>350</v>
      </c>
      <c r="B12" s="315"/>
      <c r="C12" s="316"/>
      <c r="D12" s="169"/>
      <c r="E12" s="36"/>
      <c r="F12" s="315"/>
      <c r="G12" s="316"/>
      <c r="H12" s="169"/>
      <c r="I12" s="169"/>
      <c r="J12" s="317"/>
      <c r="K12" s="318"/>
      <c r="L12" s="426"/>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268</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238577</v>
      </c>
      <c r="C22" s="313">
        <v>270871</v>
      </c>
      <c r="D22" s="352">
        <f t="shared" ref="D22:D30" si="4">IF(B22=0, "    ---- ", IF(ABS(ROUND(100/B22*C22-100,1))&lt;999,ROUND(100/B22*C22-100,1),IF(ROUND(100/B22*C22-100,1)&gt;999,999,-999)))</f>
        <v>13.5</v>
      </c>
      <c r="E22" s="11">
        <f>IFERROR(100/'Skjema total MA'!C22*C22,0)</f>
        <v>32.937944171835447</v>
      </c>
      <c r="F22" s="321"/>
      <c r="G22" s="321"/>
      <c r="H22" s="352"/>
      <c r="I22" s="11"/>
      <c r="J22" s="319">
        <f t="shared" ref="J22:K29" si="5">SUM(B22,F22)</f>
        <v>238577</v>
      </c>
      <c r="K22" s="319">
        <f t="shared" si="5"/>
        <v>270871</v>
      </c>
      <c r="L22" s="424">
        <f t="shared" ref="L22:L30" si="6">IF(J22=0, "    ---- ", IF(ABS(ROUND(100/J22*K22-100,1))&lt;999,ROUND(100/J22*K22-100,1),IF(ROUND(100/J22*K22-100,1)&gt;999,999,-999)))</f>
        <v>13.5</v>
      </c>
      <c r="M22" s="24">
        <f>IFERROR(100/'Skjema total MA'!I22*K22,0)</f>
        <v>25.673798301617051</v>
      </c>
    </row>
    <row r="23" spans="1:14" ht="15.75" x14ac:dyDescent="0.2">
      <c r="A23" s="507" t="s">
        <v>351</v>
      </c>
      <c r="B23" s="286">
        <v>238577</v>
      </c>
      <c r="C23" s="286">
        <v>270871</v>
      </c>
      <c r="D23" s="166">
        <f t="shared" si="4"/>
        <v>13.5</v>
      </c>
      <c r="E23" s="11">
        <f>IFERROR(100/'Skjema total MA'!C23*C23,0)</f>
        <v>46.077460209479511</v>
      </c>
      <c r="F23" s="294"/>
      <c r="G23" s="294"/>
      <c r="H23" s="166"/>
      <c r="I23" s="414"/>
      <c r="J23" s="294">
        <f t="shared" ref="J23" si="7">SUM(B23,F23)</f>
        <v>238577</v>
      </c>
      <c r="K23" s="294">
        <f t="shared" ref="K23" si="8">SUM(C23,G23)</f>
        <v>270871</v>
      </c>
      <c r="L23" s="166">
        <f t="shared" si="6"/>
        <v>13.5</v>
      </c>
      <c r="M23" s="23">
        <f>IFERROR(100/'Skjema total MA'!I23*K23,0)</f>
        <v>45.122829463799498</v>
      </c>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v>238577</v>
      </c>
      <c r="C28" s="292">
        <v>270871</v>
      </c>
      <c r="D28" s="166">
        <f t="shared" si="4"/>
        <v>13.5</v>
      </c>
      <c r="E28" s="11">
        <f>IFERROR(100/'Skjema total MA'!C28*C28,0)</f>
        <v>28.527547936604261</v>
      </c>
      <c r="F28" s="234"/>
      <c r="G28" s="292"/>
      <c r="H28" s="166"/>
      <c r="I28" s="27"/>
      <c r="J28" s="44">
        <f t="shared" si="5"/>
        <v>238577</v>
      </c>
      <c r="K28" s="44">
        <f t="shared" si="5"/>
        <v>270871</v>
      </c>
      <c r="L28" s="259">
        <f t="shared" si="6"/>
        <v>13.5</v>
      </c>
      <c r="M28" s="23">
        <f>IFERROR(100/'Skjema total MA'!I28*K28,0)</f>
        <v>28.527547936604261</v>
      </c>
    </row>
    <row r="29" spans="1:14" s="3" customFormat="1" ht="15.75" x14ac:dyDescent="0.2">
      <c r="A29" s="13" t="s">
        <v>348</v>
      </c>
      <c r="B29" s="236">
        <v>1199609</v>
      </c>
      <c r="C29" s="236">
        <v>1475329</v>
      </c>
      <c r="D29" s="171">
        <f t="shared" si="4"/>
        <v>23</v>
      </c>
      <c r="E29" s="11">
        <f>IFERROR(100/'Skjema total MA'!C29*C29,0)</f>
        <v>3.3432334259963721</v>
      </c>
      <c r="F29" s="311"/>
      <c r="G29" s="311"/>
      <c r="H29" s="171"/>
      <c r="I29" s="11"/>
      <c r="J29" s="236">
        <f t="shared" si="5"/>
        <v>1199609</v>
      </c>
      <c r="K29" s="236">
        <f t="shared" si="5"/>
        <v>1475329</v>
      </c>
      <c r="L29" s="425">
        <f t="shared" si="6"/>
        <v>23</v>
      </c>
      <c r="M29" s="24">
        <f>IFERROR(100/'Skjema total MA'!I29*K29,0)</f>
        <v>2.1399074638929894</v>
      </c>
      <c r="N29" s="148"/>
    </row>
    <row r="30" spans="1:14" s="3" customFormat="1" ht="15.75" x14ac:dyDescent="0.2">
      <c r="A30" s="507" t="s">
        <v>351</v>
      </c>
      <c r="B30" s="286">
        <v>1199609</v>
      </c>
      <c r="C30" s="286">
        <v>1475329</v>
      </c>
      <c r="D30" s="166">
        <f t="shared" si="4"/>
        <v>23</v>
      </c>
      <c r="E30" s="11">
        <f>IFERROR(100/'Skjema total MA'!C30*C30,0)</f>
        <v>8.4583755941720629</v>
      </c>
      <c r="F30" s="294"/>
      <c r="G30" s="294"/>
      <c r="H30" s="166"/>
      <c r="I30" s="414"/>
      <c r="J30" s="294">
        <f t="shared" ref="J30" si="9">SUM(B30,F30)</f>
        <v>1199609</v>
      </c>
      <c r="K30" s="294">
        <f t="shared" ref="K30" si="10">SUM(C30,G30)</f>
        <v>1475329</v>
      </c>
      <c r="L30" s="166">
        <f t="shared" si="6"/>
        <v>23</v>
      </c>
      <c r="M30" s="23">
        <f>IFERROR(100/'Skjema total MA'!I30*K30,0)</f>
        <v>7.0444810586487998</v>
      </c>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35565</v>
      </c>
      <c r="C47" s="314">
        <v>35778</v>
      </c>
      <c r="D47" s="424">
        <f t="shared" ref="D47:D48" si="11">IF(B47=0, "    ---- ", IF(ABS(ROUND(100/B47*C47-100,1))&lt;999,ROUND(100/B47*C47-100,1),IF(ROUND(100/B47*C47-100,1)&gt;999,999,-999)))</f>
        <v>0.6</v>
      </c>
      <c r="E47" s="11">
        <f>IFERROR(100/'Skjema total MA'!C47*C47,0)</f>
        <v>0.95745149226651594</v>
      </c>
      <c r="F47" s="145"/>
      <c r="G47" s="33"/>
      <c r="H47" s="159"/>
      <c r="I47" s="159"/>
      <c r="J47" s="37"/>
      <c r="K47" s="37"/>
      <c r="L47" s="159"/>
      <c r="M47" s="159"/>
      <c r="N47" s="148"/>
    </row>
    <row r="48" spans="1:14" s="3" customFormat="1" ht="15.75" x14ac:dyDescent="0.2">
      <c r="A48" s="38" t="s">
        <v>359</v>
      </c>
      <c r="B48" s="286">
        <v>35565</v>
      </c>
      <c r="C48" s="287">
        <v>35778</v>
      </c>
      <c r="D48" s="259">
        <f t="shared" si="11"/>
        <v>0.6</v>
      </c>
      <c r="E48" s="27">
        <f>IFERROR(100/'Skjema total MA'!C48*C48,0)</f>
        <v>1.7719130986962035</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77" priority="132">
      <formula>kvartal &lt; 4</formula>
    </cfRule>
  </conditionalFormatting>
  <conditionalFormatting sqref="B115">
    <cfRule type="expression" dxfId="576" priority="76">
      <formula>kvartal &lt; 4</formula>
    </cfRule>
  </conditionalFormatting>
  <conditionalFormatting sqref="C115">
    <cfRule type="expression" dxfId="575" priority="75">
      <formula>kvartal &lt; 4</formula>
    </cfRule>
  </conditionalFormatting>
  <conditionalFormatting sqref="B123">
    <cfRule type="expression" dxfId="574" priority="74">
      <formula>kvartal &lt; 4</formula>
    </cfRule>
  </conditionalFormatting>
  <conditionalFormatting sqref="C123">
    <cfRule type="expression" dxfId="573" priority="73">
      <formula>kvartal &lt; 4</formula>
    </cfRule>
  </conditionalFormatting>
  <conditionalFormatting sqref="F115">
    <cfRule type="expression" dxfId="572" priority="58">
      <formula>kvartal &lt; 4</formula>
    </cfRule>
  </conditionalFormatting>
  <conditionalFormatting sqref="G115">
    <cfRule type="expression" dxfId="571" priority="57">
      <formula>kvartal &lt; 4</formula>
    </cfRule>
  </conditionalFormatting>
  <conditionalFormatting sqref="F123:G123">
    <cfRule type="expression" dxfId="570" priority="56">
      <formula>kvartal &lt; 4</formula>
    </cfRule>
  </conditionalFormatting>
  <conditionalFormatting sqref="J115:K115">
    <cfRule type="expression" dxfId="569" priority="32">
      <formula>kvartal &lt; 4</formula>
    </cfRule>
  </conditionalFormatting>
  <conditionalFormatting sqref="J123:K123">
    <cfRule type="expression" dxfId="568" priority="31">
      <formula>kvartal &lt; 4</formula>
    </cfRule>
  </conditionalFormatting>
  <conditionalFormatting sqref="A50:A52">
    <cfRule type="expression" dxfId="567" priority="12">
      <formula>kvartal &lt; 4</formula>
    </cfRule>
  </conditionalFormatting>
  <conditionalFormatting sqref="A69:A74">
    <cfRule type="expression" dxfId="566" priority="10">
      <formula>kvartal &lt; 4</formula>
    </cfRule>
  </conditionalFormatting>
  <conditionalFormatting sqref="A80:A85">
    <cfRule type="expression" dxfId="565" priority="9">
      <formula>kvartal &lt; 4</formula>
    </cfRule>
  </conditionalFormatting>
  <conditionalFormatting sqref="A90:A95">
    <cfRule type="expression" dxfId="564" priority="6">
      <formula>kvartal &lt; 4</formula>
    </cfRule>
  </conditionalFormatting>
  <conditionalFormatting sqref="A101:A106">
    <cfRule type="expression" dxfId="563" priority="5">
      <formula>kvartal &lt; 4</formula>
    </cfRule>
  </conditionalFormatting>
  <conditionalFormatting sqref="A115">
    <cfRule type="expression" dxfId="562" priority="4">
      <formula>kvartal &lt; 4</formula>
    </cfRule>
  </conditionalFormatting>
  <conditionalFormatting sqref="A123">
    <cfRule type="expression" dxfId="561"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124</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6055.442</v>
      </c>
      <c r="C47" s="314">
        <v>6113.049</v>
      </c>
      <c r="D47" s="424">
        <f t="shared" ref="D47:D54" si="0">IF(B47=0, "    ---- ", IF(ABS(ROUND(100/B47*C47-100,1))&lt;999,ROUND(100/B47*C47-100,1),IF(ROUND(100/B47*C47-100,1)&gt;999,999,-999)))</f>
        <v>1</v>
      </c>
      <c r="E47" s="11">
        <f>IFERROR(100/'Skjema total MA'!C47*C47,0)</f>
        <v>0.16359069504579163</v>
      </c>
      <c r="F47" s="145"/>
      <c r="G47" s="33"/>
      <c r="H47" s="159"/>
      <c r="I47" s="159"/>
      <c r="J47" s="37"/>
      <c r="K47" s="37"/>
      <c r="L47" s="159"/>
      <c r="M47" s="159"/>
      <c r="N47" s="148"/>
    </row>
    <row r="48" spans="1:14" s="3" customFormat="1" ht="15.75" x14ac:dyDescent="0.2">
      <c r="A48" s="38" t="s">
        <v>359</v>
      </c>
      <c r="B48" s="286">
        <v>6055.442</v>
      </c>
      <c r="C48" s="287">
        <v>6113.049</v>
      </c>
      <c r="D48" s="259">
        <f t="shared" si="0"/>
        <v>1</v>
      </c>
      <c r="E48" s="27">
        <f>IFERROR(100/'Skjema total MA'!C48*C48,0)</f>
        <v>0.30275005858549187</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215.715</v>
      </c>
      <c r="C53" s="314"/>
      <c r="D53" s="425">
        <f t="shared" si="0"/>
        <v>-100</v>
      </c>
      <c r="E53" s="11">
        <f>IFERROR(100/'Skjema total MA'!C53*C53,0)</f>
        <v>0</v>
      </c>
      <c r="F53" s="145"/>
      <c r="G53" s="33"/>
      <c r="H53" s="145"/>
      <c r="I53" s="145"/>
      <c r="J53" s="33"/>
      <c r="K53" s="33"/>
      <c r="L53" s="159"/>
      <c r="M53" s="159"/>
      <c r="N53" s="148"/>
    </row>
    <row r="54" spans="1:14" s="3" customFormat="1" ht="15.75" x14ac:dyDescent="0.2">
      <c r="A54" s="38" t="s">
        <v>359</v>
      </c>
      <c r="B54" s="286">
        <v>215.715</v>
      </c>
      <c r="C54" s="287"/>
      <c r="D54" s="259">
        <f t="shared" si="0"/>
        <v>-100</v>
      </c>
      <c r="E54" s="27">
        <f>IFERROR(100/'Skjema total MA'!C54*C54,0)</f>
        <v>0</v>
      </c>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60" priority="132">
      <formula>kvartal &lt; 4</formula>
    </cfRule>
  </conditionalFormatting>
  <conditionalFormatting sqref="B115">
    <cfRule type="expression" dxfId="559" priority="76">
      <formula>kvartal &lt; 4</formula>
    </cfRule>
  </conditionalFormatting>
  <conditionalFormatting sqref="C115">
    <cfRule type="expression" dxfId="558" priority="75">
      <formula>kvartal &lt; 4</formula>
    </cfRule>
  </conditionalFormatting>
  <conditionalFormatting sqref="B123">
    <cfRule type="expression" dxfId="557" priority="74">
      <formula>kvartal &lt; 4</formula>
    </cfRule>
  </conditionalFormatting>
  <conditionalFormatting sqref="C123">
    <cfRule type="expression" dxfId="556" priority="73">
      <formula>kvartal &lt; 4</formula>
    </cfRule>
  </conditionalFormatting>
  <conditionalFormatting sqref="F115">
    <cfRule type="expression" dxfId="555" priority="58">
      <formula>kvartal &lt; 4</formula>
    </cfRule>
  </conditionalFormatting>
  <conditionalFormatting sqref="G115">
    <cfRule type="expression" dxfId="554" priority="57">
      <formula>kvartal &lt; 4</formula>
    </cfRule>
  </conditionalFormatting>
  <conditionalFormatting sqref="F123:G123">
    <cfRule type="expression" dxfId="553" priority="56">
      <formula>kvartal &lt; 4</formula>
    </cfRule>
  </conditionalFormatting>
  <conditionalFormatting sqref="J115:K115">
    <cfRule type="expression" dxfId="552" priority="32">
      <formula>kvartal &lt; 4</formula>
    </cfRule>
  </conditionalFormatting>
  <conditionalFormatting sqref="J123:K123">
    <cfRule type="expression" dxfId="551" priority="31">
      <formula>kvartal &lt; 4</formula>
    </cfRule>
  </conditionalFormatting>
  <conditionalFormatting sqref="A50:A52">
    <cfRule type="expression" dxfId="550" priority="12">
      <formula>kvartal &lt; 4</formula>
    </cfRule>
  </conditionalFormatting>
  <conditionalFormatting sqref="A69:A74">
    <cfRule type="expression" dxfId="549" priority="10">
      <formula>kvartal &lt; 4</formula>
    </cfRule>
  </conditionalFormatting>
  <conditionalFormatting sqref="A80:A85">
    <cfRule type="expression" dxfId="548" priority="9">
      <formula>kvartal &lt; 4</formula>
    </cfRule>
  </conditionalFormatting>
  <conditionalFormatting sqref="A90:A95">
    <cfRule type="expression" dxfId="547" priority="6">
      <formula>kvartal &lt; 4</formula>
    </cfRule>
  </conditionalFormatting>
  <conditionalFormatting sqref="A101:A106">
    <cfRule type="expression" dxfId="546" priority="5">
      <formula>kvartal &lt; 4</formula>
    </cfRule>
  </conditionalFormatting>
  <conditionalFormatting sqref="A115">
    <cfRule type="expression" dxfId="545" priority="4">
      <formula>kvartal &lt; 4</formula>
    </cfRule>
  </conditionalFormatting>
  <conditionalFormatting sqref="A123">
    <cfRule type="expression" dxfId="544"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125</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453515.853</v>
      </c>
      <c r="C7" s="310">
        <v>528675.60800000001</v>
      </c>
      <c r="D7" s="352">
        <f>IF(B7=0, "    ---- ", IF(ABS(ROUND(100/B7*C7-100,1))&lt;999,ROUND(100/B7*C7-100,1),IF(ROUND(100/B7*C7-100,1)&gt;999,999,-999)))</f>
        <v>16.600000000000001</v>
      </c>
      <c r="E7" s="11">
        <f>IFERROR(100/'Skjema total MA'!C7*C7,0)</f>
        <v>27.98405248437227</v>
      </c>
      <c r="F7" s="309"/>
      <c r="G7" s="310"/>
      <c r="H7" s="352"/>
      <c r="I7" s="160"/>
      <c r="J7" s="311">
        <f t="shared" ref="J7:K9" si="0">SUM(B7,F7)</f>
        <v>453515.853</v>
      </c>
      <c r="K7" s="312">
        <f t="shared" si="0"/>
        <v>528675.60800000001</v>
      </c>
      <c r="L7" s="424">
        <f>IF(J7=0, "    ---- ", IF(ABS(ROUND(100/J7*K7-100,1))&lt;999,ROUND(100/J7*K7-100,1),IF(ROUND(100/J7*K7-100,1)&gt;999,999,-999)))</f>
        <v>16.600000000000001</v>
      </c>
      <c r="M7" s="11">
        <f>IFERROR(100/'Skjema total MA'!I7*K7,0)</f>
        <v>11.512815506370925</v>
      </c>
    </row>
    <row r="8" spans="1:14" ht="15.75" x14ac:dyDescent="0.2">
      <c r="A8" s="21" t="s">
        <v>25</v>
      </c>
      <c r="B8" s="286">
        <v>295334.62800000003</v>
      </c>
      <c r="C8" s="287">
        <v>318158.96999999997</v>
      </c>
      <c r="D8" s="166">
        <f t="shared" ref="D8:D9" si="1">IF(B8=0, "    ---- ", IF(ABS(ROUND(100/B8*C8-100,1))&lt;999,ROUND(100/B8*C8-100,1),IF(ROUND(100/B8*C8-100,1)&gt;999,999,-999)))</f>
        <v>7.7</v>
      </c>
      <c r="E8" s="27">
        <f>IFERROR(100/'Skjema total MA'!C8*C8,0)</f>
        <v>26.083209707793976</v>
      </c>
      <c r="F8" s="290"/>
      <c r="G8" s="291"/>
      <c r="H8" s="166"/>
      <c r="I8" s="176"/>
      <c r="J8" s="234">
        <f t="shared" si="0"/>
        <v>295334.62800000003</v>
      </c>
      <c r="K8" s="292">
        <f t="shared" si="0"/>
        <v>318158.96999999997</v>
      </c>
      <c r="L8" s="166">
        <f t="shared" ref="L8:L9" si="2">IF(J8=0, "    ---- ", IF(ABS(ROUND(100/J8*K8-100,1))&lt;999,ROUND(100/J8*K8-100,1),IF(ROUND(100/J8*K8-100,1)&gt;999,999,-999)))</f>
        <v>7.7</v>
      </c>
      <c r="M8" s="27">
        <f>IFERROR(100/'Skjema total MA'!I8*K8,0)</f>
        <v>26.083209707793976</v>
      </c>
    </row>
    <row r="9" spans="1:14" ht="15.75" x14ac:dyDescent="0.2">
      <c r="A9" s="21" t="s">
        <v>24</v>
      </c>
      <c r="B9" s="286">
        <v>158181.22500000001</v>
      </c>
      <c r="C9" s="287">
        <v>210516.63800000001</v>
      </c>
      <c r="D9" s="166">
        <f t="shared" si="1"/>
        <v>33.1</v>
      </c>
      <c r="E9" s="27">
        <f>IFERROR(100/'Skjema total MA'!C9*C9,0)</f>
        <v>48.221341283452432</v>
      </c>
      <c r="F9" s="290"/>
      <c r="G9" s="291"/>
      <c r="H9" s="166"/>
      <c r="I9" s="176"/>
      <c r="J9" s="234">
        <f t="shared" si="0"/>
        <v>158181.22500000001</v>
      </c>
      <c r="K9" s="292">
        <f t="shared" si="0"/>
        <v>210516.63800000001</v>
      </c>
      <c r="L9" s="166">
        <f t="shared" si="2"/>
        <v>33.1</v>
      </c>
      <c r="M9" s="27">
        <f>IFERROR(100/'Skjema total MA'!I9*K9,0)</f>
        <v>48.221341283452432</v>
      </c>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928355.43200000003</v>
      </c>
      <c r="C47" s="314">
        <v>976805.52399999998</v>
      </c>
      <c r="D47" s="424">
        <f t="shared" ref="D47:D57" si="3">IF(B47=0, "    ---- ", IF(ABS(ROUND(100/B47*C47-100,1))&lt;999,ROUND(100/B47*C47-100,1),IF(ROUND(100/B47*C47-100,1)&gt;999,999,-999)))</f>
        <v>5.2</v>
      </c>
      <c r="E47" s="11">
        <f>IFERROR(100/'Skjema total MA'!C47*C47,0)</f>
        <v>26.140195276649788</v>
      </c>
      <c r="F47" s="145"/>
      <c r="G47" s="33"/>
      <c r="H47" s="159"/>
      <c r="I47" s="159"/>
      <c r="J47" s="37"/>
      <c r="K47" s="37"/>
      <c r="L47" s="159"/>
      <c r="M47" s="159"/>
      <c r="N47" s="148"/>
    </row>
    <row r="48" spans="1:14" s="3" customFormat="1" ht="15.75" x14ac:dyDescent="0.2">
      <c r="A48" s="38" t="s">
        <v>359</v>
      </c>
      <c r="B48" s="286">
        <v>580680.14800000004</v>
      </c>
      <c r="C48" s="287">
        <v>651377.47199999995</v>
      </c>
      <c r="D48" s="259">
        <f t="shared" si="3"/>
        <v>12.2</v>
      </c>
      <c r="E48" s="27">
        <f>IFERROR(100/'Skjema total MA'!C48*C48,0)</f>
        <v>32.259608553648036</v>
      </c>
      <c r="F48" s="145"/>
      <c r="G48" s="33"/>
      <c r="H48" s="145"/>
      <c r="I48" s="145"/>
      <c r="J48" s="33"/>
      <c r="K48" s="33"/>
      <c r="L48" s="159"/>
      <c r="M48" s="159"/>
      <c r="N48" s="148"/>
    </row>
    <row r="49" spans="1:14" s="3" customFormat="1" ht="15.75" x14ac:dyDescent="0.2">
      <c r="A49" s="38" t="s">
        <v>360</v>
      </c>
      <c r="B49" s="44">
        <v>347675.28399999999</v>
      </c>
      <c r="C49" s="292">
        <v>325428.05200000003</v>
      </c>
      <c r="D49" s="259">
        <f>IF(B49=0, "    ---- ", IF(ABS(ROUND(100/B49*C49-100,1))&lt;999,ROUND(100/B49*C49-100,1),IF(ROUND(100/B49*C49-100,1)&gt;999,999,-999)))</f>
        <v>-6.4</v>
      </c>
      <c r="E49" s="27">
        <f>IFERROR(100/'Skjema total MA'!C49*C49,0)</f>
        <v>18.946435217730031</v>
      </c>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36974</v>
      </c>
      <c r="C53" s="314">
        <v>9508</v>
      </c>
      <c r="D53" s="425">
        <f t="shared" si="3"/>
        <v>-74.3</v>
      </c>
      <c r="E53" s="11">
        <f>IFERROR(100/'Skjema total MA'!C53*C53,0)</f>
        <v>9.632360809676312</v>
      </c>
      <c r="F53" s="145"/>
      <c r="G53" s="33"/>
      <c r="H53" s="145"/>
      <c r="I53" s="145"/>
      <c r="J53" s="33"/>
      <c r="K53" s="33"/>
      <c r="L53" s="159"/>
      <c r="M53" s="159"/>
      <c r="N53" s="148"/>
    </row>
    <row r="54" spans="1:14" s="3" customFormat="1" ht="15.75" x14ac:dyDescent="0.2">
      <c r="A54" s="38" t="s">
        <v>359</v>
      </c>
      <c r="B54" s="286">
        <v>36974</v>
      </c>
      <c r="C54" s="287">
        <v>9508</v>
      </c>
      <c r="D54" s="259">
        <f t="shared" si="3"/>
        <v>-74.3</v>
      </c>
      <c r="E54" s="27">
        <f>IFERROR(100/'Skjema total MA'!C54*C54,0)</f>
        <v>9.7255680571020555</v>
      </c>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v>5920</v>
      </c>
      <c r="C56" s="314">
        <v>11611</v>
      </c>
      <c r="D56" s="425">
        <f t="shared" si="3"/>
        <v>96.1</v>
      </c>
      <c r="E56" s="11">
        <f>IFERROR(100/'Skjema total MA'!C56*C56,0)</f>
        <v>19.498880615462664</v>
      </c>
      <c r="F56" s="145"/>
      <c r="G56" s="33"/>
      <c r="H56" s="145"/>
      <c r="I56" s="145"/>
      <c r="J56" s="33"/>
      <c r="K56" s="33"/>
      <c r="L56" s="159"/>
      <c r="M56" s="159"/>
      <c r="N56" s="148"/>
    </row>
    <row r="57" spans="1:14" s="3" customFormat="1" ht="15.75" x14ac:dyDescent="0.2">
      <c r="A57" s="38" t="s">
        <v>359</v>
      </c>
      <c r="B57" s="286">
        <v>5920</v>
      </c>
      <c r="C57" s="287">
        <v>11611</v>
      </c>
      <c r="D57" s="259">
        <f t="shared" si="3"/>
        <v>96.1</v>
      </c>
      <c r="E57" s="27">
        <f>IFERROR(100/'Skjema total MA'!C57*C57,0)</f>
        <v>19.498880615462664</v>
      </c>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43" priority="132">
      <formula>kvartal &lt; 4</formula>
    </cfRule>
  </conditionalFormatting>
  <conditionalFormatting sqref="B115">
    <cfRule type="expression" dxfId="542" priority="76">
      <formula>kvartal &lt; 4</formula>
    </cfRule>
  </conditionalFormatting>
  <conditionalFormatting sqref="C115">
    <cfRule type="expression" dxfId="541" priority="75">
      <formula>kvartal &lt; 4</formula>
    </cfRule>
  </conditionalFormatting>
  <conditionalFormatting sqref="B123">
    <cfRule type="expression" dxfId="540" priority="74">
      <formula>kvartal &lt; 4</formula>
    </cfRule>
  </conditionalFormatting>
  <conditionalFormatting sqref="C123">
    <cfRule type="expression" dxfId="539" priority="73">
      <formula>kvartal &lt; 4</formula>
    </cfRule>
  </conditionalFormatting>
  <conditionalFormatting sqref="F115">
    <cfRule type="expression" dxfId="538" priority="58">
      <formula>kvartal &lt; 4</formula>
    </cfRule>
  </conditionalFormatting>
  <conditionalFormatting sqref="G115">
    <cfRule type="expression" dxfId="537" priority="57">
      <formula>kvartal &lt; 4</formula>
    </cfRule>
  </conditionalFormatting>
  <conditionalFormatting sqref="F123:G123">
    <cfRule type="expression" dxfId="536" priority="56">
      <formula>kvartal &lt; 4</formula>
    </cfRule>
  </conditionalFormatting>
  <conditionalFormatting sqref="J115:K115">
    <cfRule type="expression" dxfId="535" priority="32">
      <formula>kvartal &lt; 4</formula>
    </cfRule>
  </conditionalFormatting>
  <conditionalFormatting sqref="J123:K123">
    <cfRule type="expression" dxfId="534" priority="31">
      <formula>kvartal &lt; 4</formula>
    </cfRule>
  </conditionalFormatting>
  <conditionalFormatting sqref="A50:A52">
    <cfRule type="expression" dxfId="533" priority="12">
      <formula>kvartal &lt; 4</formula>
    </cfRule>
  </conditionalFormatting>
  <conditionalFormatting sqref="A69:A74">
    <cfRule type="expression" dxfId="532" priority="10">
      <formula>kvartal &lt; 4</formula>
    </cfRule>
  </conditionalFormatting>
  <conditionalFormatting sqref="A80:A85">
    <cfRule type="expression" dxfId="531" priority="9">
      <formula>kvartal &lt; 4</formula>
    </cfRule>
  </conditionalFormatting>
  <conditionalFormatting sqref="A90:A95">
    <cfRule type="expression" dxfId="530" priority="6">
      <formula>kvartal &lt; 4</formula>
    </cfRule>
  </conditionalFormatting>
  <conditionalFormatting sqref="A101:A106">
    <cfRule type="expression" dxfId="529" priority="5">
      <formula>kvartal &lt; 4</formula>
    </cfRule>
  </conditionalFormatting>
  <conditionalFormatting sqref="A115">
    <cfRule type="expression" dxfId="528" priority="4">
      <formula>kvartal &lt; 4</formula>
    </cfRule>
  </conditionalFormatting>
  <conditionalFormatting sqref="A123">
    <cfRule type="expression" dxfId="527"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126</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v>36075</v>
      </c>
      <c r="G7" s="310">
        <v>43330</v>
      </c>
      <c r="H7" s="352">
        <f>IF(F7=0, "    ---- ", IF(ABS(ROUND(100/F7*G7-100,1))&lt;999,ROUND(100/F7*G7-100,1),IF(ROUND(100/F7*G7-100,1)&gt;999,999,-999)))</f>
        <v>20.100000000000001</v>
      </c>
      <c r="I7" s="160">
        <f>IFERROR(100/'Skjema total MA'!F7*G7,0)</f>
        <v>1.6031174881858823</v>
      </c>
      <c r="J7" s="311">
        <f t="shared" ref="J7:K12" si="0">SUM(B7,F7)</f>
        <v>36075</v>
      </c>
      <c r="K7" s="312">
        <f t="shared" si="0"/>
        <v>43330</v>
      </c>
      <c r="L7" s="424">
        <f>IF(J7=0, "    ---- ", IF(ABS(ROUND(100/J7*K7-100,1))&lt;999,ROUND(100/J7*K7-100,1),IF(ROUND(100/J7*K7-100,1)&gt;999,999,-999)))</f>
        <v>20.100000000000001</v>
      </c>
      <c r="M7" s="11">
        <f>IFERROR(100/'Skjema total MA'!I7*K7,0)</f>
        <v>0.94358485305993578</v>
      </c>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v>1010990</v>
      </c>
      <c r="G10" s="314">
        <v>2185879</v>
      </c>
      <c r="H10" s="171">
        <f t="shared" ref="H10:H12" si="1">IF(F10=0, "    ---- ", IF(ABS(ROUND(100/F10*G10-100,1))&lt;999,ROUND(100/F10*G10-100,1),IF(ROUND(100/F10*G10-100,1)&gt;999,999,-999)))</f>
        <v>116.2</v>
      </c>
      <c r="I10" s="160">
        <f>IFERROR(100/'Skjema total MA'!F10*G10,0)</f>
        <v>2.8941977201234979</v>
      </c>
      <c r="J10" s="311">
        <f t="shared" si="0"/>
        <v>1010990</v>
      </c>
      <c r="K10" s="312">
        <f t="shared" si="0"/>
        <v>2185879</v>
      </c>
      <c r="L10" s="425">
        <f t="shared" ref="L10:L12" si="2">IF(J10=0, "    ---- ", IF(ABS(ROUND(100/J10*K10-100,1))&lt;999,ROUND(100/J10*K10-100,1),IF(ROUND(100/J10*K10-100,1)&gt;999,999,-999)))</f>
        <v>116.2</v>
      </c>
      <c r="M10" s="11">
        <f>IFERROR(100/'Skjema total MA'!I10*K10,0)</f>
        <v>2.4214906872567012</v>
      </c>
    </row>
    <row r="11" spans="1:14" s="43" customFormat="1" ht="15.75" x14ac:dyDescent="0.2">
      <c r="A11" s="13" t="s">
        <v>349</v>
      </c>
      <c r="B11" s="313"/>
      <c r="C11" s="314"/>
      <c r="D11" s="171"/>
      <c r="E11" s="11"/>
      <c r="F11" s="313">
        <v>1585</v>
      </c>
      <c r="G11" s="314">
        <v>2051</v>
      </c>
      <c r="H11" s="171">
        <f t="shared" si="1"/>
        <v>29.4</v>
      </c>
      <c r="I11" s="160">
        <f>IFERROR(100/'Skjema total MA'!F11*G11,0)</f>
        <v>3.8452317036931714</v>
      </c>
      <c r="J11" s="311">
        <f t="shared" si="0"/>
        <v>1585</v>
      </c>
      <c r="K11" s="312">
        <f t="shared" si="0"/>
        <v>2051</v>
      </c>
      <c r="L11" s="425">
        <f t="shared" si="2"/>
        <v>29.4</v>
      </c>
      <c r="M11" s="11">
        <f>IFERROR(100/'Skjema total MA'!I11*K11,0)</f>
        <v>2.6297640346389106</v>
      </c>
      <c r="N11" s="143"/>
    </row>
    <row r="12" spans="1:14" s="43" customFormat="1" ht="15.75" x14ac:dyDescent="0.2">
      <c r="A12" s="41" t="s">
        <v>350</v>
      </c>
      <c r="B12" s="315"/>
      <c r="C12" s="316"/>
      <c r="D12" s="169"/>
      <c r="E12" s="36"/>
      <c r="F12" s="315">
        <v>733</v>
      </c>
      <c r="G12" s="316">
        <v>1891</v>
      </c>
      <c r="H12" s="169">
        <f t="shared" si="1"/>
        <v>158</v>
      </c>
      <c r="I12" s="169">
        <f>IFERROR(100/'Skjema total MA'!F12*G12,0)</f>
        <v>3.7516712346256424</v>
      </c>
      <c r="J12" s="317">
        <f t="shared" si="0"/>
        <v>733</v>
      </c>
      <c r="K12" s="318">
        <f t="shared" si="0"/>
        <v>1891</v>
      </c>
      <c r="L12" s="426">
        <f t="shared" si="2"/>
        <v>158</v>
      </c>
      <c r="M12" s="36">
        <f>IFERROR(100/'Skjema total MA'!I12*K12,0)</f>
        <v>3.7516712346256424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185197</v>
      </c>
      <c r="C22" s="313">
        <v>202652</v>
      </c>
      <c r="D22" s="352">
        <f t="shared" ref="D22:D30" si="3">IF(B22=0, "    ---- ", IF(ABS(ROUND(100/B22*C22-100,1))&lt;999,ROUND(100/B22*C22-100,1),IF(ROUND(100/B22*C22-100,1)&gt;999,999,-999)))</f>
        <v>9.4</v>
      </c>
      <c r="E22" s="11">
        <f>IFERROR(100/'Skjema total MA'!C22*C22,0)</f>
        <v>24.642506072303043</v>
      </c>
      <c r="F22" s="321">
        <v>15070</v>
      </c>
      <c r="G22" s="321">
        <v>16132</v>
      </c>
      <c r="H22" s="352">
        <f t="shared" ref="H22:H35" si="4">IF(F22=0, "    ---- ", IF(ABS(ROUND(100/F22*G22-100,1))&lt;999,ROUND(100/F22*G22-100,1),IF(ROUND(100/F22*G22-100,1)&gt;999,999,-999)))</f>
        <v>7</v>
      </c>
      <c r="I22" s="11">
        <f>IFERROR(100/'Skjema total MA'!F22*G22,0)</f>
        <v>6.9331047162252499</v>
      </c>
      <c r="J22" s="319">
        <f t="shared" ref="J22:K35" si="5">SUM(B22,F22)</f>
        <v>200267</v>
      </c>
      <c r="K22" s="319">
        <f t="shared" si="5"/>
        <v>218784</v>
      </c>
      <c r="L22" s="424">
        <f t="shared" ref="L22:L35" si="6">IF(J22=0, "    ---- ", IF(ABS(ROUND(100/J22*K22-100,1))&lt;999,ROUND(100/J22*K22-100,1),IF(ROUND(100/J22*K22-100,1)&gt;999,999,-999)))</f>
        <v>9.1999999999999993</v>
      </c>
      <c r="M22" s="24">
        <f>IFERROR(100/'Skjema total MA'!I22*K22,0)</f>
        <v>20.736868426745517</v>
      </c>
    </row>
    <row r="23" spans="1:14" ht="15.75" x14ac:dyDescent="0.2">
      <c r="A23" s="507" t="s">
        <v>351</v>
      </c>
      <c r="B23" s="286">
        <v>185197</v>
      </c>
      <c r="C23" s="286">
        <v>202652</v>
      </c>
      <c r="D23" s="166">
        <f t="shared" si="3"/>
        <v>9.4</v>
      </c>
      <c r="E23" s="11">
        <f>IFERROR(100/'Skjema total MA'!C23*C23,0)</f>
        <v>34.472828270178212</v>
      </c>
      <c r="F23" s="294"/>
      <c r="G23" s="294">
        <v>20</v>
      </c>
      <c r="H23" s="166" t="str">
        <f t="shared" si="4"/>
        <v xml:space="preserve">    ---- </v>
      </c>
      <c r="I23" s="414">
        <f>IFERROR(100/'Skjema total MA'!F23*G23,0)</f>
        <v>0.16081143391165467</v>
      </c>
      <c r="J23" s="294">
        <f t="shared" ref="J23:J26" si="7">SUM(B23,F23)</f>
        <v>185197</v>
      </c>
      <c r="K23" s="294">
        <f t="shared" ref="K23:K26" si="8">SUM(C23,G23)</f>
        <v>202672</v>
      </c>
      <c r="L23" s="166">
        <f t="shared" si="6"/>
        <v>9.4</v>
      </c>
      <c r="M23" s="23">
        <f>IFERROR(100/'Skjema total MA'!I23*K23,0)</f>
        <v>33.761953450488136</v>
      </c>
    </row>
    <row r="24" spans="1:14" ht="15.75" x14ac:dyDescent="0.2">
      <c r="A24" s="507" t="s">
        <v>352</v>
      </c>
      <c r="B24" s="286"/>
      <c r="C24" s="286"/>
      <c r="D24" s="166"/>
      <c r="E24" s="11"/>
      <c r="F24" s="294"/>
      <c r="G24" s="294">
        <v>210</v>
      </c>
      <c r="H24" s="166" t="str">
        <f t="shared" si="4"/>
        <v xml:space="preserve">    ---- </v>
      </c>
      <c r="I24" s="414">
        <f>IFERROR(100/'Skjema total MA'!F24*G24,0)</f>
        <v>97.222222222222229</v>
      </c>
      <c r="J24" s="294"/>
      <c r="K24" s="294">
        <f t="shared" si="8"/>
        <v>210</v>
      </c>
      <c r="L24" s="166" t="str">
        <f t="shared" si="6"/>
        <v xml:space="preserve">    ---- </v>
      </c>
      <c r="M24" s="23">
        <f>IFERROR(100/'Skjema total MA'!I24*K24,0)</f>
        <v>8.5137677307254229</v>
      </c>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v>15070</v>
      </c>
      <c r="G26" s="294">
        <v>15902</v>
      </c>
      <c r="H26" s="166">
        <f t="shared" si="4"/>
        <v>5.5</v>
      </c>
      <c r="I26" s="414">
        <f>IFERROR(100/'Skjema total MA'!F26*G26,0)</f>
        <v>7.3669549590063719</v>
      </c>
      <c r="J26" s="294">
        <f t="shared" si="7"/>
        <v>15070</v>
      </c>
      <c r="K26" s="294">
        <f t="shared" si="8"/>
        <v>15902</v>
      </c>
      <c r="L26" s="166">
        <f t="shared" si="6"/>
        <v>5.5</v>
      </c>
      <c r="M26" s="23">
        <f>IFERROR(100/'Skjema total MA'!I26*K26,0)</f>
        <v>7.3669549590063719</v>
      </c>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v>185197</v>
      </c>
      <c r="C28" s="292">
        <v>202652</v>
      </c>
      <c r="D28" s="166">
        <f t="shared" si="3"/>
        <v>9.4</v>
      </c>
      <c r="E28" s="11">
        <f>IFERROR(100/'Skjema total MA'!C28*C28,0)</f>
        <v>21.342870386452322</v>
      </c>
      <c r="F28" s="234"/>
      <c r="G28" s="292"/>
      <c r="H28" s="166"/>
      <c r="I28" s="27"/>
      <c r="J28" s="44">
        <f t="shared" si="5"/>
        <v>185197</v>
      </c>
      <c r="K28" s="44">
        <f t="shared" si="5"/>
        <v>202652</v>
      </c>
      <c r="L28" s="259">
        <f t="shared" si="6"/>
        <v>9.4</v>
      </c>
      <c r="M28" s="23">
        <f>IFERROR(100/'Skjema total MA'!I28*K28,0)</f>
        <v>21.342870386452322</v>
      </c>
    </row>
    <row r="29" spans="1:14" s="3" customFormat="1" ht="15.75" x14ac:dyDescent="0.2">
      <c r="A29" s="13" t="s">
        <v>348</v>
      </c>
      <c r="B29" s="236">
        <v>2797456</v>
      </c>
      <c r="C29" s="236">
        <v>3228039</v>
      </c>
      <c r="D29" s="171">
        <f t="shared" si="3"/>
        <v>15.4</v>
      </c>
      <c r="E29" s="11">
        <f>IFERROR(100/'Skjema total MA'!C29*C29,0)</f>
        <v>7.3150381272379947</v>
      </c>
      <c r="F29" s="311">
        <v>1678715</v>
      </c>
      <c r="G29" s="311">
        <v>2274314</v>
      </c>
      <c r="H29" s="171">
        <f t="shared" si="4"/>
        <v>35.5</v>
      </c>
      <c r="I29" s="11">
        <f>IFERROR(100/'Skjema total MA'!F29*G29,0)</f>
        <v>9.1651579203762399</v>
      </c>
      <c r="J29" s="236">
        <f t="shared" si="5"/>
        <v>4476171</v>
      </c>
      <c r="K29" s="236">
        <f t="shared" si="5"/>
        <v>5502353</v>
      </c>
      <c r="L29" s="425">
        <f t="shared" si="6"/>
        <v>22.9</v>
      </c>
      <c r="M29" s="24">
        <f>IFERROR(100/'Skjema total MA'!I29*K29,0)</f>
        <v>7.9809495059569651</v>
      </c>
      <c r="N29" s="148"/>
    </row>
    <row r="30" spans="1:14" s="3" customFormat="1" ht="15.75" x14ac:dyDescent="0.2">
      <c r="A30" s="507" t="s">
        <v>351</v>
      </c>
      <c r="B30" s="286">
        <v>2797456</v>
      </c>
      <c r="C30" s="286">
        <v>3228039</v>
      </c>
      <c r="D30" s="166">
        <f t="shared" si="3"/>
        <v>15.4</v>
      </c>
      <c r="E30" s="11">
        <f>IFERROR(100/'Skjema total MA'!C30*C30,0)</f>
        <v>18.50703557961349</v>
      </c>
      <c r="F30" s="294">
        <v>23447</v>
      </c>
      <c r="G30" s="294">
        <v>19957</v>
      </c>
      <c r="H30" s="166">
        <f t="shared" si="4"/>
        <v>-14.9</v>
      </c>
      <c r="I30" s="414">
        <f>IFERROR(100/'Skjema total MA'!F30*G30,0)</f>
        <v>0.57006625514276155</v>
      </c>
      <c r="J30" s="294">
        <f t="shared" ref="J30:J33" si="9">SUM(B30,F30)</f>
        <v>2820903</v>
      </c>
      <c r="K30" s="294">
        <f t="shared" ref="K30:K33" si="10">SUM(C30,G30)</f>
        <v>3247996</v>
      </c>
      <c r="L30" s="166">
        <f t="shared" si="6"/>
        <v>15.1</v>
      </c>
      <c r="M30" s="23">
        <f>IFERROR(100/'Skjema total MA'!I30*K30,0)</f>
        <v>15.508707753028014</v>
      </c>
      <c r="N30" s="148"/>
    </row>
    <row r="31" spans="1:14" s="3" customFormat="1" ht="15.75" x14ac:dyDescent="0.2">
      <c r="A31" s="507" t="s">
        <v>352</v>
      </c>
      <c r="B31" s="286"/>
      <c r="C31" s="286"/>
      <c r="D31" s="166"/>
      <c r="E31" s="11"/>
      <c r="F31" s="294">
        <v>971061</v>
      </c>
      <c r="G31" s="294">
        <v>1199934</v>
      </c>
      <c r="H31" s="166">
        <f t="shared" si="4"/>
        <v>23.6</v>
      </c>
      <c r="I31" s="414">
        <f>IFERROR(100/'Skjema total MA'!F31*G31,0)</f>
        <v>15.707790174672651</v>
      </c>
      <c r="J31" s="294">
        <f t="shared" si="9"/>
        <v>971061</v>
      </c>
      <c r="K31" s="294">
        <f t="shared" si="10"/>
        <v>1199934</v>
      </c>
      <c r="L31" s="166">
        <f t="shared" si="6"/>
        <v>23.6</v>
      </c>
      <c r="M31" s="23">
        <f>IFERROR(100/'Skjema total MA'!I31*K31,0)</f>
        <v>3.8020533490908761</v>
      </c>
      <c r="N31" s="148"/>
    </row>
    <row r="32" spans="1:14" ht="15.75" x14ac:dyDescent="0.2">
      <c r="A32" s="507" t="s">
        <v>353</v>
      </c>
      <c r="B32" s="286"/>
      <c r="C32" s="286"/>
      <c r="D32" s="166"/>
      <c r="E32" s="11"/>
      <c r="F32" s="294">
        <v>128851</v>
      </c>
      <c r="G32" s="294">
        <v>0</v>
      </c>
      <c r="H32" s="166">
        <f t="shared" si="4"/>
        <v>-100</v>
      </c>
      <c r="I32" s="414">
        <f>IFERROR(100/'Skjema total MA'!F32*G32,0)</f>
        <v>0</v>
      </c>
      <c r="J32" s="294">
        <f t="shared" si="9"/>
        <v>128851</v>
      </c>
      <c r="K32" s="294">
        <f t="shared" si="10"/>
        <v>0</v>
      </c>
      <c r="L32" s="166">
        <f t="shared" si="6"/>
        <v>-100</v>
      </c>
      <c r="M32" s="23">
        <f>IFERROR(100/'Skjema total MA'!I32*K32,0)</f>
        <v>0</v>
      </c>
    </row>
    <row r="33" spans="1:14" ht="15.75" x14ac:dyDescent="0.2">
      <c r="A33" s="507" t="s">
        <v>354</v>
      </c>
      <c r="B33" s="286"/>
      <c r="C33" s="286"/>
      <c r="D33" s="166"/>
      <c r="E33" s="11"/>
      <c r="F33" s="294">
        <v>555356</v>
      </c>
      <c r="G33" s="294">
        <v>1054423</v>
      </c>
      <c r="H33" s="166">
        <f t="shared" si="4"/>
        <v>89.9</v>
      </c>
      <c r="I33" s="414">
        <f>IFERROR(100/'Skjema total MA'!F33*G33,0)</f>
        <v>12.912513913920174</v>
      </c>
      <c r="J33" s="294">
        <f t="shared" si="9"/>
        <v>555356</v>
      </c>
      <c r="K33" s="294">
        <f t="shared" si="10"/>
        <v>1054423</v>
      </c>
      <c r="L33" s="166">
        <f t="shared" si="6"/>
        <v>89.9</v>
      </c>
      <c r="M33" s="23">
        <f>IFERROR(100/'Skjema total MA'!I33*K33,0)</f>
        <v>12.912513913920174</v>
      </c>
    </row>
    <row r="34" spans="1:14" ht="15.75" x14ac:dyDescent="0.2">
      <c r="A34" s="13" t="s">
        <v>349</v>
      </c>
      <c r="B34" s="236"/>
      <c r="C34" s="312"/>
      <c r="D34" s="171"/>
      <c r="E34" s="11"/>
      <c r="F34" s="311">
        <v>2978</v>
      </c>
      <c r="G34" s="312">
        <v>3541</v>
      </c>
      <c r="H34" s="171">
        <f t="shared" si="4"/>
        <v>18.899999999999999</v>
      </c>
      <c r="I34" s="11">
        <f>IFERROR(100/'Skjema total MA'!F34*G34,0)</f>
        <v>36.246640312114266</v>
      </c>
      <c r="J34" s="236">
        <f t="shared" si="5"/>
        <v>2978</v>
      </c>
      <c r="K34" s="236">
        <f t="shared" si="5"/>
        <v>3541</v>
      </c>
      <c r="L34" s="425">
        <f t="shared" si="6"/>
        <v>18.899999999999999</v>
      </c>
      <c r="M34" s="24">
        <f>IFERROR(100/'Skjema total MA'!I34*K34,0)</f>
        <v>19.185021500292223</v>
      </c>
    </row>
    <row r="35" spans="1:14" ht="15.75" x14ac:dyDescent="0.2">
      <c r="A35" s="13" t="s">
        <v>350</v>
      </c>
      <c r="B35" s="236"/>
      <c r="C35" s="312"/>
      <c r="D35" s="171"/>
      <c r="E35" s="11"/>
      <c r="F35" s="311">
        <v>3721</v>
      </c>
      <c r="G35" s="312">
        <v>10425</v>
      </c>
      <c r="H35" s="171">
        <f t="shared" si="4"/>
        <v>180.2</v>
      </c>
      <c r="I35" s="11">
        <f>IFERROR(100/'Skjema total MA'!F35*G35,0)</f>
        <v>25.433845132438698</v>
      </c>
      <c r="J35" s="236">
        <f t="shared" si="5"/>
        <v>3721</v>
      </c>
      <c r="K35" s="236">
        <f t="shared" si="5"/>
        <v>10425</v>
      </c>
      <c r="L35" s="425">
        <f t="shared" si="6"/>
        <v>180.2</v>
      </c>
      <c r="M35" s="24">
        <f>IFERROR(100/'Skjema total MA'!I35*K35,0)</f>
        <v>54.670771108676433</v>
      </c>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c r="D47" s="424"/>
      <c r="E47" s="11"/>
      <c r="F47" s="145"/>
      <c r="G47" s="33"/>
      <c r="H47" s="159"/>
      <c r="I47" s="159"/>
      <c r="J47" s="37"/>
      <c r="K47" s="37"/>
      <c r="L47" s="159"/>
      <c r="M47" s="159"/>
      <c r="N47" s="148"/>
    </row>
    <row r="48" spans="1:14" s="3" customFormat="1" ht="15.75" x14ac:dyDescent="0.2">
      <c r="A48" s="38" t="s">
        <v>359</v>
      </c>
      <c r="B48" s="286"/>
      <c r="C48" s="287"/>
      <c r="D48" s="259"/>
      <c r="E48" s="27"/>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v>69586</v>
      </c>
      <c r="C66" s="355">
        <v>88641</v>
      </c>
      <c r="D66" s="352">
        <f t="shared" ref="D66:D111" si="11">IF(B66=0, "    ---- ", IF(ABS(ROUND(100/B66*C66-100,1))&lt;999,ROUND(100/B66*C66-100,1),IF(ROUND(100/B66*C66-100,1)&gt;999,999,-999)))</f>
        <v>27.4</v>
      </c>
      <c r="E66" s="11">
        <f>IFERROR(100/'Skjema total MA'!C66*C66,0)</f>
        <v>2.8372202009221565</v>
      </c>
      <c r="F66" s="354">
        <v>951854</v>
      </c>
      <c r="G66" s="354">
        <v>1356791</v>
      </c>
      <c r="H66" s="352">
        <f t="shared" ref="H66:H111" si="12">IF(F66=0, "    ---- ", IF(ABS(ROUND(100/F66*G66-100,1))&lt;999,ROUND(100/F66*G66-100,1),IF(ROUND(100/F66*G66-100,1)&gt;999,999,-999)))</f>
        <v>42.5</v>
      </c>
      <c r="I66" s="11">
        <f>IFERROR(100/'Skjema total MA'!F66*G66,0)</f>
        <v>11.213718672318796</v>
      </c>
      <c r="J66" s="312">
        <f t="shared" ref="J66:K86" si="13">SUM(B66,F66)</f>
        <v>1021440</v>
      </c>
      <c r="K66" s="319">
        <f t="shared" si="13"/>
        <v>1445432</v>
      </c>
      <c r="L66" s="425">
        <f t="shared" ref="L66:L111" si="14">IF(J66=0, "    ---- ", IF(ABS(ROUND(100/J66*K66-100,1))&lt;999,ROUND(100/J66*K66-100,1),IF(ROUND(100/J66*K66-100,1)&gt;999,999,-999)))</f>
        <v>41.5</v>
      </c>
      <c r="M66" s="11">
        <f>IFERROR(100/'Skjema total MA'!I66*K66,0)</f>
        <v>9.4946761885044904</v>
      </c>
    </row>
    <row r="67" spans="1:14" x14ac:dyDescent="0.2">
      <c r="A67" s="416" t="s">
        <v>9</v>
      </c>
      <c r="B67" s="44">
        <v>69586</v>
      </c>
      <c r="C67" s="145">
        <v>88641</v>
      </c>
      <c r="D67" s="166">
        <f t="shared" si="11"/>
        <v>27.4</v>
      </c>
      <c r="E67" s="27">
        <f>IFERROR(100/'Skjema total MA'!C67*C67,0)</f>
        <v>3.8911113526564871</v>
      </c>
      <c r="F67" s="234"/>
      <c r="G67" s="145"/>
      <c r="H67" s="166"/>
      <c r="I67" s="27"/>
      <c r="J67" s="292">
        <f t="shared" si="13"/>
        <v>69586</v>
      </c>
      <c r="K67" s="44">
        <f t="shared" si="13"/>
        <v>88641</v>
      </c>
      <c r="L67" s="259">
        <f t="shared" si="14"/>
        <v>27.4</v>
      </c>
      <c r="M67" s="27">
        <f>IFERROR(100/'Skjema total MA'!I67*K67,0)</f>
        <v>3.8911113526564871</v>
      </c>
    </row>
    <row r="68" spans="1:14" x14ac:dyDescent="0.2">
      <c r="A68" s="21" t="s">
        <v>10</v>
      </c>
      <c r="B68" s="296"/>
      <c r="C68" s="297"/>
      <c r="D68" s="166"/>
      <c r="E68" s="27"/>
      <c r="F68" s="296">
        <v>951854</v>
      </c>
      <c r="G68" s="296">
        <v>1356791</v>
      </c>
      <c r="H68" s="166">
        <f t="shared" si="12"/>
        <v>42.5</v>
      </c>
      <c r="I68" s="27">
        <f>IFERROR(100/'Skjema total MA'!F68*G68,0)</f>
        <v>11.795028995783113</v>
      </c>
      <c r="J68" s="292">
        <f t="shared" si="13"/>
        <v>951854</v>
      </c>
      <c r="K68" s="44">
        <f t="shared" si="13"/>
        <v>1356791</v>
      </c>
      <c r="L68" s="259">
        <f t="shared" si="14"/>
        <v>42.5</v>
      </c>
      <c r="M68" s="27">
        <f>IFERROR(100/'Skjema total MA'!I68*K68,0)</f>
        <v>11.784022901375105</v>
      </c>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v>69430</v>
      </c>
      <c r="C77" s="234">
        <v>88358</v>
      </c>
      <c r="D77" s="166">
        <f t="shared" si="11"/>
        <v>27.3</v>
      </c>
      <c r="E77" s="27">
        <f>IFERROR(100/'Skjema total MA'!C77*C77,0)</f>
        <v>3.9901384708680245</v>
      </c>
      <c r="F77" s="234">
        <v>951854</v>
      </c>
      <c r="G77" s="145">
        <v>1356772</v>
      </c>
      <c r="H77" s="166">
        <f t="shared" si="12"/>
        <v>42.5</v>
      </c>
      <c r="I77" s="27">
        <f>IFERROR(100/'Skjema total MA'!F77*G77,0)</f>
        <v>11.798738719589776</v>
      </c>
      <c r="J77" s="292">
        <f t="shared" si="13"/>
        <v>1021284</v>
      </c>
      <c r="K77" s="44">
        <f t="shared" si="13"/>
        <v>1445130</v>
      </c>
      <c r="L77" s="259">
        <f t="shared" si="14"/>
        <v>41.5</v>
      </c>
      <c r="M77" s="27">
        <f>IFERROR(100/'Skjema total MA'!I77*K77,0)</f>
        <v>10.537851462450325</v>
      </c>
    </row>
    <row r="78" spans="1:14" x14ac:dyDescent="0.2">
      <c r="A78" s="21" t="s">
        <v>9</v>
      </c>
      <c r="B78" s="234">
        <v>69430</v>
      </c>
      <c r="C78" s="145">
        <v>88358</v>
      </c>
      <c r="D78" s="166">
        <f t="shared" si="11"/>
        <v>27.3</v>
      </c>
      <c r="E78" s="27">
        <f>IFERROR(100/'Skjema total MA'!C78*C78,0)</f>
        <v>4.0095918861537063</v>
      </c>
      <c r="F78" s="234"/>
      <c r="G78" s="145"/>
      <c r="H78" s="166"/>
      <c r="I78" s="27"/>
      <c r="J78" s="292">
        <f t="shared" si="13"/>
        <v>69430</v>
      </c>
      <c r="K78" s="44">
        <f t="shared" si="13"/>
        <v>88358</v>
      </c>
      <c r="L78" s="259">
        <f t="shared" si="14"/>
        <v>27.3</v>
      </c>
      <c r="M78" s="27">
        <f>IFERROR(100/'Skjema total MA'!I78*K78,0)</f>
        <v>4.0095918861537063</v>
      </c>
    </row>
    <row r="79" spans="1:14" x14ac:dyDescent="0.2">
      <c r="A79" s="38" t="s">
        <v>399</v>
      </c>
      <c r="B79" s="296"/>
      <c r="C79" s="297"/>
      <c r="D79" s="166"/>
      <c r="E79" s="27"/>
      <c r="F79" s="296">
        <v>951854</v>
      </c>
      <c r="G79" s="297">
        <v>1356772</v>
      </c>
      <c r="H79" s="166">
        <f t="shared" si="12"/>
        <v>42.5</v>
      </c>
      <c r="I79" s="27">
        <f>IFERROR(100/'Skjema total MA'!F79*G79,0)</f>
        <v>11.798738719589776</v>
      </c>
      <c r="J79" s="292">
        <f t="shared" si="13"/>
        <v>951854</v>
      </c>
      <c r="K79" s="44">
        <f t="shared" si="13"/>
        <v>1356772</v>
      </c>
      <c r="L79" s="259">
        <f t="shared" si="14"/>
        <v>42.5</v>
      </c>
      <c r="M79" s="27">
        <f>IFERROR(100/'Skjema total MA'!I79*K79,0)</f>
        <v>11.787725550062008</v>
      </c>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v>156</v>
      </c>
      <c r="C86" s="145">
        <v>283</v>
      </c>
      <c r="D86" s="166">
        <f t="shared" si="11"/>
        <v>81.400000000000006</v>
      </c>
      <c r="E86" s="27">
        <f>IFERROR(100/'Skjema total MA'!C86*C86,0)</f>
        <v>0.38051659309160957</v>
      </c>
      <c r="F86" s="234">
        <v>0</v>
      </c>
      <c r="G86" s="145">
        <v>19</v>
      </c>
      <c r="H86" s="166" t="str">
        <f t="shared" si="12"/>
        <v xml:space="preserve">    ---- </v>
      </c>
      <c r="I86" s="27">
        <f>IFERROR(100/'Skjema total MA'!F86*G86,0)</f>
        <v>0.50293872523599525</v>
      </c>
      <c r="J86" s="292">
        <f t="shared" si="13"/>
        <v>156</v>
      </c>
      <c r="K86" s="44">
        <f t="shared" si="13"/>
        <v>302</v>
      </c>
      <c r="L86" s="259">
        <f t="shared" si="14"/>
        <v>93.6</v>
      </c>
      <c r="M86" s="27">
        <f>IFERROR(100/'Skjema total MA'!I86*K86,0)</f>
        <v>0.38643449008417341</v>
      </c>
    </row>
    <row r="87" spans="1:13" ht="15.75" x14ac:dyDescent="0.2">
      <c r="A87" s="13" t="s">
        <v>348</v>
      </c>
      <c r="B87" s="355">
        <v>5672358</v>
      </c>
      <c r="C87" s="355">
        <v>5866576</v>
      </c>
      <c r="D87" s="171">
        <f t="shared" si="11"/>
        <v>3.4</v>
      </c>
      <c r="E87" s="11">
        <f>IFERROR(100/'Skjema total MA'!C87*C87,0)</f>
        <v>1.4747326726933088</v>
      </c>
      <c r="F87" s="354">
        <v>40029633</v>
      </c>
      <c r="G87" s="354">
        <v>46962643</v>
      </c>
      <c r="H87" s="171">
        <f t="shared" si="12"/>
        <v>17.3</v>
      </c>
      <c r="I87" s="11">
        <f>IFERROR(100/'Skjema total MA'!F87*G87,0)</f>
        <v>9.8730698959707883</v>
      </c>
      <c r="J87" s="312">
        <f t="shared" ref="J87:K111" si="15">SUM(B87,F87)</f>
        <v>45701991</v>
      </c>
      <c r="K87" s="236">
        <f t="shared" si="15"/>
        <v>52829219</v>
      </c>
      <c r="L87" s="425">
        <f t="shared" si="14"/>
        <v>15.6</v>
      </c>
      <c r="M87" s="11">
        <f>IFERROR(100/'Skjema total MA'!I87*K87,0)</f>
        <v>6.048200029099271</v>
      </c>
    </row>
    <row r="88" spans="1:13" x14ac:dyDescent="0.2">
      <c r="A88" s="21" t="s">
        <v>9</v>
      </c>
      <c r="B88" s="234">
        <v>5672358</v>
      </c>
      <c r="C88" s="145">
        <v>5866576</v>
      </c>
      <c r="D88" s="166">
        <f t="shared" si="11"/>
        <v>3.4</v>
      </c>
      <c r="E88" s="27">
        <f>IFERROR(100/'Skjema total MA'!C88*C88,0)</f>
        <v>1.5336213368831635</v>
      </c>
      <c r="F88" s="234"/>
      <c r="G88" s="145"/>
      <c r="H88" s="166"/>
      <c r="I88" s="27"/>
      <c r="J88" s="292">
        <f t="shared" si="15"/>
        <v>5672358</v>
      </c>
      <c r="K88" s="44">
        <f t="shared" si="15"/>
        <v>5866576</v>
      </c>
      <c r="L88" s="259">
        <f t="shared" si="14"/>
        <v>3.4</v>
      </c>
      <c r="M88" s="27">
        <f>IFERROR(100/'Skjema total MA'!I88*K88,0)</f>
        <v>1.5336213368831635</v>
      </c>
    </row>
    <row r="89" spans="1:13" x14ac:dyDescent="0.2">
      <c r="A89" s="21" t="s">
        <v>10</v>
      </c>
      <c r="B89" s="234"/>
      <c r="C89" s="145"/>
      <c r="D89" s="166"/>
      <c r="E89" s="27"/>
      <c r="F89" s="234">
        <v>40029633</v>
      </c>
      <c r="G89" s="145">
        <v>46962643</v>
      </c>
      <c r="H89" s="166">
        <f t="shared" si="12"/>
        <v>17.3</v>
      </c>
      <c r="I89" s="27">
        <f>IFERROR(100/'Skjema total MA'!F89*G89,0)</f>
        <v>10.003972213821367</v>
      </c>
      <c r="J89" s="292">
        <f t="shared" si="15"/>
        <v>40029633</v>
      </c>
      <c r="K89" s="44">
        <f t="shared" si="15"/>
        <v>46962643</v>
      </c>
      <c r="L89" s="259">
        <f t="shared" si="14"/>
        <v>17.3</v>
      </c>
      <c r="M89" s="27">
        <f>IFERROR(100/'Skjema total MA'!I89*K89,0)</f>
        <v>9.9565818335296665</v>
      </c>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v>5670289</v>
      </c>
      <c r="C98" s="234">
        <v>5863614</v>
      </c>
      <c r="D98" s="166">
        <f t="shared" si="11"/>
        <v>3.4</v>
      </c>
      <c r="E98" s="27">
        <f>IFERROR(100/'Skjema total MA'!C98*C98,0)</f>
        <v>1.5415715798471226</v>
      </c>
      <c r="F98" s="296">
        <v>40029633</v>
      </c>
      <c r="G98" s="296">
        <v>46962553</v>
      </c>
      <c r="H98" s="166">
        <f t="shared" si="12"/>
        <v>17.3</v>
      </c>
      <c r="I98" s="27">
        <f>IFERROR(100/'Skjema total MA'!F98*G98,0)</f>
        <v>10.008090994444636</v>
      </c>
      <c r="J98" s="292">
        <f t="shared" si="15"/>
        <v>45699922</v>
      </c>
      <c r="K98" s="44">
        <f t="shared" si="15"/>
        <v>52826167</v>
      </c>
      <c r="L98" s="259">
        <f t="shared" si="14"/>
        <v>15.6</v>
      </c>
      <c r="M98" s="27">
        <f>IFERROR(100/'Skjema total MA'!I98*K98,0)</f>
        <v>6.2176824383500717</v>
      </c>
    </row>
    <row r="99" spans="1:13" x14ac:dyDescent="0.2">
      <c r="A99" s="21" t="s">
        <v>9</v>
      </c>
      <c r="B99" s="296">
        <v>5670289</v>
      </c>
      <c r="C99" s="297">
        <v>5863614</v>
      </c>
      <c r="D99" s="166">
        <f t="shared" si="11"/>
        <v>3.4</v>
      </c>
      <c r="E99" s="27">
        <f>IFERROR(100/'Skjema total MA'!C99*C99,0)</f>
        <v>1.5506807897308497</v>
      </c>
      <c r="F99" s="234"/>
      <c r="G99" s="145"/>
      <c r="H99" s="166"/>
      <c r="I99" s="27"/>
      <c r="J99" s="292">
        <f t="shared" si="15"/>
        <v>5670289</v>
      </c>
      <c r="K99" s="44">
        <f t="shared" si="15"/>
        <v>5863614</v>
      </c>
      <c r="L99" s="259">
        <f t="shared" si="14"/>
        <v>3.4</v>
      </c>
      <c r="M99" s="27">
        <f>IFERROR(100/'Skjema total MA'!I99*K99,0)</f>
        <v>1.5506807897308497</v>
      </c>
    </row>
    <row r="100" spans="1:13" x14ac:dyDescent="0.2">
      <c r="A100" s="38" t="s">
        <v>399</v>
      </c>
      <c r="B100" s="296"/>
      <c r="C100" s="297"/>
      <c r="D100" s="166"/>
      <c r="E100" s="27"/>
      <c r="F100" s="234">
        <v>40029633</v>
      </c>
      <c r="G100" s="234">
        <v>46962553</v>
      </c>
      <c r="H100" s="166">
        <f t="shared" si="12"/>
        <v>17.3</v>
      </c>
      <c r="I100" s="27">
        <f>IFERROR(100/'Skjema total MA'!F100*G100,0)</f>
        <v>10.008090994444636</v>
      </c>
      <c r="J100" s="292">
        <f t="shared" si="15"/>
        <v>40029633</v>
      </c>
      <c r="K100" s="44">
        <f t="shared" si="15"/>
        <v>46962553</v>
      </c>
      <c r="L100" s="259">
        <f t="shared" si="14"/>
        <v>17.3</v>
      </c>
      <c r="M100" s="27">
        <f>IFERROR(100/'Skjema total MA'!I100*K100,0)</f>
        <v>9.9606615855447487</v>
      </c>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v>2069</v>
      </c>
      <c r="C107" s="145">
        <v>2962</v>
      </c>
      <c r="D107" s="166">
        <f t="shared" si="11"/>
        <v>43.2</v>
      </c>
      <c r="E107" s="27">
        <f>IFERROR(100/'Skjema total MA'!C107*C107,0)</f>
        <v>6.732831679561474E-2</v>
      </c>
      <c r="F107" s="234">
        <v>0</v>
      </c>
      <c r="G107" s="145">
        <v>90</v>
      </c>
      <c r="H107" s="166" t="str">
        <f t="shared" si="12"/>
        <v xml:space="preserve">    ---- </v>
      </c>
      <c r="I107" s="27">
        <f>IFERROR(100/'Skjema total MA'!F107*G107,0)</f>
        <v>4.6369051267393414E-2</v>
      </c>
      <c r="J107" s="292">
        <f t="shared" si="15"/>
        <v>2069</v>
      </c>
      <c r="K107" s="44">
        <f t="shared" si="15"/>
        <v>3052</v>
      </c>
      <c r="L107" s="259">
        <f t="shared" si="14"/>
        <v>47.5</v>
      </c>
      <c r="M107" s="27">
        <f>IFERROR(100/'Skjema total MA'!I107*K107,0)</f>
        <v>6.6442685394440593E-2</v>
      </c>
    </row>
    <row r="108" spans="1:13" ht="15.75" x14ac:dyDescent="0.2">
      <c r="A108" s="21" t="s">
        <v>367</v>
      </c>
      <c r="B108" s="234">
        <v>4212330</v>
      </c>
      <c r="C108" s="234">
        <v>4078325</v>
      </c>
      <c r="D108" s="166">
        <f t="shared" si="11"/>
        <v>-3.2</v>
      </c>
      <c r="E108" s="27">
        <f>IFERROR(100/'Skjema total MA'!C108*C108,0)</f>
        <v>1.2427987847832507</v>
      </c>
      <c r="F108" s="234"/>
      <c r="G108" s="234"/>
      <c r="H108" s="166"/>
      <c r="I108" s="27"/>
      <c r="J108" s="292">
        <f t="shared" si="15"/>
        <v>4212330</v>
      </c>
      <c r="K108" s="44">
        <f t="shared" si="15"/>
        <v>4078325</v>
      </c>
      <c r="L108" s="259">
        <f t="shared" si="14"/>
        <v>-3.2</v>
      </c>
      <c r="M108" s="27">
        <f>IFERROR(100/'Skjema total MA'!I108*K108,0)</f>
        <v>1.1705905326725623</v>
      </c>
    </row>
    <row r="109" spans="1:13" ht="15.75" x14ac:dyDescent="0.2">
      <c r="A109" s="38" t="s">
        <v>407</v>
      </c>
      <c r="B109" s="234"/>
      <c r="C109" s="234"/>
      <c r="D109" s="166"/>
      <c r="E109" s="27"/>
      <c r="F109" s="234">
        <v>16490061</v>
      </c>
      <c r="G109" s="234">
        <v>19844581</v>
      </c>
      <c r="H109" s="166">
        <f t="shared" si="12"/>
        <v>20.3</v>
      </c>
      <c r="I109" s="27">
        <f>IFERROR(100/'Skjema total MA'!F109*G109,0)</f>
        <v>11.503217267742521</v>
      </c>
      <c r="J109" s="292">
        <f t="shared" si="15"/>
        <v>16490061</v>
      </c>
      <c r="K109" s="44">
        <f t="shared" si="15"/>
        <v>19844581</v>
      </c>
      <c r="L109" s="259">
        <f t="shared" si="14"/>
        <v>20.3</v>
      </c>
      <c r="M109" s="27">
        <f>IFERROR(100/'Skjema total MA'!I109*K109,0)</f>
        <v>11.364879475829188</v>
      </c>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v>41118</v>
      </c>
      <c r="C111" s="159">
        <v>49919</v>
      </c>
      <c r="D111" s="171">
        <f t="shared" si="11"/>
        <v>21.4</v>
      </c>
      <c r="E111" s="11">
        <f>IFERROR(100/'Skjema total MA'!C111*C111,0)</f>
        <v>32.865572359108924</v>
      </c>
      <c r="F111" s="311">
        <v>1666153</v>
      </c>
      <c r="G111" s="159">
        <v>2913902</v>
      </c>
      <c r="H111" s="171">
        <f t="shared" si="12"/>
        <v>74.900000000000006</v>
      </c>
      <c r="I111" s="11">
        <f>IFERROR(100/'Skjema total MA'!F111*G111,0)</f>
        <v>23.729138561285403</v>
      </c>
      <c r="J111" s="312">
        <f t="shared" si="15"/>
        <v>1707271</v>
      </c>
      <c r="K111" s="236">
        <f t="shared" si="15"/>
        <v>2963821</v>
      </c>
      <c r="L111" s="425">
        <f t="shared" si="14"/>
        <v>73.599999999999994</v>
      </c>
      <c r="M111" s="11">
        <f>IFERROR(100/'Skjema total MA'!I111*K111,0)</f>
        <v>23.840765654658234</v>
      </c>
    </row>
    <row r="112" spans="1:13" x14ac:dyDescent="0.2">
      <c r="A112" s="21" t="s">
        <v>9</v>
      </c>
      <c r="B112" s="234">
        <v>41118</v>
      </c>
      <c r="C112" s="145">
        <v>49919</v>
      </c>
      <c r="D112" s="166">
        <f t="shared" ref="D112:D120" si="16">IF(B112=0, "    ---- ", IF(ABS(ROUND(100/B112*C112-100,1))&lt;999,ROUND(100/B112*C112-100,1),IF(ROUND(100/B112*C112-100,1)&gt;999,999,-999)))</f>
        <v>21.4</v>
      </c>
      <c r="E112" s="27">
        <f>IFERROR(100/'Skjema total MA'!C112*C112,0)</f>
        <v>54.218111864436707</v>
      </c>
      <c r="F112" s="234"/>
      <c r="G112" s="145"/>
      <c r="H112" s="166"/>
      <c r="I112" s="27"/>
      <c r="J112" s="292">
        <f t="shared" ref="J112:K125" si="17">SUM(B112,F112)</f>
        <v>41118</v>
      </c>
      <c r="K112" s="44">
        <f t="shared" si="17"/>
        <v>49919</v>
      </c>
      <c r="L112" s="259">
        <f t="shared" ref="L112:L125" si="18">IF(J112=0, "    ---- ", IF(ABS(ROUND(100/J112*K112-100,1))&lt;999,ROUND(100/J112*K112-100,1),IF(ROUND(100/J112*K112-100,1)&gt;999,999,-999)))</f>
        <v>21.4</v>
      </c>
      <c r="M112" s="27">
        <f>IFERROR(100/'Skjema total MA'!I112*K112,0)</f>
        <v>53.418562187910617</v>
      </c>
    </row>
    <row r="113" spans="1:14" x14ac:dyDescent="0.2">
      <c r="A113" s="21" t="s">
        <v>10</v>
      </c>
      <c r="B113" s="234"/>
      <c r="C113" s="145"/>
      <c r="D113" s="166"/>
      <c r="E113" s="27"/>
      <c r="F113" s="234">
        <v>1666153</v>
      </c>
      <c r="G113" s="145">
        <v>2913902</v>
      </c>
      <c r="H113" s="166">
        <f t="shared" ref="H113:H125" si="19">IF(F113=0, "    ---- ", IF(ABS(ROUND(100/F113*G113-100,1))&lt;999,ROUND(100/F113*G113-100,1),IF(ROUND(100/F113*G113-100,1)&gt;999,999,-999)))</f>
        <v>74.900000000000006</v>
      </c>
      <c r="I113" s="27">
        <f>IFERROR(100/'Skjema total MA'!F113*G113,0)</f>
        <v>23.731801814676391</v>
      </c>
      <c r="J113" s="292">
        <f t="shared" si="17"/>
        <v>1666153</v>
      </c>
      <c r="K113" s="44">
        <f t="shared" si="17"/>
        <v>2913902</v>
      </c>
      <c r="L113" s="259">
        <f t="shared" si="18"/>
        <v>74.900000000000006</v>
      </c>
      <c r="M113" s="27">
        <f>IFERROR(100/'Skjema total MA'!I113*K113,0)</f>
        <v>23.731598578833804</v>
      </c>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v>10838</v>
      </c>
      <c r="C116" s="234">
        <v>1904</v>
      </c>
      <c r="D116" s="166">
        <f t="shared" si="16"/>
        <v>-82.4</v>
      </c>
      <c r="E116" s="27">
        <f>IFERROR(100/'Skjema total MA'!C116*C116,0)</f>
        <v>7.3725861072753096</v>
      </c>
      <c r="F116" s="234"/>
      <c r="G116" s="234"/>
      <c r="H116" s="166"/>
      <c r="I116" s="27"/>
      <c r="J116" s="292">
        <f t="shared" si="17"/>
        <v>10838</v>
      </c>
      <c r="K116" s="44">
        <f t="shared" si="17"/>
        <v>1904</v>
      </c>
      <c r="L116" s="259">
        <f t="shared" si="18"/>
        <v>-82.4</v>
      </c>
      <c r="M116" s="27">
        <f>IFERROR(100/'Skjema total MA'!I116*K116,0)</f>
        <v>6.9991037544714398</v>
      </c>
    </row>
    <row r="117" spans="1:14" ht="15.75" x14ac:dyDescent="0.2">
      <c r="A117" s="38" t="s">
        <v>407</v>
      </c>
      <c r="B117" s="234"/>
      <c r="C117" s="234"/>
      <c r="D117" s="166"/>
      <c r="E117" s="27"/>
      <c r="F117" s="234">
        <v>684780</v>
      </c>
      <c r="G117" s="234">
        <v>1044127</v>
      </c>
      <c r="H117" s="166">
        <f t="shared" si="19"/>
        <v>52.5</v>
      </c>
      <c r="I117" s="27">
        <f>IFERROR(100/'Skjema total MA'!F117*G117,0)</f>
        <v>16.085847357921793</v>
      </c>
      <c r="J117" s="292">
        <f t="shared" si="17"/>
        <v>684780</v>
      </c>
      <c r="K117" s="44">
        <f t="shared" si="17"/>
        <v>1044127</v>
      </c>
      <c r="L117" s="259">
        <f t="shared" si="18"/>
        <v>52.5</v>
      </c>
      <c r="M117" s="27">
        <f>IFERROR(100/'Skjema total MA'!I117*K117,0)</f>
        <v>16.085586775532242</v>
      </c>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v>16638</v>
      </c>
      <c r="C119" s="159">
        <v>13613</v>
      </c>
      <c r="D119" s="171">
        <f t="shared" si="16"/>
        <v>-18.2</v>
      </c>
      <c r="E119" s="11">
        <f>IFERROR(100/'Skjema total MA'!C119*C119,0)</f>
        <v>9.645700188972528</v>
      </c>
      <c r="F119" s="311">
        <v>1210816</v>
      </c>
      <c r="G119" s="159">
        <v>1285329</v>
      </c>
      <c r="H119" s="171">
        <f t="shared" si="19"/>
        <v>6.2</v>
      </c>
      <c r="I119" s="11">
        <f>IFERROR(100/'Skjema total MA'!F119*G119,0)</f>
        <v>9.8938223487686017</v>
      </c>
      <c r="J119" s="312">
        <f t="shared" si="17"/>
        <v>1227454</v>
      </c>
      <c r="K119" s="236">
        <f t="shared" si="17"/>
        <v>1298942</v>
      </c>
      <c r="L119" s="425">
        <f t="shared" si="18"/>
        <v>5.8</v>
      </c>
      <c r="M119" s="11">
        <f>IFERROR(100/'Skjema total MA'!I119*K119,0)</f>
        <v>9.891155840569402</v>
      </c>
    </row>
    <row r="120" spans="1:14" x14ac:dyDescent="0.2">
      <c r="A120" s="21" t="s">
        <v>9</v>
      </c>
      <c r="B120" s="234">
        <v>16638</v>
      </c>
      <c r="C120" s="145">
        <v>13613</v>
      </c>
      <c r="D120" s="166">
        <f t="shared" si="16"/>
        <v>-18.2</v>
      </c>
      <c r="E120" s="27">
        <f>IFERROR(100/'Skjema total MA'!C120*C120,0)</f>
        <v>19.742530829035768</v>
      </c>
      <c r="F120" s="234"/>
      <c r="G120" s="145"/>
      <c r="H120" s="166"/>
      <c r="I120" s="27"/>
      <c r="J120" s="292">
        <f t="shared" si="17"/>
        <v>16638</v>
      </c>
      <c r="K120" s="44">
        <f t="shared" si="17"/>
        <v>13613</v>
      </c>
      <c r="L120" s="259">
        <f t="shared" si="18"/>
        <v>-18.2</v>
      </c>
      <c r="M120" s="27">
        <f>IFERROR(100/'Skjema total MA'!I120*K120,0)</f>
        <v>19.742530829035768</v>
      </c>
    </row>
    <row r="121" spans="1:14" x14ac:dyDescent="0.2">
      <c r="A121" s="21" t="s">
        <v>10</v>
      </c>
      <c r="B121" s="234"/>
      <c r="C121" s="145"/>
      <c r="D121" s="166"/>
      <c r="E121" s="27"/>
      <c r="F121" s="234">
        <v>1210816</v>
      </c>
      <c r="G121" s="145">
        <v>1285329</v>
      </c>
      <c r="H121" s="166">
        <f t="shared" si="19"/>
        <v>6.2</v>
      </c>
      <c r="I121" s="27">
        <f>IFERROR(100/'Skjema total MA'!F121*G121,0)</f>
        <v>9.8938223487686017</v>
      </c>
      <c r="J121" s="292">
        <f t="shared" si="17"/>
        <v>1210816</v>
      </c>
      <c r="K121" s="44">
        <f t="shared" si="17"/>
        <v>1285329</v>
      </c>
      <c r="L121" s="259">
        <f t="shared" si="18"/>
        <v>6.2</v>
      </c>
      <c r="M121" s="27">
        <f>IFERROR(100/'Skjema total MA'!I121*K121,0)</f>
        <v>9.8886292217113425</v>
      </c>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v>628651</v>
      </c>
      <c r="G125" s="234">
        <v>655859</v>
      </c>
      <c r="H125" s="166">
        <f t="shared" si="19"/>
        <v>4.3</v>
      </c>
      <c r="I125" s="27">
        <f>IFERROR(100/'Skjema total MA'!F125*G125,0)</f>
        <v>9.888541689641734</v>
      </c>
      <c r="J125" s="292">
        <f t="shared" si="17"/>
        <v>628651</v>
      </c>
      <c r="K125" s="44">
        <f t="shared" si="17"/>
        <v>655859</v>
      </c>
      <c r="L125" s="259">
        <f t="shared" si="18"/>
        <v>4.3</v>
      </c>
      <c r="M125" s="27">
        <f>IFERROR(100/'Skjema total MA'!I125*K125,0)</f>
        <v>9.8884509638557336</v>
      </c>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26" priority="133">
      <formula>kvartal &lt; 4</formula>
    </cfRule>
  </conditionalFormatting>
  <conditionalFormatting sqref="B115">
    <cfRule type="expression" dxfId="525" priority="77">
      <formula>kvartal &lt; 4</formula>
    </cfRule>
  </conditionalFormatting>
  <conditionalFormatting sqref="C115">
    <cfRule type="expression" dxfId="524" priority="76">
      <formula>kvartal &lt; 4</formula>
    </cfRule>
  </conditionalFormatting>
  <conditionalFormatting sqref="B123">
    <cfRule type="expression" dxfId="523" priority="75">
      <formula>kvartal &lt; 4</formula>
    </cfRule>
  </conditionalFormatting>
  <conditionalFormatting sqref="C123">
    <cfRule type="expression" dxfId="522" priority="74">
      <formula>kvartal &lt; 4</formula>
    </cfRule>
  </conditionalFormatting>
  <conditionalFormatting sqref="F115">
    <cfRule type="expression" dxfId="521" priority="59">
      <formula>kvartal &lt; 4</formula>
    </cfRule>
  </conditionalFormatting>
  <conditionalFormatting sqref="G115">
    <cfRule type="expression" dxfId="520" priority="58">
      <formula>kvartal &lt; 4</formula>
    </cfRule>
  </conditionalFormatting>
  <conditionalFormatting sqref="F123:G123">
    <cfRule type="expression" dxfId="519" priority="57">
      <formula>kvartal &lt; 4</formula>
    </cfRule>
  </conditionalFormatting>
  <conditionalFormatting sqref="J115:K115">
    <cfRule type="expression" dxfId="518" priority="33">
      <formula>kvartal &lt; 4</formula>
    </cfRule>
  </conditionalFormatting>
  <conditionalFormatting sqref="J123:K123">
    <cfRule type="expression" dxfId="517" priority="32">
      <formula>kvartal &lt; 4</formula>
    </cfRule>
  </conditionalFormatting>
  <conditionalFormatting sqref="A50:A52">
    <cfRule type="expression" dxfId="516" priority="13">
      <formula>kvartal &lt; 4</formula>
    </cfRule>
  </conditionalFormatting>
  <conditionalFormatting sqref="A69:A74">
    <cfRule type="expression" dxfId="515" priority="11">
      <formula>kvartal &lt; 4</formula>
    </cfRule>
  </conditionalFormatting>
  <conditionalFormatting sqref="A80:A85">
    <cfRule type="expression" dxfId="514" priority="10">
      <formula>kvartal &lt; 4</formula>
    </cfRule>
  </conditionalFormatting>
  <conditionalFormatting sqref="A90:A95">
    <cfRule type="expression" dxfId="513" priority="7">
      <formula>kvartal &lt; 4</formula>
    </cfRule>
  </conditionalFormatting>
  <conditionalFormatting sqref="A101:A106">
    <cfRule type="expression" dxfId="512" priority="6">
      <formula>kvartal &lt; 4</formula>
    </cfRule>
  </conditionalFormatting>
  <conditionalFormatting sqref="A115">
    <cfRule type="expression" dxfId="511" priority="5">
      <formula>kvartal &lt; 4</formula>
    </cfRule>
  </conditionalFormatting>
  <conditionalFormatting sqref="A123">
    <cfRule type="expression" dxfId="510" priority="4">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89</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8733.1530000000002</v>
      </c>
      <c r="C7" s="310"/>
      <c r="D7" s="352">
        <f>IF(B7=0, "    ---- ", IF(ABS(ROUND(100/B7*C7-100,1))&lt;999,ROUND(100/B7*C7-100,1),IF(ROUND(100/B7*C7-100,1)&gt;999,999,-999)))</f>
        <v>-100</v>
      </c>
      <c r="E7" s="11">
        <f>IFERROR(100/'Skjema total MA'!C7*C7,0)</f>
        <v>0</v>
      </c>
      <c r="F7" s="309"/>
      <c r="G7" s="310"/>
      <c r="H7" s="352"/>
      <c r="I7" s="160"/>
      <c r="J7" s="311">
        <f t="shared" ref="J7:K10" si="0">SUM(B7,F7)</f>
        <v>8733.1530000000002</v>
      </c>
      <c r="K7" s="312">
        <f t="shared" si="0"/>
        <v>0</v>
      </c>
      <c r="L7" s="424">
        <f>IF(J7=0, "    ---- ", IF(ABS(ROUND(100/J7*K7-100,1))&lt;999,ROUND(100/J7*K7-100,1),IF(ROUND(100/J7*K7-100,1)&gt;999,999,-999)))</f>
        <v>-100</v>
      </c>
      <c r="M7" s="11">
        <f>IFERROR(100/'Skjema total MA'!I7*K7,0)</f>
        <v>0</v>
      </c>
    </row>
    <row r="8" spans="1:14" ht="15.75" x14ac:dyDescent="0.2">
      <c r="A8" s="21" t="s">
        <v>25</v>
      </c>
      <c r="B8" s="286">
        <v>6717.7049999999999</v>
      </c>
      <c r="C8" s="287"/>
      <c r="D8" s="166">
        <f t="shared" ref="D8:D10" si="1">IF(B8=0, "    ---- ", IF(ABS(ROUND(100/B8*C8-100,1))&lt;999,ROUND(100/B8*C8-100,1),IF(ROUND(100/B8*C8-100,1)&gt;999,999,-999)))</f>
        <v>-100</v>
      </c>
      <c r="E8" s="27">
        <f>IFERROR(100/'Skjema total MA'!C8*C8,0)</f>
        <v>0</v>
      </c>
      <c r="F8" s="290"/>
      <c r="G8" s="291"/>
      <c r="H8" s="166"/>
      <c r="I8" s="176"/>
      <c r="J8" s="234">
        <f t="shared" si="0"/>
        <v>6717.7049999999999</v>
      </c>
      <c r="K8" s="292">
        <f t="shared" si="0"/>
        <v>0</v>
      </c>
      <c r="L8" s="166">
        <f t="shared" ref="L8:L9" si="2">IF(J8=0, "    ---- ", IF(ABS(ROUND(100/J8*K8-100,1))&lt;999,ROUND(100/J8*K8-100,1),IF(ROUND(100/J8*K8-100,1)&gt;999,999,-999)))</f>
        <v>-100</v>
      </c>
      <c r="M8" s="27">
        <f>IFERROR(100/'Skjema total MA'!I8*K8,0)</f>
        <v>0</v>
      </c>
    </row>
    <row r="9" spans="1:14" ht="15.75" x14ac:dyDescent="0.2">
      <c r="A9" s="21" t="s">
        <v>24</v>
      </c>
      <c r="B9" s="286">
        <v>1902.749</v>
      </c>
      <c r="C9" s="287"/>
      <c r="D9" s="166">
        <f t="shared" si="1"/>
        <v>-100</v>
      </c>
      <c r="E9" s="27">
        <f>IFERROR(100/'Skjema total MA'!C9*C9,0)</f>
        <v>0</v>
      </c>
      <c r="F9" s="290"/>
      <c r="G9" s="291"/>
      <c r="H9" s="166"/>
      <c r="I9" s="176"/>
      <c r="J9" s="234">
        <f t="shared" si="0"/>
        <v>1902.749</v>
      </c>
      <c r="K9" s="292">
        <f t="shared" si="0"/>
        <v>0</v>
      </c>
      <c r="L9" s="166">
        <f t="shared" si="2"/>
        <v>-100</v>
      </c>
      <c r="M9" s="27">
        <f>IFERROR(100/'Skjema total MA'!I9*K9,0)</f>
        <v>0</v>
      </c>
    </row>
    <row r="10" spans="1:14" ht="15.75" x14ac:dyDescent="0.2">
      <c r="A10" s="13" t="s">
        <v>348</v>
      </c>
      <c r="B10" s="313">
        <v>20952.650000000001</v>
      </c>
      <c r="C10" s="314"/>
      <c r="D10" s="171">
        <f t="shared" si="1"/>
        <v>-100</v>
      </c>
      <c r="E10" s="11">
        <f>IFERROR(100/'Skjema total MA'!C10*C10,0)</f>
        <v>0</v>
      </c>
      <c r="F10" s="313"/>
      <c r="G10" s="314"/>
      <c r="H10" s="171"/>
      <c r="I10" s="160"/>
      <c r="J10" s="311">
        <f t="shared" si="0"/>
        <v>20952.650000000001</v>
      </c>
      <c r="K10" s="312">
        <f t="shared" si="0"/>
        <v>0</v>
      </c>
      <c r="L10" s="425">
        <f t="shared" ref="L10" si="3">IF(J10=0, "    ---- ", IF(ABS(ROUND(100/J10*K10-100,1))&lt;999,ROUND(100/J10*K10-100,1),IF(ROUND(100/J10*K10-100,1)&gt;999,999,-999)))</f>
        <v>-100</v>
      </c>
      <c r="M10" s="11">
        <f>IFERROR(100/'Skjema total MA'!I10*K10,0)</f>
        <v>0</v>
      </c>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31.366</v>
      </c>
      <c r="C22" s="313"/>
      <c r="D22" s="352">
        <f t="shared" ref="D22:D31" si="4">IF(B22=0, "    ---- ", IF(ABS(ROUND(100/B22*C22-100,1))&lt;999,ROUND(100/B22*C22-100,1),IF(ROUND(100/B22*C22-100,1)&gt;999,999,-999)))</f>
        <v>-100</v>
      </c>
      <c r="E22" s="11">
        <f>IFERROR(100/'Skjema total MA'!C22*C22,0)</f>
        <v>0</v>
      </c>
      <c r="F22" s="321"/>
      <c r="G22" s="321"/>
      <c r="H22" s="352"/>
      <c r="I22" s="11"/>
      <c r="J22" s="319">
        <f t="shared" ref="J22:K29" si="5">SUM(B22,F22)</f>
        <v>31.366</v>
      </c>
      <c r="K22" s="319">
        <f t="shared" si="5"/>
        <v>0</v>
      </c>
      <c r="L22" s="424">
        <f t="shared" ref="L22:L31" si="6">IF(J22=0, "    ---- ", IF(ABS(ROUND(100/J22*K22-100,1))&lt;999,ROUND(100/J22*K22-100,1),IF(ROUND(100/J22*K22-100,1)&gt;999,999,-999)))</f>
        <v>-100</v>
      </c>
      <c r="M22" s="24">
        <f>IFERROR(100/'Skjema total MA'!I22*K22,0)</f>
        <v>0</v>
      </c>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v>31.366</v>
      </c>
      <c r="C24" s="286"/>
      <c r="D24" s="166">
        <f t="shared" si="4"/>
        <v>-100</v>
      </c>
      <c r="E24" s="11">
        <f>IFERROR(100/'Skjema total MA'!C24*C24,0)</f>
        <v>0</v>
      </c>
      <c r="F24" s="294"/>
      <c r="G24" s="294"/>
      <c r="H24" s="166"/>
      <c r="I24" s="414"/>
      <c r="J24" s="294">
        <f t="shared" ref="J24" si="7">SUM(B24,F24)</f>
        <v>31.366</v>
      </c>
      <c r="K24" s="294">
        <f t="shared" ref="K24" si="8">SUM(C24,G24)</f>
        <v>0</v>
      </c>
      <c r="L24" s="166">
        <f t="shared" si="6"/>
        <v>-100</v>
      </c>
      <c r="M24" s="23">
        <f>IFERROR(100/'Skjema total MA'!I24*K24,0)</f>
        <v>0</v>
      </c>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v>1807.9739999999999</v>
      </c>
      <c r="C29" s="236"/>
      <c r="D29" s="171">
        <f t="shared" si="4"/>
        <v>-100</v>
      </c>
      <c r="E29" s="11">
        <f>IFERROR(100/'Skjema total MA'!C29*C29,0)</f>
        <v>0</v>
      </c>
      <c r="F29" s="311"/>
      <c r="G29" s="311"/>
      <c r="H29" s="171"/>
      <c r="I29" s="11"/>
      <c r="J29" s="236">
        <f t="shared" si="5"/>
        <v>1807.9739999999999</v>
      </c>
      <c r="K29" s="236">
        <f t="shared" si="5"/>
        <v>0</v>
      </c>
      <c r="L29" s="425">
        <f t="shared" si="6"/>
        <v>-100</v>
      </c>
      <c r="M29" s="24">
        <f>IFERROR(100/'Skjema total MA'!I29*K29,0)</f>
        <v>0</v>
      </c>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v>1807.9739999999999</v>
      </c>
      <c r="C31" s="286"/>
      <c r="D31" s="166">
        <f t="shared" si="4"/>
        <v>-100</v>
      </c>
      <c r="E31" s="11">
        <f>IFERROR(100/'Skjema total MA'!C31*C31,0)</f>
        <v>0</v>
      </c>
      <c r="F31" s="294"/>
      <c r="G31" s="294"/>
      <c r="H31" s="166"/>
      <c r="I31" s="414"/>
      <c r="J31" s="294">
        <f t="shared" ref="J31" si="9">SUM(B31,F31)</f>
        <v>1807.9739999999999</v>
      </c>
      <c r="K31" s="294">
        <f t="shared" ref="K31" si="10">SUM(C31,G31)</f>
        <v>0</v>
      </c>
      <c r="L31" s="166">
        <f t="shared" si="6"/>
        <v>-100</v>
      </c>
      <c r="M31" s="23">
        <f>IFERROR(100/'Skjema total MA'!I31*K31,0)</f>
        <v>0</v>
      </c>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c r="D47" s="424"/>
      <c r="E47" s="11"/>
      <c r="F47" s="145"/>
      <c r="G47" s="33"/>
      <c r="H47" s="159"/>
      <c r="I47" s="159"/>
      <c r="J47" s="37"/>
      <c r="K47" s="37"/>
      <c r="L47" s="159"/>
      <c r="M47" s="159"/>
      <c r="N47" s="148"/>
    </row>
    <row r="48" spans="1:14" s="3" customFormat="1" ht="15.75" x14ac:dyDescent="0.2">
      <c r="A48" s="38" t="s">
        <v>359</v>
      </c>
      <c r="B48" s="286"/>
      <c r="C48" s="287"/>
      <c r="D48" s="259"/>
      <c r="E48" s="27"/>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09" priority="132">
      <formula>kvartal &lt; 4</formula>
    </cfRule>
  </conditionalFormatting>
  <conditionalFormatting sqref="B115">
    <cfRule type="expression" dxfId="508" priority="76">
      <formula>kvartal &lt; 4</formula>
    </cfRule>
  </conditionalFormatting>
  <conditionalFormatting sqref="C115">
    <cfRule type="expression" dxfId="507" priority="75">
      <formula>kvartal &lt; 4</formula>
    </cfRule>
  </conditionalFormatting>
  <conditionalFormatting sqref="B123">
    <cfRule type="expression" dxfId="506" priority="74">
      <formula>kvartal &lt; 4</formula>
    </cfRule>
  </conditionalFormatting>
  <conditionalFormatting sqref="C123">
    <cfRule type="expression" dxfId="505" priority="73">
      <formula>kvartal &lt; 4</formula>
    </cfRule>
  </conditionalFormatting>
  <conditionalFormatting sqref="F115">
    <cfRule type="expression" dxfId="504" priority="58">
      <formula>kvartal &lt; 4</formula>
    </cfRule>
  </conditionalFormatting>
  <conditionalFormatting sqref="G115">
    <cfRule type="expression" dxfId="503" priority="57">
      <formula>kvartal &lt; 4</formula>
    </cfRule>
  </conditionalFormatting>
  <conditionalFormatting sqref="F123:G123">
    <cfRule type="expression" dxfId="502" priority="56">
      <formula>kvartal &lt; 4</formula>
    </cfRule>
  </conditionalFormatting>
  <conditionalFormatting sqref="J115:K115">
    <cfRule type="expression" dxfId="501" priority="32">
      <formula>kvartal &lt; 4</formula>
    </cfRule>
  </conditionalFormatting>
  <conditionalFormatting sqref="J123:K123">
    <cfRule type="expression" dxfId="500" priority="31">
      <formula>kvartal &lt; 4</formula>
    </cfRule>
  </conditionalFormatting>
  <conditionalFormatting sqref="A50:A52">
    <cfRule type="expression" dxfId="499" priority="12">
      <formula>kvartal &lt; 4</formula>
    </cfRule>
  </conditionalFormatting>
  <conditionalFormatting sqref="A69:A74">
    <cfRule type="expression" dxfId="498" priority="10">
      <formula>kvartal &lt; 4</formula>
    </cfRule>
  </conditionalFormatting>
  <conditionalFormatting sqref="A80:A85">
    <cfRule type="expression" dxfId="497" priority="9">
      <formula>kvartal &lt; 4</formula>
    </cfRule>
  </conditionalFormatting>
  <conditionalFormatting sqref="A90:A95">
    <cfRule type="expression" dxfId="496" priority="6">
      <formula>kvartal &lt; 4</formula>
    </cfRule>
  </conditionalFormatting>
  <conditionalFormatting sqref="A101:A106">
    <cfRule type="expression" dxfId="495" priority="5">
      <formula>kvartal &lt; 4</formula>
    </cfRule>
  </conditionalFormatting>
  <conditionalFormatting sqref="A115">
    <cfRule type="expression" dxfId="494" priority="4">
      <formula>kvartal &lt; 4</formula>
    </cfRule>
  </conditionalFormatting>
  <conditionalFormatting sqref="A123">
    <cfRule type="expression" dxfId="493"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127</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119811.31754259999</v>
      </c>
      <c r="C7" s="310">
        <v>128482.66864857</v>
      </c>
      <c r="D7" s="352">
        <f>IF(B7=0, "    ---- ", IF(ABS(ROUND(100/B7*C7-100,1))&lt;999,ROUND(100/B7*C7-100,1),IF(ROUND(100/B7*C7-100,1)&gt;999,999,-999)))</f>
        <v>7.2</v>
      </c>
      <c r="E7" s="11">
        <f>IFERROR(100/'Skjema total MA'!C7*C7,0)</f>
        <v>6.8008920562754511</v>
      </c>
      <c r="F7" s="309"/>
      <c r="G7" s="310"/>
      <c r="H7" s="352"/>
      <c r="I7" s="160"/>
      <c r="J7" s="311">
        <f t="shared" ref="J7:K9" si="0">SUM(B7,F7)</f>
        <v>119811.31754259999</v>
      </c>
      <c r="K7" s="312">
        <f t="shared" si="0"/>
        <v>128482.66864857</v>
      </c>
      <c r="L7" s="424">
        <f>IF(J7=0, "    ---- ", IF(ABS(ROUND(100/J7*K7-100,1))&lt;999,ROUND(100/J7*K7-100,1),IF(ROUND(100/J7*K7-100,1)&gt;999,999,-999)))</f>
        <v>7.2</v>
      </c>
      <c r="M7" s="11">
        <f>IFERROR(100/'Skjema total MA'!I7*K7,0)</f>
        <v>2.797929841161074</v>
      </c>
    </row>
    <row r="8" spans="1:14" ht="15.75" x14ac:dyDescent="0.2">
      <c r="A8" s="21" t="s">
        <v>25</v>
      </c>
      <c r="B8" s="286">
        <v>84692.009014933297</v>
      </c>
      <c r="C8" s="287">
        <v>92752.219653880005</v>
      </c>
      <c r="D8" s="166">
        <f t="shared" ref="D8:D9" si="1">IF(B8=0, "    ---- ", IF(ABS(ROUND(100/B8*C8-100,1))&lt;999,ROUND(100/B8*C8-100,1),IF(ROUND(100/B8*C8-100,1)&gt;999,999,-999)))</f>
        <v>9.5</v>
      </c>
      <c r="E8" s="27">
        <f>IFERROR(100/'Skjema total MA'!C8*C8,0)</f>
        <v>7.6039836189296262</v>
      </c>
      <c r="F8" s="290"/>
      <c r="G8" s="291"/>
      <c r="H8" s="166"/>
      <c r="I8" s="176"/>
      <c r="J8" s="234">
        <f t="shared" si="0"/>
        <v>84692.009014933297</v>
      </c>
      <c r="K8" s="292">
        <f t="shared" si="0"/>
        <v>92752.219653880005</v>
      </c>
      <c r="L8" s="166">
        <f t="shared" ref="L8:L9" si="2">IF(J8=0, "    ---- ", IF(ABS(ROUND(100/J8*K8-100,1))&lt;999,ROUND(100/J8*K8-100,1),IF(ROUND(100/J8*K8-100,1)&gt;999,999,-999)))</f>
        <v>9.5</v>
      </c>
      <c r="M8" s="27">
        <f>IFERROR(100/'Skjema total MA'!I8*K8,0)</f>
        <v>7.6039836189296262</v>
      </c>
    </row>
    <row r="9" spans="1:14" ht="15.75" x14ac:dyDescent="0.2">
      <c r="A9" s="21" t="s">
        <v>24</v>
      </c>
      <c r="B9" s="286">
        <v>35119.308527666399</v>
      </c>
      <c r="C9" s="287">
        <v>35730.448994690298</v>
      </c>
      <c r="D9" s="166">
        <f t="shared" si="1"/>
        <v>1.7</v>
      </c>
      <c r="E9" s="27">
        <f>IFERROR(100/'Skjema total MA'!C9*C9,0)</f>
        <v>8.1844845687871501</v>
      </c>
      <c r="F9" s="290"/>
      <c r="G9" s="291"/>
      <c r="H9" s="166"/>
      <c r="I9" s="176"/>
      <c r="J9" s="234">
        <f t="shared" si="0"/>
        <v>35119.308527666399</v>
      </c>
      <c r="K9" s="292">
        <f t="shared" si="0"/>
        <v>35730.448994690298</v>
      </c>
      <c r="L9" s="166">
        <f t="shared" si="2"/>
        <v>1.7</v>
      </c>
      <c r="M9" s="27">
        <f>IFERROR(100/'Skjema total MA'!I9*K9,0)</f>
        <v>8.1844845687871501</v>
      </c>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v>66959.483354850701</v>
      </c>
      <c r="C28" s="292">
        <v>77053.175550291198</v>
      </c>
      <c r="D28" s="166">
        <f t="shared" ref="D28" si="3">IF(B28=0, "    ---- ", IF(ABS(ROUND(100/B28*C28-100,1))&lt;999,ROUND(100/B28*C28-100,1),IF(ROUND(100/B28*C28-100,1)&gt;999,999,-999)))</f>
        <v>15.1</v>
      </c>
      <c r="E28" s="11">
        <f>IFERROR(100/'Skjema total MA'!C28*C28,0)</f>
        <v>8.1150738143932557</v>
      </c>
      <c r="F28" s="234"/>
      <c r="G28" s="292"/>
      <c r="H28" s="166"/>
      <c r="I28" s="27"/>
      <c r="J28" s="44">
        <f t="shared" ref="J28:K28" si="4">SUM(B28,F28)</f>
        <v>66959.483354850701</v>
      </c>
      <c r="K28" s="44">
        <f t="shared" si="4"/>
        <v>77053.175550291198</v>
      </c>
      <c r="L28" s="259">
        <f t="shared" ref="L28" si="5">IF(J28=0, "    ---- ", IF(ABS(ROUND(100/J28*K28-100,1))&lt;999,ROUND(100/J28*K28-100,1),IF(ROUND(100/J28*K28-100,1)&gt;999,999,-999)))</f>
        <v>15.1</v>
      </c>
      <c r="M28" s="23">
        <f>IFERROR(100/'Skjema total MA'!I28*K28,0)</f>
        <v>8.1150738143932557</v>
      </c>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75806.336840000004</v>
      </c>
      <c r="C47" s="314">
        <v>96113.203000000009</v>
      </c>
      <c r="D47" s="424">
        <f t="shared" ref="D47:D57" si="6">IF(B47=0, "    ---- ", IF(ABS(ROUND(100/B47*C47-100,1))&lt;999,ROUND(100/B47*C47-100,1),IF(ROUND(100/B47*C47-100,1)&gt;999,999,-999)))</f>
        <v>26.8</v>
      </c>
      <c r="E47" s="11">
        <f>IFERROR(100/'Skjema total MA'!C47*C47,0)</f>
        <v>2.5720758465779134</v>
      </c>
      <c r="F47" s="145"/>
      <c r="G47" s="33"/>
      <c r="H47" s="159"/>
      <c r="I47" s="159"/>
      <c r="J47" s="37"/>
      <c r="K47" s="37"/>
      <c r="L47" s="159"/>
      <c r="M47" s="159"/>
      <c r="N47" s="148"/>
    </row>
    <row r="48" spans="1:14" s="3" customFormat="1" ht="15.75" x14ac:dyDescent="0.2">
      <c r="A48" s="38" t="s">
        <v>359</v>
      </c>
      <c r="B48" s="286">
        <v>75806.336840000004</v>
      </c>
      <c r="C48" s="287">
        <v>96113.203000000009</v>
      </c>
      <c r="D48" s="259">
        <f t="shared" si="6"/>
        <v>26.8</v>
      </c>
      <c r="E48" s="27">
        <f>IFERROR(100/'Skjema total MA'!C48*C48,0)</f>
        <v>4.7600269258579928</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2793.0740000000001</v>
      </c>
      <c r="C53" s="314">
        <v>729.43700000000001</v>
      </c>
      <c r="D53" s="425">
        <f t="shared" si="6"/>
        <v>-73.900000000000006</v>
      </c>
      <c r="E53" s="11">
        <f>IFERROR(100/'Skjema total MA'!C53*C53,0)</f>
        <v>0.73897774210431844</v>
      </c>
      <c r="F53" s="145"/>
      <c r="G53" s="33"/>
      <c r="H53" s="145"/>
      <c r="I53" s="145"/>
      <c r="J53" s="33"/>
      <c r="K53" s="33"/>
      <c r="L53" s="159"/>
      <c r="M53" s="159"/>
      <c r="N53" s="148"/>
    </row>
    <row r="54" spans="1:14" s="3" customFormat="1" ht="15.75" x14ac:dyDescent="0.2">
      <c r="A54" s="38" t="s">
        <v>359</v>
      </c>
      <c r="B54" s="286">
        <v>2793.0740000000001</v>
      </c>
      <c r="C54" s="287">
        <v>729.43700000000001</v>
      </c>
      <c r="D54" s="259">
        <f t="shared" si="6"/>
        <v>-73.900000000000006</v>
      </c>
      <c r="E54" s="27">
        <f>IFERROR(100/'Skjema total MA'!C54*C54,0)</f>
        <v>0.74612843782797145</v>
      </c>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v>19.457000000000001</v>
      </c>
      <c r="C56" s="314">
        <v>90.27</v>
      </c>
      <c r="D56" s="425">
        <f t="shared" si="6"/>
        <v>363.9</v>
      </c>
      <c r="E56" s="11">
        <f>IFERROR(100/'Skjema total MA'!C56*C56,0)</f>
        <v>0.15159451840132759</v>
      </c>
      <c r="F56" s="145"/>
      <c r="G56" s="33"/>
      <c r="H56" s="145"/>
      <c r="I56" s="145"/>
      <c r="J56" s="33"/>
      <c r="K56" s="33"/>
      <c r="L56" s="159"/>
      <c r="M56" s="159"/>
      <c r="N56" s="148"/>
    </row>
    <row r="57" spans="1:14" s="3" customFormat="1" ht="15.75" x14ac:dyDescent="0.2">
      <c r="A57" s="38" t="s">
        <v>359</v>
      </c>
      <c r="B57" s="286">
        <v>19.457000000000001</v>
      </c>
      <c r="C57" s="287">
        <v>90.27</v>
      </c>
      <c r="D57" s="259">
        <f t="shared" si="6"/>
        <v>363.9</v>
      </c>
      <c r="E57" s="27">
        <f>IFERROR(100/'Skjema total MA'!C57*C57,0)</f>
        <v>0.15159451840132759</v>
      </c>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92" priority="132">
      <formula>kvartal &lt; 4</formula>
    </cfRule>
  </conditionalFormatting>
  <conditionalFormatting sqref="B115">
    <cfRule type="expression" dxfId="491" priority="76">
      <formula>kvartal &lt; 4</formula>
    </cfRule>
  </conditionalFormatting>
  <conditionalFormatting sqref="C115">
    <cfRule type="expression" dxfId="490" priority="75">
      <formula>kvartal &lt; 4</formula>
    </cfRule>
  </conditionalFormatting>
  <conditionalFormatting sqref="B123">
    <cfRule type="expression" dxfId="489" priority="74">
      <formula>kvartal &lt; 4</formula>
    </cfRule>
  </conditionalFormatting>
  <conditionalFormatting sqref="C123">
    <cfRule type="expression" dxfId="488" priority="73">
      <formula>kvartal &lt; 4</formula>
    </cfRule>
  </conditionalFormatting>
  <conditionalFormatting sqref="F115">
    <cfRule type="expression" dxfId="487" priority="58">
      <formula>kvartal &lt; 4</formula>
    </cfRule>
  </conditionalFormatting>
  <conditionalFormatting sqref="G115">
    <cfRule type="expression" dxfId="486" priority="57">
      <formula>kvartal &lt; 4</formula>
    </cfRule>
  </conditionalFormatting>
  <conditionalFormatting sqref="F123:G123">
    <cfRule type="expression" dxfId="485" priority="56">
      <formula>kvartal &lt; 4</formula>
    </cfRule>
  </conditionalFormatting>
  <conditionalFormatting sqref="J115:K115">
    <cfRule type="expression" dxfId="484" priority="32">
      <formula>kvartal &lt; 4</formula>
    </cfRule>
  </conditionalFormatting>
  <conditionalFormatting sqref="J123:K123">
    <cfRule type="expression" dxfId="483" priority="31">
      <formula>kvartal &lt; 4</formula>
    </cfRule>
  </conditionalFormatting>
  <conditionalFormatting sqref="A50:A52">
    <cfRule type="expression" dxfId="482" priority="12">
      <formula>kvartal &lt; 4</formula>
    </cfRule>
  </conditionalFormatting>
  <conditionalFormatting sqref="A69:A74">
    <cfRule type="expression" dxfId="481" priority="10">
      <formula>kvartal &lt; 4</formula>
    </cfRule>
  </conditionalFormatting>
  <conditionalFormatting sqref="A80:A85">
    <cfRule type="expression" dxfId="480" priority="9">
      <formula>kvartal &lt; 4</formula>
    </cfRule>
  </conditionalFormatting>
  <conditionalFormatting sqref="A90:A95">
    <cfRule type="expression" dxfId="479" priority="6">
      <formula>kvartal &lt; 4</formula>
    </cfRule>
  </conditionalFormatting>
  <conditionalFormatting sqref="A101:A106">
    <cfRule type="expression" dxfId="478" priority="5">
      <formula>kvartal &lt; 4</formula>
    </cfRule>
  </conditionalFormatting>
  <conditionalFormatting sqref="A115">
    <cfRule type="expression" dxfId="477" priority="4">
      <formula>kvartal &lt; 4</formula>
    </cfRule>
  </conditionalFormatting>
  <conditionalFormatting sqref="A123">
    <cfRule type="expression" dxfId="476"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63</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c r="D47" s="424"/>
      <c r="E47" s="11"/>
      <c r="F47" s="145"/>
      <c r="G47" s="33"/>
      <c r="H47" s="159"/>
      <c r="I47" s="159"/>
      <c r="J47" s="37"/>
      <c r="K47" s="37"/>
      <c r="L47" s="159"/>
      <c r="M47" s="159"/>
      <c r="N47" s="148"/>
    </row>
    <row r="48" spans="1:14" s="3" customFormat="1" ht="15.75" x14ac:dyDescent="0.2">
      <c r="A48" s="38" t="s">
        <v>359</v>
      </c>
      <c r="B48" s="286"/>
      <c r="C48" s="287"/>
      <c r="D48" s="259"/>
      <c r="E48" s="27"/>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v>7118708.5350500001</v>
      </c>
      <c r="C134" s="312">
        <v>7553784.4308399996</v>
      </c>
      <c r="D134" s="352">
        <f t="shared" ref="D134:D137" si="0">IF(B134=0, "    ---- ", IF(ABS(ROUND(100/B134*C134-100,1))&lt;999,ROUND(100/B134*C134-100,1),IF(ROUND(100/B134*C134-100,1)&gt;999,999,-999)))</f>
        <v>6.1</v>
      </c>
      <c r="E134" s="11">
        <f>IFERROR(100/'Skjema total MA'!C134*C134,0)</f>
        <v>84.965854149049918</v>
      </c>
      <c r="F134" s="319">
        <v>7778.8180000000002</v>
      </c>
      <c r="G134" s="320">
        <v>18550.222000000002</v>
      </c>
      <c r="H134" s="428">
        <f t="shared" ref="H134:H136" si="1">IF(F134=0, "    ---- ", IF(ABS(ROUND(100/F134*G134-100,1))&lt;999,ROUND(100/F134*G134-100,1),IF(ROUND(100/F134*G134-100,1)&gt;999,999,-999)))</f>
        <v>138.5</v>
      </c>
      <c r="I134" s="24">
        <f>IFERROR(100/'Skjema total MA'!F134*G134,0)</f>
        <v>100</v>
      </c>
      <c r="J134" s="321">
        <f t="shared" ref="J134:K137" si="2">SUM(B134,F134)</f>
        <v>7126487.35305</v>
      </c>
      <c r="K134" s="321">
        <f t="shared" si="2"/>
        <v>7572334.6528399996</v>
      </c>
      <c r="L134" s="424">
        <f t="shared" ref="L134:L137" si="3">IF(J134=0, "    ---- ", IF(ABS(ROUND(100/J134*K134-100,1))&lt;999,ROUND(100/J134*K134-100,1),IF(ROUND(100/J134*K134-100,1)&gt;999,999,-999)))</f>
        <v>6.3</v>
      </c>
      <c r="M134" s="11">
        <f>IFERROR(100/'Skjema total MA'!I134*K134,0)</f>
        <v>84.997158339567321</v>
      </c>
      <c r="N134" s="148"/>
    </row>
    <row r="135" spans="1:14" s="3" customFormat="1" ht="15.75" x14ac:dyDescent="0.2">
      <c r="A135" s="13" t="s">
        <v>375</v>
      </c>
      <c r="B135" s="236">
        <v>641185711.48478997</v>
      </c>
      <c r="C135" s="312">
        <v>665564510.55555999</v>
      </c>
      <c r="D135" s="171">
        <f t="shared" si="0"/>
        <v>3.8</v>
      </c>
      <c r="E135" s="11">
        <f>IFERROR(100/'Skjema total MA'!C135*C135,0)</f>
        <v>86.255831941471968</v>
      </c>
      <c r="F135" s="236">
        <v>2847329.1389299999</v>
      </c>
      <c r="G135" s="312">
        <v>2609059.09693</v>
      </c>
      <c r="H135" s="429">
        <f t="shared" si="1"/>
        <v>-8.4</v>
      </c>
      <c r="I135" s="24">
        <f>IFERROR(100/'Skjema total MA'!F135*G135,0)</f>
        <v>100</v>
      </c>
      <c r="J135" s="311">
        <f t="shared" si="2"/>
        <v>644033040.62371993</v>
      </c>
      <c r="K135" s="311">
        <f t="shared" si="2"/>
        <v>668173569.65249002</v>
      </c>
      <c r="L135" s="425">
        <f t="shared" si="3"/>
        <v>3.7</v>
      </c>
      <c r="M135" s="11">
        <f>IFERROR(100/'Skjema total MA'!I135*K135,0)</f>
        <v>86.302148329888382</v>
      </c>
      <c r="N135" s="148"/>
    </row>
    <row r="136" spans="1:14" s="3" customFormat="1" ht="15.75" x14ac:dyDescent="0.2">
      <c r="A136" s="13" t="s">
        <v>372</v>
      </c>
      <c r="B136" s="236">
        <v>0</v>
      </c>
      <c r="C136" s="312">
        <v>91093.686000000002</v>
      </c>
      <c r="D136" s="171" t="str">
        <f t="shared" si="0"/>
        <v xml:space="preserve">    ---- </v>
      </c>
      <c r="E136" s="11">
        <f>IFERROR(100/'Skjema total MA'!C136*C136,0)</f>
        <v>10.131209626479151</v>
      </c>
      <c r="F136" s="236">
        <v>376440.52899999998</v>
      </c>
      <c r="G136" s="312">
        <v>0</v>
      </c>
      <c r="H136" s="429">
        <f t="shared" si="1"/>
        <v>-100</v>
      </c>
      <c r="I136" s="24">
        <f>IFERROR(100/'Skjema total MA'!F136*G136,0)</f>
        <v>0</v>
      </c>
      <c r="J136" s="311">
        <f t="shared" si="2"/>
        <v>376440.52899999998</v>
      </c>
      <c r="K136" s="311">
        <f t="shared" si="2"/>
        <v>91093.686000000002</v>
      </c>
      <c r="L136" s="425">
        <f t="shared" si="3"/>
        <v>-75.8</v>
      </c>
      <c r="M136" s="11">
        <f>IFERROR(100/'Skjema total MA'!I136*K136,0)</f>
        <v>10.131209626479151</v>
      </c>
      <c r="N136" s="148"/>
    </row>
    <row r="137" spans="1:14" s="3" customFormat="1" ht="15.75" x14ac:dyDescent="0.2">
      <c r="A137" s="41" t="s">
        <v>373</v>
      </c>
      <c r="B137" s="281">
        <v>4875400.2249999996</v>
      </c>
      <c r="C137" s="318">
        <v>2125461.818</v>
      </c>
      <c r="D137" s="169">
        <f t="shared" si="0"/>
        <v>-56.4</v>
      </c>
      <c r="E137" s="9">
        <f>IFERROR(100/'Skjema total MA'!C137*C137,0)</f>
        <v>100</v>
      </c>
      <c r="F137" s="281"/>
      <c r="G137" s="318"/>
      <c r="H137" s="430"/>
      <c r="I137" s="36"/>
      <c r="J137" s="317">
        <f t="shared" si="2"/>
        <v>4875400.2249999996</v>
      </c>
      <c r="K137" s="317">
        <f t="shared" si="2"/>
        <v>2125461.818</v>
      </c>
      <c r="L137" s="426">
        <f t="shared" si="3"/>
        <v>-56.4</v>
      </c>
      <c r="M137" s="36">
        <f>IFERROR(100/'Skjema total MA'!I137*K137,0)</f>
        <v>100</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75" priority="132">
      <formula>kvartal &lt; 4</formula>
    </cfRule>
  </conditionalFormatting>
  <conditionalFormatting sqref="B115">
    <cfRule type="expression" dxfId="474" priority="76">
      <formula>kvartal &lt; 4</formula>
    </cfRule>
  </conditionalFormatting>
  <conditionalFormatting sqref="C115">
    <cfRule type="expression" dxfId="473" priority="75">
      <formula>kvartal &lt; 4</formula>
    </cfRule>
  </conditionalFormatting>
  <conditionalFormatting sqref="B123">
    <cfRule type="expression" dxfId="472" priority="74">
      <formula>kvartal &lt; 4</formula>
    </cfRule>
  </conditionalFormatting>
  <conditionalFormatting sqref="C123">
    <cfRule type="expression" dxfId="471" priority="73">
      <formula>kvartal &lt; 4</formula>
    </cfRule>
  </conditionalFormatting>
  <conditionalFormatting sqref="F115">
    <cfRule type="expression" dxfId="470" priority="58">
      <formula>kvartal &lt; 4</formula>
    </cfRule>
  </conditionalFormatting>
  <conditionalFormatting sqref="G115">
    <cfRule type="expression" dxfId="469" priority="57">
      <formula>kvartal &lt; 4</formula>
    </cfRule>
  </conditionalFormatting>
  <conditionalFormatting sqref="F123:G123">
    <cfRule type="expression" dxfId="468" priority="56">
      <formula>kvartal &lt; 4</formula>
    </cfRule>
  </conditionalFormatting>
  <conditionalFormatting sqref="J115:K115">
    <cfRule type="expression" dxfId="467" priority="32">
      <formula>kvartal &lt; 4</formula>
    </cfRule>
  </conditionalFormatting>
  <conditionalFormatting sqref="J123:K123">
    <cfRule type="expression" dxfId="466" priority="31">
      <formula>kvartal &lt; 4</formula>
    </cfRule>
  </conditionalFormatting>
  <conditionalFormatting sqref="A50:A52">
    <cfRule type="expression" dxfId="465" priority="12">
      <formula>kvartal &lt; 4</formula>
    </cfRule>
  </conditionalFormatting>
  <conditionalFormatting sqref="A69:A74">
    <cfRule type="expression" dxfId="464" priority="10">
      <formula>kvartal &lt; 4</formula>
    </cfRule>
  </conditionalFormatting>
  <conditionalFormatting sqref="A80:A85">
    <cfRule type="expression" dxfId="463" priority="9">
      <formula>kvartal &lt; 4</formula>
    </cfRule>
  </conditionalFormatting>
  <conditionalFormatting sqref="A90:A95">
    <cfRule type="expression" dxfId="462" priority="6">
      <formula>kvartal &lt; 4</formula>
    </cfRule>
  </conditionalFormatting>
  <conditionalFormatting sqref="A101:A106">
    <cfRule type="expression" dxfId="461" priority="5">
      <formula>kvartal &lt; 4</formula>
    </cfRule>
  </conditionalFormatting>
  <conditionalFormatting sqref="A115">
    <cfRule type="expression" dxfId="460" priority="4">
      <formula>kvartal &lt; 4</formula>
    </cfRule>
  </conditionalFormatting>
  <conditionalFormatting sqref="A123">
    <cfRule type="expression" dxfId="459" priority="3">
      <formula>kvartal &lt; 4</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130</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8484.8169999999991</v>
      </c>
      <c r="C7" s="310">
        <v>9745.2489999999998</v>
      </c>
      <c r="D7" s="352">
        <f>IF(B7=0, "    ---- ", IF(ABS(ROUND(100/B7*C7-100,1))&lt;999,ROUND(100/B7*C7-100,1),IF(ROUND(100/B7*C7-100,1)&gt;999,999,-999)))</f>
        <v>14.9</v>
      </c>
      <c r="E7" s="11">
        <f>IFERROR(100/'Skjema total MA'!C7*C7,0)</f>
        <v>0.51583911828456508</v>
      </c>
      <c r="F7" s="309"/>
      <c r="G7" s="310"/>
      <c r="H7" s="352"/>
      <c r="I7" s="160"/>
      <c r="J7" s="311">
        <f t="shared" ref="J7:K10" si="0">SUM(B7,F7)</f>
        <v>8484.8169999999991</v>
      </c>
      <c r="K7" s="312">
        <f t="shared" si="0"/>
        <v>9745.2489999999998</v>
      </c>
      <c r="L7" s="424">
        <f>IF(J7=0, "    ---- ", IF(ABS(ROUND(100/J7*K7-100,1))&lt;999,ROUND(100/J7*K7-100,1),IF(ROUND(100/J7*K7-100,1)&gt;999,999,-999)))</f>
        <v>14.9</v>
      </c>
      <c r="M7" s="11">
        <f>IFERROR(100/'Skjema total MA'!I7*K7,0)</f>
        <v>0.21221946332096667</v>
      </c>
    </row>
    <row r="8" spans="1:14" ht="15.75" x14ac:dyDescent="0.2">
      <c r="A8" s="21" t="s">
        <v>25</v>
      </c>
      <c r="B8" s="286">
        <v>8137.1639999999998</v>
      </c>
      <c r="C8" s="287">
        <v>9341.1419999999998</v>
      </c>
      <c r="D8" s="166">
        <f t="shared" ref="D8:D10" si="1">IF(B8=0, "    ---- ", IF(ABS(ROUND(100/B8*C8-100,1))&lt;999,ROUND(100/B8*C8-100,1),IF(ROUND(100/B8*C8-100,1)&gt;999,999,-999)))</f>
        <v>14.8</v>
      </c>
      <c r="E8" s="27">
        <f>IFERROR(100/'Skjema total MA'!C8*C8,0)</f>
        <v>0.76580259766456382</v>
      </c>
      <c r="F8" s="290"/>
      <c r="G8" s="291"/>
      <c r="H8" s="166"/>
      <c r="I8" s="176"/>
      <c r="J8" s="234">
        <f t="shared" si="0"/>
        <v>8137.1639999999998</v>
      </c>
      <c r="K8" s="292">
        <f t="shared" si="0"/>
        <v>9341.1419999999998</v>
      </c>
      <c r="L8" s="166">
        <f t="shared" ref="L8:L9" si="2">IF(J8=0, "    ---- ", IF(ABS(ROUND(100/J8*K8-100,1))&lt;999,ROUND(100/J8*K8-100,1),IF(ROUND(100/J8*K8-100,1)&gt;999,999,-999)))</f>
        <v>14.8</v>
      </c>
      <c r="M8" s="27">
        <f>IFERROR(100/'Skjema total MA'!I8*K8,0)</f>
        <v>0.76580259766456382</v>
      </c>
    </row>
    <row r="9" spans="1:14" ht="15.75" x14ac:dyDescent="0.2">
      <c r="A9" s="21" t="s">
        <v>24</v>
      </c>
      <c r="B9" s="286">
        <v>347.65300000000002</v>
      </c>
      <c r="C9" s="287">
        <v>404.10700000000003</v>
      </c>
      <c r="D9" s="166">
        <f t="shared" si="1"/>
        <v>16.2</v>
      </c>
      <c r="E9" s="27">
        <f>IFERROR(100/'Skjema total MA'!C9*C9,0)</f>
        <v>9.2565517610214323E-2</v>
      </c>
      <c r="F9" s="290"/>
      <c r="G9" s="291"/>
      <c r="H9" s="166"/>
      <c r="I9" s="176"/>
      <c r="J9" s="234">
        <f t="shared" si="0"/>
        <v>347.65300000000002</v>
      </c>
      <c r="K9" s="292">
        <f t="shared" si="0"/>
        <v>404.10700000000003</v>
      </c>
      <c r="L9" s="166">
        <f t="shared" si="2"/>
        <v>16.2</v>
      </c>
      <c r="M9" s="27">
        <f>IFERROR(100/'Skjema total MA'!I9*K9,0)</f>
        <v>9.2565517610214323E-2</v>
      </c>
    </row>
    <row r="10" spans="1:14" ht="15.75" x14ac:dyDescent="0.2">
      <c r="A10" s="13" t="s">
        <v>348</v>
      </c>
      <c r="B10" s="313">
        <v>19208.919000000002</v>
      </c>
      <c r="C10" s="314">
        <v>22144.397000000001</v>
      </c>
      <c r="D10" s="171">
        <f t="shared" si="1"/>
        <v>15.3</v>
      </c>
      <c r="E10" s="11">
        <f>IFERROR(100/'Skjema total MA'!C10*C10,0)</f>
        <v>0.15019541579560927</v>
      </c>
      <c r="F10" s="313"/>
      <c r="G10" s="314"/>
      <c r="H10" s="171"/>
      <c r="I10" s="160"/>
      <c r="J10" s="311">
        <f t="shared" si="0"/>
        <v>19208.919000000002</v>
      </c>
      <c r="K10" s="312">
        <f t="shared" si="0"/>
        <v>22144.397000000001</v>
      </c>
      <c r="L10" s="425">
        <f t="shared" ref="L10" si="3">IF(J10=0, "    ---- ", IF(ABS(ROUND(100/J10*K10-100,1))&lt;999,ROUND(100/J10*K10-100,1),IF(ROUND(100/J10*K10-100,1)&gt;999,999,-999)))</f>
        <v>15.3</v>
      </c>
      <c r="M10" s="11">
        <f>IFERROR(100/'Skjema total MA'!I10*K10,0)</f>
        <v>2.4531298900998286E-2</v>
      </c>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6913.57</v>
      </c>
      <c r="C22" s="313">
        <v>8608.69</v>
      </c>
      <c r="D22" s="352">
        <f t="shared" ref="D22:D29" si="4">IF(B22=0, "    ---- ", IF(ABS(ROUND(100/B22*C22-100,1))&lt;999,ROUND(100/B22*C22-100,1),IF(ROUND(100/B22*C22-100,1)&gt;999,999,-999)))</f>
        <v>24.5</v>
      </c>
      <c r="E22" s="11">
        <f>IFERROR(100/'Skjema total MA'!C22*C22,0)</f>
        <v>1.0468176756191623</v>
      </c>
      <c r="F22" s="321"/>
      <c r="G22" s="321"/>
      <c r="H22" s="352"/>
      <c r="I22" s="11"/>
      <c r="J22" s="319">
        <f t="shared" ref="J22:K29" si="5">SUM(B22,F22)</f>
        <v>6913.57</v>
      </c>
      <c r="K22" s="319">
        <f t="shared" si="5"/>
        <v>8608.69</v>
      </c>
      <c r="L22" s="424">
        <f t="shared" ref="L22:L29" si="6">IF(J22=0, "    ---- ", IF(ABS(ROUND(100/J22*K22-100,1))&lt;999,ROUND(100/J22*K22-100,1),IF(ROUND(100/J22*K22-100,1)&gt;999,999,-999)))</f>
        <v>24.5</v>
      </c>
      <c r="M22" s="24">
        <f>IFERROR(100/'Skjema total MA'!I22*K22,0)</f>
        <v>0.81595213478426154</v>
      </c>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v>6913.57</v>
      </c>
      <c r="C28" s="292">
        <v>8608.69</v>
      </c>
      <c r="D28" s="166">
        <f t="shared" si="4"/>
        <v>24.5</v>
      </c>
      <c r="E28" s="11">
        <f>IFERROR(100/'Skjema total MA'!C28*C28,0)</f>
        <v>0.90664861371784267</v>
      </c>
      <c r="F28" s="234"/>
      <c r="G28" s="292"/>
      <c r="H28" s="166"/>
      <c r="I28" s="27"/>
      <c r="J28" s="44">
        <f t="shared" si="5"/>
        <v>6913.57</v>
      </c>
      <c r="K28" s="44">
        <f t="shared" si="5"/>
        <v>8608.69</v>
      </c>
      <c r="L28" s="259">
        <f t="shared" si="6"/>
        <v>24.5</v>
      </c>
      <c r="M28" s="23">
        <f>IFERROR(100/'Skjema total MA'!I28*K28,0)</f>
        <v>0.90664861371784267</v>
      </c>
    </row>
    <row r="29" spans="1:14" s="3" customFormat="1" ht="15.75" x14ac:dyDescent="0.2">
      <c r="A29" s="13" t="s">
        <v>348</v>
      </c>
      <c r="B29" s="236">
        <v>64921.648000000001</v>
      </c>
      <c r="C29" s="236">
        <v>92194</v>
      </c>
      <c r="D29" s="171">
        <f t="shared" si="4"/>
        <v>42</v>
      </c>
      <c r="E29" s="11">
        <f>IFERROR(100/'Skjema total MA'!C29*C29,0)</f>
        <v>0.20892022218522752</v>
      </c>
      <c r="F29" s="311"/>
      <c r="G29" s="311"/>
      <c r="H29" s="171"/>
      <c r="I29" s="11"/>
      <c r="J29" s="236">
        <f t="shared" si="5"/>
        <v>64921.648000000001</v>
      </c>
      <c r="K29" s="236">
        <f t="shared" si="5"/>
        <v>92194</v>
      </c>
      <c r="L29" s="425">
        <f t="shared" si="6"/>
        <v>42</v>
      </c>
      <c r="M29" s="24">
        <f>IFERROR(100/'Skjema total MA'!I29*K29,0)</f>
        <v>0.13372381938276159</v>
      </c>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167494.875</v>
      </c>
      <c r="C47" s="314">
        <v>175114.37299999999</v>
      </c>
      <c r="D47" s="424">
        <f t="shared" ref="D47:D48" si="7">IF(B47=0, "    ---- ", IF(ABS(ROUND(100/B47*C47-100,1))&lt;999,ROUND(100/B47*C47-100,1),IF(ROUND(100/B47*C47-100,1)&gt;999,999,-999)))</f>
        <v>4.5</v>
      </c>
      <c r="E47" s="11">
        <f>IFERROR(100/'Skjema total MA'!C47*C47,0)</f>
        <v>4.6862182834749087</v>
      </c>
      <c r="F47" s="145"/>
      <c r="G47" s="33"/>
      <c r="H47" s="159"/>
      <c r="I47" s="159"/>
      <c r="J47" s="37"/>
      <c r="K47" s="37"/>
      <c r="L47" s="159"/>
      <c r="M47" s="159"/>
      <c r="N47" s="148"/>
    </row>
    <row r="48" spans="1:14" s="3" customFormat="1" ht="15.75" x14ac:dyDescent="0.2">
      <c r="A48" s="38" t="s">
        <v>359</v>
      </c>
      <c r="B48" s="286">
        <v>167494.875</v>
      </c>
      <c r="C48" s="287">
        <v>175114.37299999999</v>
      </c>
      <c r="D48" s="259">
        <f t="shared" si="7"/>
        <v>4.5</v>
      </c>
      <c r="E48" s="27">
        <f>IFERROR(100/'Skjema total MA'!C48*C48,0)</f>
        <v>8.6725767591445244</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58" priority="132">
      <formula>kvartal &lt; 4</formula>
    </cfRule>
  </conditionalFormatting>
  <conditionalFormatting sqref="B115">
    <cfRule type="expression" dxfId="457" priority="76">
      <formula>kvartal &lt; 4</formula>
    </cfRule>
  </conditionalFormatting>
  <conditionalFormatting sqref="C115">
    <cfRule type="expression" dxfId="456" priority="75">
      <formula>kvartal &lt; 4</formula>
    </cfRule>
  </conditionalFormatting>
  <conditionalFormatting sqref="B123">
    <cfRule type="expression" dxfId="455" priority="74">
      <formula>kvartal &lt; 4</formula>
    </cfRule>
  </conditionalFormatting>
  <conditionalFormatting sqref="C123">
    <cfRule type="expression" dxfId="454" priority="73">
      <formula>kvartal &lt; 4</formula>
    </cfRule>
  </conditionalFormatting>
  <conditionalFormatting sqref="F115">
    <cfRule type="expression" dxfId="453" priority="58">
      <formula>kvartal &lt; 4</formula>
    </cfRule>
  </conditionalFormatting>
  <conditionalFormatting sqref="G115">
    <cfRule type="expression" dxfId="452" priority="57">
      <formula>kvartal &lt; 4</formula>
    </cfRule>
  </conditionalFormatting>
  <conditionalFormatting sqref="F123:G123">
    <cfRule type="expression" dxfId="451" priority="56">
      <formula>kvartal &lt; 4</formula>
    </cfRule>
  </conditionalFormatting>
  <conditionalFormatting sqref="J115:K115">
    <cfRule type="expression" dxfId="450" priority="32">
      <formula>kvartal &lt; 4</formula>
    </cfRule>
  </conditionalFormatting>
  <conditionalFormatting sqref="J123:K123">
    <cfRule type="expression" dxfId="449" priority="31">
      <formula>kvartal &lt; 4</formula>
    </cfRule>
  </conditionalFormatting>
  <conditionalFormatting sqref="A50:A52">
    <cfRule type="expression" dxfId="448" priority="12">
      <formula>kvartal &lt; 4</formula>
    </cfRule>
  </conditionalFormatting>
  <conditionalFormatting sqref="A69:A74">
    <cfRule type="expression" dxfId="447" priority="10">
      <formula>kvartal &lt; 4</formula>
    </cfRule>
  </conditionalFormatting>
  <conditionalFormatting sqref="A80:A85">
    <cfRule type="expression" dxfId="446" priority="9">
      <formula>kvartal &lt; 4</formula>
    </cfRule>
  </conditionalFormatting>
  <conditionalFormatting sqref="A90:A95">
    <cfRule type="expression" dxfId="445" priority="6">
      <formula>kvartal &lt; 4</formula>
    </cfRule>
  </conditionalFormatting>
  <conditionalFormatting sqref="A101:A106">
    <cfRule type="expression" dxfId="444" priority="5">
      <formula>kvartal &lt; 4</formula>
    </cfRule>
  </conditionalFormatting>
  <conditionalFormatting sqref="A115">
    <cfRule type="expression" dxfId="443" priority="4">
      <formula>kvartal &lt; 4</formula>
    </cfRule>
  </conditionalFormatting>
  <conditionalFormatting sqref="A123">
    <cfRule type="expression" dxfId="442"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392</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18594</v>
      </c>
      <c r="C47" s="314">
        <v>20027</v>
      </c>
      <c r="D47" s="424">
        <f t="shared" ref="D47:D57" si="0">IF(B47=0, "    ---- ", IF(ABS(ROUND(100/B47*C47-100,1))&lt;999,ROUND(100/B47*C47-100,1),IF(ROUND(100/B47*C47-100,1)&gt;999,999,-999)))</f>
        <v>7.7</v>
      </c>
      <c r="E47" s="11">
        <f>IFERROR(100/'Skjema total MA'!C47*C47,0)</f>
        <v>0.53594055105432148</v>
      </c>
      <c r="F47" s="145"/>
      <c r="G47" s="33"/>
      <c r="H47" s="159"/>
      <c r="I47" s="159"/>
      <c r="J47" s="37"/>
      <c r="K47" s="37"/>
      <c r="L47" s="159"/>
      <c r="M47" s="159"/>
      <c r="N47" s="148"/>
    </row>
    <row r="48" spans="1:14" s="3" customFormat="1" ht="15.75" x14ac:dyDescent="0.2">
      <c r="A48" s="38" t="s">
        <v>359</v>
      </c>
      <c r="B48" s="286">
        <v>18594</v>
      </c>
      <c r="C48" s="287">
        <v>20027</v>
      </c>
      <c r="D48" s="259">
        <f t="shared" si="0"/>
        <v>7.7</v>
      </c>
      <c r="E48" s="27">
        <f>IFERROR(100/'Skjema total MA'!C48*C48,0)</f>
        <v>0.99184145641424526</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449</v>
      </c>
      <c r="C53" s="314">
        <v>0</v>
      </c>
      <c r="D53" s="425">
        <f t="shared" si="0"/>
        <v>-100</v>
      </c>
      <c r="E53" s="11">
        <f>IFERROR(100/'Skjema total MA'!C53*C53,0)</f>
        <v>0</v>
      </c>
      <c r="F53" s="145"/>
      <c r="G53" s="33"/>
      <c r="H53" s="145"/>
      <c r="I53" s="145"/>
      <c r="J53" s="33"/>
      <c r="K53" s="33"/>
      <c r="L53" s="159"/>
      <c r="M53" s="159"/>
      <c r="N53" s="148"/>
    </row>
    <row r="54" spans="1:14" s="3" customFormat="1" ht="15.75" x14ac:dyDescent="0.2">
      <c r="A54" s="38" t="s">
        <v>359</v>
      </c>
      <c r="B54" s="286">
        <v>449</v>
      </c>
      <c r="C54" s="287">
        <v>0</v>
      </c>
      <c r="D54" s="259">
        <f t="shared" si="0"/>
        <v>-100</v>
      </c>
      <c r="E54" s="27">
        <f>IFERROR(100/'Skjema total MA'!C54*C54,0)</f>
        <v>0</v>
      </c>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v>15987</v>
      </c>
      <c r="C56" s="314">
        <v>614</v>
      </c>
      <c r="D56" s="425">
        <f t="shared" si="0"/>
        <v>-96.2</v>
      </c>
      <c r="E56" s="11">
        <f>IFERROR(100/'Skjema total MA'!C56*C56,0)</f>
        <v>1.0311181377912388</v>
      </c>
      <c r="F56" s="145"/>
      <c r="G56" s="33"/>
      <c r="H56" s="145"/>
      <c r="I56" s="145"/>
      <c r="J56" s="33"/>
      <c r="K56" s="33"/>
      <c r="L56" s="159"/>
      <c r="M56" s="159"/>
      <c r="N56" s="148"/>
    </row>
    <row r="57" spans="1:14" s="3" customFormat="1" ht="15.75" x14ac:dyDescent="0.2">
      <c r="A57" s="38" t="s">
        <v>359</v>
      </c>
      <c r="B57" s="286">
        <v>15987</v>
      </c>
      <c r="C57" s="287">
        <v>614</v>
      </c>
      <c r="D57" s="259">
        <f t="shared" si="0"/>
        <v>-96.2</v>
      </c>
      <c r="E57" s="27">
        <f>IFERROR(100/'Skjema total MA'!C57*C57,0)</f>
        <v>1.0311181377912388</v>
      </c>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41" priority="132">
      <formula>kvartal &lt; 4</formula>
    </cfRule>
  </conditionalFormatting>
  <conditionalFormatting sqref="B115">
    <cfRule type="expression" dxfId="440" priority="76">
      <formula>kvartal &lt; 4</formula>
    </cfRule>
  </conditionalFormatting>
  <conditionalFormatting sqref="C115">
    <cfRule type="expression" dxfId="439" priority="75">
      <formula>kvartal &lt; 4</formula>
    </cfRule>
  </conditionalFormatting>
  <conditionalFormatting sqref="B123">
    <cfRule type="expression" dxfId="438" priority="74">
      <formula>kvartal &lt; 4</formula>
    </cfRule>
  </conditionalFormatting>
  <conditionalFormatting sqref="C123">
    <cfRule type="expression" dxfId="437" priority="73">
      <formula>kvartal &lt; 4</formula>
    </cfRule>
  </conditionalFormatting>
  <conditionalFormatting sqref="F115">
    <cfRule type="expression" dxfId="436" priority="58">
      <formula>kvartal &lt; 4</formula>
    </cfRule>
  </conditionalFormatting>
  <conditionalFormatting sqref="G115">
    <cfRule type="expression" dxfId="435" priority="57">
      <formula>kvartal &lt; 4</formula>
    </cfRule>
  </conditionalFormatting>
  <conditionalFormatting sqref="F123:G123">
    <cfRule type="expression" dxfId="434" priority="56">
      <formula>kvartal &lt; 4</formula>
    </cfRule>
  </conditionalFormatting>
  <conditionalFormatting sqref="J115:K115">
    <cfRule type="expression" dxfId="433" priority="32">
      <formula>kvartal &lt; 4</formula>
    </cfRule>
  </conditionalFormatting>
  <conditionalFormatting sqref="J123:K123">
    <cfRule type="expression" dxfId="432" priority="31">
      <formula>kvartal &lt; 4</formula>
    </cfRule>
  </conditionalFormatting>
  <conditionalFormatting sqref="A50:A52">
    <cfRule type="expression" dxfId="431" priority="12">
      <formula>kvartal &lt; 4</formula>
    </cfRule>
  </conditionalFormatting>
  <conditionalFormatting sqref="A69:A74">
    <cfRule type="expression" dxfId="430" priority="10">
      <formula>kvartal &lt; 4</formula>
    </cfRule>
  </conditionalFormatting>
  <conditionalFormatting sqref="A80:A85">
    <cfRule type="expression" dxfId="429" priority="9">
      <formula>kvartal &lt; 4</formula>
    </cfRule>
  </conditionalFormatting>
  <conditionalFormatting sqref="A90:A95">
    <cfRule type="expression" dxfId="428" priority="6">
      <formula>kvartal &lt; 4</formula>
    </cfRule>
  </conditionalFormatting>
  <conditionalFormatting sqref="A101:A106">
    <cfRule type="expression" dxfId="427" priority="5">
      <formula>kvartal &lt; 4</formula>
    </cfRule>
  </conditionalFormatting>
  <conditionalFormatting sqref="A115">
    <cfRule type="expression" dxfId="426" priority="4">
      <formula>kvartal &lt; 4</formula>
    </cfRule>
  </conditionalFormatting>
  <conditionalFormatting sqref="A123">
    <cfRule type="expression" dxfId="425" priority="3">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N144"/>
  <sheetViews>
    <sheetView showGridLines="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402</v>
      </c>
      <c r="D1" s="26"/>
      <c r="E1" s="26"/>
      <c r="F1" s="26"/>
      <c r="G1" s="26"/>
      <c r="H1" s="26"/>
      <c r="I1" s="26"/>
      <c r="J1" s="26"/>
      <c r="K1" s="26"/>
      <c r="L1" s="26"/>
      <c r="M1" s="26"/>
    </row>
    <row r="2" spans="1:14" ht="15.75" x14ac:dyDescent="0.25">
      <c r="A2" s="165" t="s">
        <v>28</v>
      </c>
      <c r="B2" s="718"/>
      <c r="C2" s="718"/>
      <c r="D2" s="718"/>
      <c r="E2" s="570"/>
      <c r="F2" s="718"/>
      <c r="G2" s="718"/>
      <c r="H2" s="718"/>
      <c r="I2" s="570"/>
      <c r="J2" s="718"/>
      <c r="K2" s="718"/>
      <c r="L2" s="718"/>
      <c r="M2" s="570"/>
    </row>
    <row r="3" spans="1:14" ht="15.75" x14ac:dyDescent="0.25">
      <c r="A3" s="163"/>
      <c r="B3" s="570"/>
      <c r="C3" s="570"/>
      <c r="D3" s="570"/>
      <c r="E3" s="570"/>
      <c r="F3" s="570"/>
      <c r="G3" s="570"/>
      <c r="H3" s="570"/>
      <c r="I3" s="570"/>
      <c r="J3" s="570"/>
      <c r="K3" s="570"/>
      <c r="L3" s="570"/>
      <c r="M3" s="570"/>
    </row>
    <row r="4" spans="1:14" x14ac:dyDescent="0.2">
      <c r="A4" s="144"/>
      <c r="B4" s="719" t="s">
        <v>0</v>
      </c>
      <c r="C4" s="720"/>
      <c r="D4" s="720"/>
      <c r="E4" s="568"/>
      <c r="F4" s="719" t="s">
        <v>1</v>
      </c>
      <c r="G4" s="720"/>
      <c r="H4" s="720"/>
      <c r="I4" s="569"/>
      <c r="J4" s="719" t="s">
        <v>2</v>
      </c>
      <c r="K4" s="720"/>
      <c r="L4" s="720"/>
      <c r="M4" s="569"/>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A15" s="148"/>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570"/>
      <c r="F18" s="721"/>
      <c r="G18" s="721"/>
      <c r="H18" s="721"/>
      <c r="I18" s="570"/>
      <c r="J18" s="721"/>
      <c r="K18" s="721"/>
      <c r="L18" s="721"/>
      <c r="M18" s="570"/>
    </row>
    <row r="19" spans="1:14" x14ac:dyDescent="0.2">
      <c r="A19" s="144"/>
      <c r="B19" s="719" t="s">
        <v>0</v>
      </c>
      <c r="C19" s="720"/>
      <c r="D19" s="720"/>
      <c r="E19" s="568"/>
      <c r="F19" s="719" t="s">
        <v>1</v>
      </c>
      <c r="G19" s="720"/>
      <c r="H19" s="720"/>
      <c r="I19" s="569"/>
      <c r="J19" s="719" t="s">
        <v>2</v>
      </c>
      <c r="K19" s="720"/>
      <c r="L19" s="720"/>
      <c r="M19" s="569"/>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571"/>
    </row>
    <row r="41" spans="1:14" x14ac:dyDescent="0.2">
      <c r="A41" s="155"/>
    </row>
    <row r="42" spans="1:14" ht="15.75" x14ac:dyDescent="0.25">
      <c r="A42" s="147" t="s">
        <v>266</v>
      </c>
      <c r="B42" s="718"/>
      <c r="C42" s="718"/>
      <c r="D42" s="718"/>
      <c r="E42" s="570"/>
      <c r="F42" s="723"/>
      <c r="G42" s="723"/>
      <c r="H42" s="723"/>
      <c r="I42" s="571"/>
      <c r="J42" s="723"/>
      <c r="K42" s="723"/>
      <c r="L42" s="723"/>
      <c r="M42" s="571"/>
    </row>
    <row r="43" spans="1:14" ht="15.75" x14ac:dyDescent="0.25">
      <c r="A43" s="163"/>
      <c r="B43" s="566"/>
      <c r="C43" s="566"/>
      <c r="D43" s="566"/>
      <c r="E43" s="566"/>
      <c r="F43" s="571"/>
      <c r="G43" s="571"/>
      <c r="H43" s="571"/>
      <c r="I43" s="571"/>
      <c r="J43" s="571"/>
      <c r="K43" s="571"/>
      <c r="L43" s="571"/>
      <c r="M43" s="571"/>
    </row>
    <row r="44" spans="1:14" ht="15.75" x14ac:dyDescent="0.25">
      <c r="A44" s="249"/>
      <c r="B44" s="719" t="s">
        <v>0</v>
      </c>
      <c r="C44" s="720"/>
      <c r="D44" s="720"/>
      <c r="E44" s="244"/>
      <c r="F44" s="571"/>
      <c r="G44" s="571"/>
      <c r="H44" s="571"/>
      <c r="I44" s="571"/>
      <c r="J44" s="571"/>
      <c r="K44" s="571"/>
      <c r="L44" s="571"/>
      <c r="M44" s="571"/>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v>12079</v>
      </c>
      <c r="D47" s="424" t="str">
        <f t="shared" ref="D47:D48" si="0">IF(B47=0, "    ---- ", IF(ABS(ROUND(100/B47*C47-100,1))&lt;999,ROUND(100/B47*C47-100,1),IF(ROUND(100/B47*C47-100,1)&gt;999,999,-999)))</f>
        <v xml:space="preserve">    ---- </v>
      </c>
      <c r="E47" s="11">
        <f>IFERROR(100/'Skjema total MA'!C47*C47,0)</f>
        <v>0.32324491517377291</v>
      </c>
      <c r="F47" s="145"/>
      <c r="G47" s="33"/>
      <c r="H47" s="159"/>
      <c r="I47" s="159"/>
      <c r="J47" s="37"/>
      <c r="K47" s="37"/>
      <c r="L47" s="159"/>
      <c r="M47" s="159"/>
      <c r="N47" s="148"/>
    </row>
    <row r="48" spans="1:14" s="3" customFormat="1" ht="15.75" x14ac:dyDescent="0.2">
      <c r="A48" s="38" t="s">
        <v>359</v>
      </c>
      <c r="B48" s="286"/>
      <c r="C48" s="287">
        <v>12079</v>
      </c>
      <c r="D48" s="259" t="str">
        <f t="shared" si="0"/>
        <v xml:space="preserve">    ---- </v>
      </c>
      <c r="E48" s="27">
        <f>IFERROR(100/'Skjema total MA'!C48*C48,0)</f>
        <v>0.59821505727406343</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570"/>
      <c r="F62" s="721"/>
      <c r="G62" s="721"/>
      <c r="H62" s="721"/>
      <c r="I62" s="570"/>
      <c r="J62" s="721"/>
      <c r="K62" s="721"/>
      <c r="L62" s="721"/>
      <c r="M62" s="570"/>
    </row>
    <row r="63" spans="1:14" x14ac:dyDescent="0.2">
      <c r="A63" s="144"/>
      <c r="B63" s="719" t="s">
        <v>0</v>
      </c>
      <c r="C63" s="720"/>
      <c r="D63" s="724"/>
      <c r="E63" s="567"/>
      <c r="F63" s="720" t="s">
        <v>1</v>
      </c>
      <c r="G63" s="720"/>
      <c r="H63" s="720"/>
      <c r="I63" s="569"/>
      <c r="J63" s="719" t="s">
        <v>2</v>
      </c>
      <c r="K63" s="720"/>
      <c r="L63" s="720"/>
      <c r="M63" s="569"/>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570"/>
      <c r="F130" s="721"/>
      <c r="G130" s="721"/>
      <c r="H130" s="721"/>
      <c r="I130" s="570"/>
      <c r="J130" s="721"/>
      <c r="K130" s="721"/>
      <c r="L130" s="721"/>
      <c r="M130" s="570"/>
    </row>
    <row r="131" spans="1:14" s="3" customFormat="1" x14ac:dyDescent="0.2">
      <c r="A131" s="144"/>
      <c r="B131" s="719" t="s">
        <v>0</v>
      </c>
      <c r="C131" s="720"/>
      <c r="D131" s="720"/>
      <c r="E131" s="568"/>
      <c r="F131" s="719" t="s">
        <v>1</v>
      </c>
      <c r="G131" s="720"/>
      <c r="H131" s="720"/>
      <c r="I131" s="569"/>
      <c r="J131" s="719" t="s">
        <v>2</v>
      </c>
      <c r="K131" s="720"/>
      <c r="L131" s="720"/>
      <c r="M131" s="569"/>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424" priority="59">
      <formula>kvartal &lt; 4</formula>
    </cfRule>
  </conditionalFormatting>
  <conditionalFormatting sqref="B115">
    <cfRule type="expression" dxfId="423" priority="42">
      <formula>kvartal &lt; 4</formula>
    </cfRule>
  </conditionalFormatting>
  <conditionalFormatting sqref="C115">
    <cfRule type="expression" dxfId="422" priority="41">
      <formula>kvartal &lt; 4</formula>
    </cfRule>
  </conditionalFormatting>
  <conditionalFormatting sqref="B123">
    <cfRule type="expression" dxfId="421" priority="40">
      <formula>kvartal &lt; 4</formula>
    </cfRule>
  </conditionalFormatting>
  <conditionalFormatting sqref="C123">
    <cfRule type="expression" dxfId="420" priority="39">
      <formula>kvartal &lt; 4</formula>
    </cfRule>
  </conditionalFormatting>
  <conditionalFormatting sqref="F115">
    <cfRule type="expression" dxfId="419" priority="28">
      <formula>kvartal &lt; 4</formula>
    </cfRule>
  </conditionalFormatting>
  <conditionalFormatting sqref="G115">
    <cfRule type="expression" dxfId="418" priority="27">
      <formula>kvartal &lt; 4</formula>
    </cfRule>
  </conditionalFormatting>
  <conditionalFormatting sqref="F123:G123">
    <cfRule type="expression" dxfId="417" priority="26">
      <formula>kvartal &lt; 4</formula>
    </cfRule>
  </conditionalFormatting>
  <conditionalFormatting sqref="J115:K115">
    <cfRule type="expression" dxfId="416" priority="9">
      <formula>kvartal &lt; 4</formula>
    </cfRule>
  </conditionalFormatting>
  <conditionalFormatting sqref="J123:K123">
    <cfRule type="expression" dxfId="415" priority="8">
      <formula>kvartal &lt; 4</formula>
    </cfRule>
  </conditionalFormatting>
  <conditionalFormatting sqref="A50:A52">
    <cfRule type="expression" dxfId="414" priority="7">
      <formula>kvartal &lt; 4</formula>
    </cfRule>
  </conditionalFormatting>
  <conditionalFormatting sqref="A69:A74">
    <cfRule type="expression" dxfId="413" priority="6">
      <formula>kvartal &lt; 4</formula>
    </cfRule>
  </conditionalFormatting>
  <conditionalFormatting sqref="A80:A85">
    <cfRule type="expression" dxfId="412" priority="5">
      <formula>kvartal &lt; 4</formula>
    </cfRule>
  </conditionalFormatting>
  <conditionalFormatting sqref="A90:A95">
    <cfRule type="expression" dxfId="411" priority="4">
      <formula>kvartal &lt; 4</formula>
    </cfRule>
  </conditionalFormatting>
  <conditionalFormatting sqref="A101:A106">
    <cfRule type="expression" dxfId="410" priority="3">
      <formula>kvartal &lt; 4</formula>
    </cfRule>
  </conditionalFormatting>
  <conditionalFormatting sqref="A115">
    <cfRule type="expression" dxfId="409" priority="2">
      <formula>kvartal &lt; 4</formula>
    </cfRule>
  </conditionalFormatting>
  <conditionalFormatting sqref="A123">
    <cfRule type="expression" dxfId="408" priority="1">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128</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131211.541327588</v>
      </c>
      <c r="C7" s="310">
        <v>134070.96738566499</v>
      </c>
      <c r="D7" s="352">
        <f>IF(B7=0, "    ---- ", IF(ABS(ROUND(100/B7*C7-100,1))&lt;999,ROUND(100/B7*C7-100,1),IF(ROUND(100/B7*C7-100,1)&gt;999,999,-999)))</f>
        <v>2.2000000000000002</v>
      </c>
      <c r="E7" s="11">
        <f>IFERROR(100/'Skjema total MA'!C7*C7,0)</f>
        <v>7.0966939483824492</v>
      </c>
      <c r="F7" s="309">
        <v>2647804.4657700001</v>
      </c>
      <c r="G7" s="310">
        <v>2078714.0746200001</v>
      </c>
      <c r="H7" s="352">
        <f>IF(F7=0, "    ---- ", IF(ABS(ROUND(100/F7*G7-100,1))&lt;999,ROUND(100/F7*G7-100,1),IF(ROUND(100/F7*G7-100,1)&gt;999,999,-999)))</f>
        <v>-21.5</v>
      </c>
      <c r="I7" s="160">
        <f>IFERROR(100/'Skjema total MA'!F7*G7,0)</f>
        <v>76.907982597771877</v>
      </c>
      <c r="J7" s="311">
        <f t="shared" ref="J7:K12" si="0">SUM(B7,F7)</f>
        <v>2779016.0070975879</v>
      </c>
      <c r="K7" s="312">
        <f t="shared" si="0"/>
        <v>2212785.0420056651</v>
      </c>
      <c r="L7" s="424">
        <f>IF(J7=0, "    ---- ", IF(ABS(ROUND(100/J7*K7-100,1))&lt;999,ROUND(100/J7*K7-100,1),IF(ROUND(100/J7*K7-100,1)&gt;999,999,-999)))</f>
        <v>-20.399999999999999</v>
      </c>
      <c r="M7" s="11">
        <f>IFERROR(100/'Skjema total MA'!I7*K7,0)</f>
        <v>48.187178599449325</v>
      </c>
    </row>
    <row r="8" spans="1:14" ht="15.75" x14ac:dyDescent="0.2">
      <c r="A8" s="21" t="s">
        <v>25</v>
      </c>
      <c r="B8" s="286">
        <v>112015.812275708</v>
      </c>
      <c r="C8" s="287">
        <v>115797.892779867</v>
      </c>
      <c r="D8" s="166">
        <f t="shared" ref="D8:D10" si="1">IF(B8=0, "    ---- ", IF(ABS(ROUND(100/B8*C8-100,1))&lt;999,ROUND(100/B8*C8-100,1),IF(ROUND(100/B8*C8-100,1)&gt;999,999,-999)))</f>
        <v>3.4</v>
      </c>
      <c r="E8" s="27">
        <f>IFERROR(100/'Skjema total MA'!C8*C8,0)</f>
        <v>9.4933068242517678</v>
      </c>
      <c r="F8" s="290"/>
      <c r="G8" s="291"/>
      <c r="H8" s="166"/>
      <c r="I8" s="176"/>
      <c r="J8" s="234">
        <f t="shared" si="0"/>
        <v>112015.812275708</v>
      </c>
      <c r="K8" s="292">
        <f t="shared" si="0"/>
        <v>115797.892779867</v>
      </c>
      <c r="L8" s="166">
        <f t="shared" ref="L8:L9" si="2">IF(J8=0, "    ---- ", IF(ABS(ROUND(100/J8*K8-100,1))&lt;999,ROUND(100/J8*K8-100,1),IF(ROUND(100/J8*K8-100,1)&gt;999,999,-999)))</f>
        <v>3.4</v>
      </c>
      <c r="M8" s="27">
        <f>IFERROR(100/'Skjema total MA'!I8*K8,0)</f>
        <v>9.4933068242517678</v>
      </c>
    </row>
    <row r="9" spans="1:14" ht="15.75" x14ac:dyDescent="0.2">
      <c r="A9" s="21" t="s">
        <v>24</v>
      </c>
      <c r="B9" s="286">
        <v>17594.088552287601</v>
      </c>
      <c r="C9" s="287">
        <v>16890.783554036501</v>
      </c>
      <c r="D9" s="166">
        <f t="shared" si="1"/>
        <v>-4</v>
      </c>
      <c r="E9" s="27">
        <f>IFERROR(100/'Skjema total MA'!C9*C9,0)</f>
        <v>3.869034989548521</v>
      </c>
      <c r="F9" s="290"/>
      <c r="G9" s="291"/>
      <c r="H9" s="166"/>
      <c r="I9" s="176"/>
      <c r="J9" s="234">
        <f t="shared" si="0"/>
        <v>17594.088552287601</v>
      </c>
      <c r="K9" s="292">
        <f t="shared" si="0"/>
        <v>16890.783554036501</v>
      </c>
      <c r="L9" s="166">
        <f t="shared" si="2"/>
        <v>-4</v>
      </c>
      <c r="M9" s="27">
        <f>IFERROR(100/'Skjema total MA'!I9*K9,0)</f>
        <v>3.869034989548521</v>
      </c>
    </row>
    <row r="10" spans="1:14" ht="15.75" x14ac:dyDescent="0.2">
      <c r="A10" s="13" t="s">
        <v>348</v>
      </c>
      <c r="B10" s="313">
        <v>718563.58995470195</v>
      </c>
      <c r="C10" s="314">
        <v>647781.08329253295</v>
      </c>
      <c r="D10" s="171">
        <f t="shared" si="1"/>
        <v>-9.9</v>
      </c>
      <c r="E10" s="11">
        <f>IFERROR(100/'Skjema total MA'!C10*C10,0)</f>
        <v>4.3936057120748053</v>
      </c>
      <c r="F10" s="313">
        <v>47314491.222695</v>
      </c>
      <c r="G10" s="314">
        <v>47423770.349009998</v>
      </c>
      <c r="H10" s="171">
        <f t="shared" ref="H10:H12" si="3">IF(F10=0, "    ---- ", IF(ABS(ROUND(100/F10*G10-100,1))&lt;999,ROUND(100/F10*G10-100,1),IF(ROUND(100/F10*G10-100,1)&gt;999,999,-999)))</f>
        <v>0.2</v>
      </c>
      <c r="I10" s="160">
        <f>IFERROR(100/'Skjema total MA'!F10*G10,0)</f>
        <v>62.791109674307258</v>
      </c>
      <c r="J10" s="311">
        <f t="shared" si="0"/>
        <v>48033054.812649705</v>
      </c>
      <c r="K10" s="312">
        <f t="shared" si="0"/>
        <v>48071551.432302535</v>
      </c>
      <c r="L10" s="425">
        <f t="shared" ref="L10:L12" si="4">IF(J10=0, "    ---- ", IF(ABS(ROUND(100/J10*K10-100,1))&lt;999,ROUND(100/J10*K10-100,1),IF(ROUND(100/J10*K10-100,1)&gt;999,999,-999)))</f>
        <v>0.1</v>
      </c>
      <c r="M10" s="11">
        <f>IFERROR(100/'Skjema total MA'!I10*K10,0)</f>
        <v>53.253091372076007</v>
      </c>
    </row>
    <row r="11" spans="1:14" s="43" customFormat="1" ht="15.75" x14ac:dyDescent="0.2">
      <c r="A11" s="13" t="s">
        <v>349</v>
      </c>
      <c r="B11" s="313"/>
      <c r="C11" s="314"/>
      <c r="D11" s="171"/>
      <c r="E11" s="11"/>
      <c r="F11" s="313">
        <v>257874.45884000001</v>
      </c>
      <c r="G11" s="314">
        <v>30295.409950000001</v>
      </c>
      <c r="H11" s="171">
        <f t="shared" si="3"/>
        <v>-88.3</v>
      </c>
      <c r="I11" s="160">
        <f>IFERROR(100/'Skjema total MA'!F11*G11,0)</f>
        <v>56.798084259444934</v>
      </c>
      <c r="J11" s="311">
        <f t="shared" si="0"/>
        <v>257874.45884000001</v>
      </c>
      <c r="K11" s="312">
        <f t="shared" si="0"/>
        <v>30295.409950000001</v>
      </c>
      <c r="L11" s="425">
        <f t="shared" si="4"/>
        <v>-88.3</v>
      </c>
      <c r="M11" s="11">
        <f>IFERROR(100/'Skjema total MA'!I11*K11,0)</f>
        <v>38.844358606119847</v>
      </c>
      <c r="N11" s="143"/>
    </row>
    <row r="12" spans="1:14" s="43" customFormat="1" ht="15.75" x14ac:dyDescent="0.2">
      <c r="A12" s="41" t="s">
        <v>350</v>
      </c>
      <c r="B12" s="315"/>
      <c r="C12" s="316"/>
      <c r="D12" s="169"/>
      <c r="E12" s="36"/>
      <c r="F12" s="315">
        <v>26244.493890000002</v>
      </c>
      <c r="G12" s="316">
        <v>10843.09492</v>
      </c>
      <c r="H12" s="169">
        <f t="shared" si="3"/>
        <v>-58.7</v>
      </c>
      <c r="I12" s="169">
        <f>IFERROR(100/'Skjema total MA'!F12*G12,0)</f>
        <v>21.512283080740048</v>
      </c>
      <c r="J12" s="317">
        <f t="shared" si="0"/>
        <v>26244.493890000002</v>
      </c>
      <c r="K12" s="318">
        <f t="shared" si="0"/>
        <v>10843.09492</v>
      </c>
      <c r="L12" s="426">
        <f t="shared" si="4"/>
        <v>-58.7</v>
      </c>
      <c r="M12" s="36">
        <f>IFERROR(100/'Skjema total MA'!I12*K12,0)</f>
        <v>21.512283080740048</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49402.7109003269</v>
      </c>
      <c r="C22" s="313">
        <v>53842.532399333402</v>
      </c>
      <c r="D22" s="352">
        <f t="shared" ref="D22:D34" si="5">IF(B22=0, "    ---- ", IF(ABS(ROUND(100/B22*C22-100,1))&lt;999,ROUND(100/B22*C22-100,1),IF(ROUND(100/B22*C22-100,1)&gt;999,999,-999)))</f>
        <v>9</v>
      </c>
      <c r="E22" s="11">
        <f>IFERROR(100/'Skjema total MA'!C22*C22,0)</f>
        <v>6.5472580166923917</v>
      </c>
      <c r="F22" s="321">
        <v>66946.237760000004</v>
      </c>
      <c r="G22" s="321">
        <v>58351.801740000003</v>
      </c>
      <c r="H22" s="352">
        <f t="shared" ref="H22:H35" si="6">IF(F22=0, "    ---- ", IF(ABS(ROUND(100/F22*G22-100,1))&lt;999,ROUND(100/F22*G22-100,1),IF(ROUND(100/F22*G22-100,1)&gt;999,999,-999)))</f>
        <v>-12.8</v>
      </c>
      <c r="I22" s="11">
        <f>IFERROR(100/'Skjema total MA'!F22*G22,0)</f>
        <v>25.078053052556086</v>
      </c>
      <c r="J22" s="319">
        <f t="shared" ref="J22:K35" si="7">SUM(B22,F22)</f>
        <v>116348.9486603269</v>
      </c>
      <c r="K22" s="319">
        <f t="shared" si="7"/>
        <v>112194.3341393334</v>
      </c>
      <c r="L22" s="424">
        <f t="shared" ref="L22:L35" si="8">IF(J22=0, "    ---- ", IF(ABS(ROUND(100/J22*K22-100,1))&lt;999,ROUND(100/J22*K22-100,1),IF(ROUND(100/J22*K22-100,1)&gt;999,999,-999)))</f>
        <v>-3.6</v>
      </c>
      <c r="M22" s="24">
        <f>IFERROR(100/'Skjema total MA'!I22*K22,0)</f>
        <v>10.63404611522634</v>
      </c>
    </row>
    <row r="23" spans="1:14" ht="15.75" x14ac:dyDescent="0.2">
      <c r="A23" s="507" t="s">
        <v>351</v>
      </c>
      <c r="B23" s="286">
        <v>49302.598900326899</v>
      </c>
      <c r="C23" s="286">
        <v>53772.904399333398</v>
      </c>
      <c r="D23" s="166">
        <f t="shared" si="5"/>
        <v>9.1</v>
      </c>
      <c r="E23" s="11">
        <f>IFERROR(100/'Skjema total MA'!C23*C23,0)</f>
        <v>9.1472282481639979</v>
      </c>
      <c r="F23" s="294">
        <v>721.00800000000004</v>
      </c>
      <c r="G23" s="294">
        <v>651.38599999999997</v>
      </c>
      <c r="H23" s="166">
        <f t="shared" si="6"/>
        <v>-9.6999999999999993</v>
      </c>
      <c r="I23" s="414">
        <f>IFERROR(100/'Skjema total MA'!F23*G23,0)</f>
        <v>5.2375158344988542</v>
      </c>
      <c r="J23" s="294">
        <f t="shared" ref="J23:J26" si="9">SUM(B23,F23)</f>
        <v>50023.6069003269</v>
      </c>
      <c r="K23" s="294">
        <f t="shared" ref="K23:K26" si="10">SUM(C23,G23)</f>
        <v>54424.290399333397</v>
      </c>
      <c r="L23" s="166">
        <f t="shared" si="8"/>
        <v>8.8000000000000007</v>
      </c>
      <c r="M23" s="23">
        <f>IFERROR(100/'Skjema total MA'!I23*K23,0)</f>
        <v>9.0662270024381382</v>
      </c>
    </row>
    <row r="24" spans="1:14" ht="15.75" x14ac:dyDescent="0.2">
      <c r="A24" s="507" t="s">
        <v>352</v>
      </c>
      <c r="B24" s="286">
        <v>100.11199999999999</v>
      </c>
      <c r="C24" s="286">
        <v>69.628</v>
      </c>
      <c r="D24" s="166">
        <f t="shared" si="5"/>
        <v>-30.4</v>
      </c>
      <c r="E24" s="11">
        <f>IFERROR(100/'Skjema total MA'!C24*C24,0)</f>
        <v>3.0937623814638182</v>
      </c>
      <c r="F24" s="294"/>
      <c r="G24" s="294"/>
      <c r="H24" s="166"/>
      <c r="I24" s="414"/>
      <c r="J24" s="294">
        <f t="shared" si="9"/>
        <v>100.11199999999999</v>
      </c>
      <c r="K24" s="294">
        <f t="shared" si="10"/>
        <v>69.628</v>
      </c>
      <c r="L24" s="166">
        <f t="shared" si="8"/>
        <v>-30.4</v>
      </c>
      <c r="M24" s="23">
        <f>IFERROR(100/'Skjema total MA'!I24*K24,0)</f>
        <v>2.8228410454997608</v>
      </c>
    </row>
    <row r="25" spans="1:14" ht="15.75" x14ac:dyDescent="0.2">
      <c r="A25" s="507" t="s">
        <v>353</v>
      </c>
      <c r="B25" s="286"/>
      <c r="C25" s="286"/>
      <c r="D25" s="166"/>
      <c r="E25" s="11"/>
      <c r="F25" s="294">
        <v>324.04320999999999</v>
      </c>
      <c r="G25" s="294">
        <v>254.8</v>
      </c>
      <c r="H25" s="166">
        <f t="shared" si="6"/>
        <v>-21.4</v>
      </c>
      <c r="I25" s="414">
        <f>IFERROR(100/'Skjema total MA'!F25*G25,0)</f>
        <v>6.1073580886975884</v>
      </c>
      <c r="J25" s="294">
        <f t="shared" si="9"/>
        <v>324.04320999999999</v>
      </c>
      <c r="K25" s="294">
        <f t="shared" si="10"/>
        <v>254.8</v>
      </c>
      <c r="L25" s="166">
        <f t="shared" si="8"/>
        <v>-21.4</v>
      </c>
      <c r="M25" s="23">
        <f>IFERROR(100/'Skjema total MA'!I25*K25,0)</f>
        <v>3.2808391726315391</v>
      </c>
    </row>
    <row r="26" spans="1:14" ht="15.75" x14ac:dyDescent="0.2">
      <c r="A26" s="507" t="s">
        <v>354</v>
      </c>
      <c r="B26" s="286"/>
      <c r="C26" s="286"/>
      <c r="D26" s="166"/>
      <c r="E26" s="11"/>
      <c r="F26" s="294">
        <v>65901.186549999999</v>
      </c>
      <c r="G26" s="294">
        <v>57445.615740000001</v>
      </c>
      <c r="H26" s="166">
        <f t="shared" si="6"/>
        <v>-12.8</v>
      </c>
      <c r="I26" s="414">
        <f>IFERROR(100/'Skjema total MA'!F26*G26,0)</f>
        <v>26.61295835423013</v>
      </c>
      <c r="J26" s="294">
        <f t="shared" si="9"/>
        <v>65901.186549999999</v>
      </c>
      <c r="K26" s="294">
        <f t="shared" si="10"/>
        <v>57445.615740000001</v>
      </c>
      <c r="L26" s="166">
        <f t="shared" si="8"/>
        <v>-12.8</v>
      </c>
      <c r="M26" s="23">
        <f>IFERROR(100/'Skjema total MA'!I26*K26,0)</f>
        <v>26.61295835423013</v>
      </c>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v>51033.1516037724</v>
      </c>
      <c r="C28" s="292">
        <v>55726.670849554801</v>
      </c>
      <c r="D28" s="166">
        <f t="shared" si="5"/>
        <v>9.1999999999999993</v>
      </c>
      <c r="E28" s="11">
        <f>IFERROR(100/'Skjema total MA'!C28*C28,0)</f>
        <v>5.8690124598352797</v>
      </c>
      <c r="F28" s="234"/>
      <c r="G28" s="292"/>
      <c r="H28" s="166"/>
      <c r="I28" s="27"/>
      <c r="J28" s="44">
        <f t="shared" si="7"/>
        <v>51033.1516037724</v>
      </c>
      <c r="K28" s="44">
        <f t="shared" si="7"/>
        <v>55726.670849554801</v>
      </c>
      <c r="L28" s="259">
        <f t="shared" si="8"/>
        <v>9.1999999999999993</v>
      </c>
      <c r="M28" s="23">
        <f>IFERROR(100/'Skjema total MA'!I28*K28,0)</f>
        <v>5.8690124598352797</v>
      </c>
    </row>
    <row r="29" spans="1:14" s="3" customFormat="1" ht="15.75" x14ac:dyDescent="0.2">
      <c r="A29" s="13" t="s">
        <v>348</v>
      </c>
      <c r="B29" s="236">
        <v>4085765.5186189301</v>
      </c>
      <c r="C29" s="236">
        <v>3981121.7562038801</v>
      </c>
      <c r="D29" s="171">
        <f t="shared" si="5"/>
        <v>-2.6</v>
      </c>
      <c r="E29" s="11">
        <f>IFERROR(100/'Skjema total MA'!C29*C29,0)</f>
        <v>9.0215940500743841</v>
      </c>
      <c r="F29" s="311">
        <v>5400033.7599999998</v>
      </c>
      <c r="G29" s="311">
        <v>5540632.1600000001</v>
      </c>
      <c r="H29" s="171">
        <f t="shared" si="6"/>
        <v>2.6</v>
      </c>
      <c r="I29" s="11">
        <f>IFERROR(100/'Skjema total MA'!F29*G29,0)</f>
        <v>22.327949757647939</v>
      </c>
      <c r="J29" s="236">
        <f t="shared" si="7"/>
        <v>9485799.2786189299</v>
      </c>
      <c r="K29" s="236">
        <f t="shared" si="7"/>
        <v>9521753.9162038807</v>
      </c>
      <c r="L29" s="425">
        <f t="shared" si="8"/>
        <v>0.4</v>
      </c>
      <c r="M29" s="24">
        <f>IFERROR(100/'Skjema total MA'!I29*K29,0)</f>
        <v>13.810934560790839</v>
      </c>
      <c r="N29" s="148"/>
    </row>
    <row r="30" spans="1:14" s="3" customFormat="1" ht="15.75" x14ac:dyDescent="0.2">
      <c r="A30" s="507" t="s">
        <v>351</v>
      </c>
      <c r="B30" s="286">
        <v>599834.21551544499</v>
      </c>
      <c r="C30" s="286">
        <v>532624.84929568798</v>
      </c>
      <c r="D30" s="166">
        <f t="shared" si="5"/>
        <v>-11.2</v>
      </c>
      <c r="E30" s="11">
        <f>IFERROR(100/'Skjema total MA'!C30*C30,0)</f>
        <v>3.0536517794554436</v>
      </c>
      <c r="F30" s="294">
        <v>426371.22367764101</v>
      </c>
      <c r="G30" s="294">
        <v>382508.63537396898</v>
      </c>
      <c r="H30" s="166">
        <f t="shared" si="6"/>
        <v>-10.3</v>
      </c>
      <c r="I30" s="414">
        <f>IFERROR(100/'Skjema total MA'!F30*G30,0)</f>
        <v>10.926254714005438</v>
      </c>
      <c r="J30" s="294">
        <f t="shared" ref="J30:J33" si="11">SUM(B30,F30)</f>
        <v>1026205.439193086</v>
      </c>
      <c r="K30" s="294">
        <f t="shared" ref="K30:K33" si="12">SUM(C30,G30)</f>
        <v>915133.48466965696</v>
      </c>
      <c r="L30" s="166">
        <f t="shared" si="8"/>
        <v>-10.8</v>
      </c>
      <c r="M30" s="23">
        <f>IFERROR(100/'Skjema total MA'!I30*K30,0)</f>
        <v>4.3696290785924159</v>
      </c>
      <c r="N30" s="148"/>
    </row>
    <row r="31" spans="1:14" s="3" customFormat="1" ht="15.75" x14ac:dyDescent="0.2">
      <c r="A31" s="507" t="s">
        <v>352</v>
      </c>
      <c r="B31" s="286">
        <v>2812447.6037792899</v>
      </c>
      <c r="C31" s="286">
        <v>2700040.6071470599</v>
      </c>
      <c r="D31" s="166">
        <f t="shared" si="5"/>
        <v>-4</v>
      </c>
      <c r="E31" s="11">
        <f>IFERROR(100/'Skjema total MA'!C31*C31,0)</f>
        <v>11.28729708645654</v>
      </c>
      <c r="F31" s="294">
        <v>760409.92676534096</v>
      </c>
      <c r="G31" s="294">
        <v>685172.48378383997</v>
      </c>
      <c r="H31" s="166">
        <f t="shared" si="6"/>
        <v>-9.9</v>
      </c>
      <c r="I31" s="414">
        <f>IFERROR(100/'Skjema total MA'!F31*G31,0)</f>
        <v>8.9692813177523583</v>
      </c>
      <c r="J31" s="294">
        <f t="shared" si="11"/>
        <v>3572857.5305446307</v>
      </c>
      <c r="K31" s="294">
        <f t="shared" si="12"/>
        <v>3385213.0909308996</v>
      </c>
      <c r="L31" s="166">
        <f t="shared" si="8"/>
        <v>-5.3</v>
      </c>
      <c r="M31" s="23">
        <f>IFERROR(100/'Skjema total MA'!I31*K31,0)</f>
        <v>10.726223917115528</v>
      </c>
      <c r="N31" s="148"/>
    </row>
    <row r="32" spans="1:14" ht="15.75" x14ac:dyDescent="0.2">
      <c r="A32" s="507" t="s">
        <v>353</v>
      </c>
      <c r="B32" s="286">
        <v>673483.69932419003</v>
      </c>
      <c r="C32" s="286">
        <v>748456.29976112396</v>
      </c>
      <c r="D32" s="166">
        <f t="shared" si="5"/>
        <v>11.1</v>
      </c>
      <c r="E32" s="11">
        <f>IFERROR(100/'Skjema total MA'!C32*C32,0)</f>
        <v>29.877514052067653</v>
      </c>
      <c r="F32" s="294">
        <v>2358447.5583060002</v>
      </c>
      <c r="G32" s="294">
        <v>2335711.20194908</v>
      </c>
      <c r="H32" s="166">
        <f t="shared" si="6"/>
        <v>-1</v>
      </c>
      <c r="I32" s="414">
        <f>IFERROR(100/'Skjema total MA'!F32*G32,0)</f>
        <v>42.398406830099404</v>
      </c>
      <c r="J32" s="294">
        <f t="shared" si="11"/>
        <v>3031931.2576301903</v>
      </c>
      <c r="K32" s="294">
        <f t="shared" si="12"/>
        <v>3084167.5017102039</v>
      </c>
      <c r="L32" s="166">
        <f t="shared" si="8"/>
        <v>1.7</v>
      </c>
      <c r="M32" s="23">
        <f>IFERROR(100/'Skjema total MA'!I32*K32,0)</f>
        <v>38.484543403155207</v>
      </c>
    </row>
    <row r="33" spans="1:14" ht="15.75" x14ac:dyDescent="0.2">
      <c r="A33" s="507" t="s">
        <v>354</v>
      </c>
      <c r="B33" s="286"/>
      <c r="C33" s="286"/>
      <c r="D33" s="166"/>
      <c r="E33" s="11"/>
      <c r="F33" s="294">
        <v>1854805.05125102</v>
      </c>
      <c r="G33" s="294">
        <v>2137239.8388931099</v>
      </c>
      <c r="H33" s="166">
        <f t="shared" si="6"/>
        <v>15.2</v>
      </c>
      <c r="I33" s="414">
        <f>IFERROR(100/'Skjema total MA'!F33*G33,0)</f>
        <v>26.172740121461494</v>
      </c>
      <c r="J33" s="294">
        <f t="shared" si="11"/>
        <v>1854805.05125102</v>
      </c>
      <c r="K33" s="294">
        <f t="shared" si="12"/>
        <v>2137239.8388931099</v>
      </c>
      <c r="L33" s="166">
        <f t="shared" si="8"/>
        <v>15.2</v>
      </c>
      <c r="M33" s="23">
        <f>IFERROR(100/'Skjema total MA'!I33*K33,0)</f>
        <v>26.172740121461494</v>
      </c>
    </row>
    <row r="34" spans="1:14" ht="15.75" x14ac:dyDescent="0.2">
      <c r="A34" s="13" t="s">
        <v>349</v>
      </c>
      <c r="B34" s="236">
        <v>974.46686999999997</v>
      </c>
      <c r="C34" s="312">
        <v>0</v>
      </c>
      <c r="D34" s="171">
        <f t="shared" si="5"/>
        <v>-100</v>
      </c>
      <c r="E34" s="11">
        <f>IFERROR(100/'Skjema total MA'!C34*C34,0)</f>
        <v>0</v>
      </c>
      <c r="F34" s="311">
        <v>2549.8894599999999</v>
      </c>
      <c r="G34" s="312">
        <v>6284.2581499999997</v>
      </c>
      <c r="H34" s="171">
        <f t="shared" si="6"/>
        <v>146.5</v>
      </c>
      <c r="I34" s="11">
        <f>IFERROR(100/'Skjema total MA'!F34*G34,0)</f>
        <v>64.327377800486474</v>
      </c>
      <c r="J34" s="236">
        <f t="shared" si="7"/>
        <v>3524.3563299999996</v>
      </c>
      <c r="K34" s="236">
        <f t="shared" si="7"/>
        <v>6284.2581499999997</v>
      </c>
      <c r="L34" s="425">
        <f t="shared" si="8"/>
        <v>78.3</v>
      </c>
      <c r="M34" s="24">
        <f>IFERROR(100/'Skjema total MA'!I34*K34,0)</f>
        <v>34.047903903173285</v>
      </c>
    </row>
    <row r="35" spans="1:14" ht="15.75" x14ac:dyDescent="0.2">
      <c r="A35" s="13" t="s">
        <v>350</v>
      </c>
      <c r="B35" s="236"/>
      <c r="C35" s="312"/>
      <c r="D35" s="171"/>
      <c r="E35" s="11"/>
      <c r="F35" s="311">
        <v>8535.2025300000005</v>
      </c>
      <c r="G35" s="312">
        <v>9464.8160800000005</v>
      </c>
      <c r="H35" s="171">
        <f t="shared" si="6"/>
        <v>10.9</v>
      </c>
      <c r="I35" s="11">
        <f>IFERROR(100/'Skjema total MA'!F35*G35,0)</f>
        <v>23.091286943475829</v>
      </c>
      <c r="J35" s="236">
        <f t="shared" si="7"/>
        <v>8535.2025300000005</v>
      </c>
      <c r="K35" s="236">
        <f t="shared" si="7"/>
        <v>9464.8160800000005</v>
      </c>
      <c r="L35" s="425">
        <f t="shared" si="8"/>
        <v>10.9</v>
      </c>
      <c r="M35" s="24">
        <f>IFERROR(100/'Skjema total MA'!I35*K35,0)</f>
        <v>49.635375874858525</v>
      </c>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c r="D47" s="424"/>
      <c r="E47" s="11"/>
      <c r="F47" s="145"/>
      <c r="G47" s="33"/>
      <c r="H47" s="159"/>
      <c r="I47" s="159"/>
      <c r="J47" s="37"/>
      <c r="K47" s="37"/>
      <c r="L47" s="159"/>
      <c r="M47" s="159"/>
      <c r="N47" s="148"/>
    </row>
    <row r="48" spans="1:14" s="3" customFormat="1" ht="15.75" x14ac:dyDescent="0.2">
      <c r="A48" s="38" t="s">
        <v>359</v>
      </c>
      <c r="B48" s="286"/>
      <c r="C48" s="287"/>
      <c r="D48" s="259"/>
      <c r="E48" s="27"/>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v>455520.00000000023</v>
      </c>
      <c r="C66" s="355">
        <v>502416.00000000023</v>
      </c>
      <c r="D66" s="352">
        <f t="shared" ref="D66:D111" si="13">IF(B66=0, "    ---- ", IF(ABS(ROUND(100/B66*C66-100,1))&lt;999,ROUND(100/B66*C66-100,1),IF(ROUND(100/B66*C66-100,1)&gt;999,999,-999)))</f>
        <v>10.3</v>
      </c>
      <c r="E66" s="11">
        <f>IFERROR(100/'Skjema total MA'!C66*C66,0)</f>
        <v>16.081326073335216</v>
      </c>
      <c r="F66" s="354">
        <v>1556099.59</v>
      </c>
      <c r="G66" s="354">
        <v>1928790.9779999999</v>
      </c>
      <c r="H66" s="352">
        <f t="shared" ref="H66:H111" si="14">IF(F66=0, "    ---- ", IF(ABS(ROUND(100/F66*G66-100,1))&lt;999,ROUND(100/F66*G66-100,1),IF(ROUND(100/F66*G66-100,1)&gt;999,999,-999)))</f>
        <v>24</v>
      </c>
      <c r="I66" s="11">
        <f>IFERROR(100/'Skjema total MA'!F66*G66,0)</f>
        <v>15.941231482961363</v>
      </c>
      <c r="J66" s="312">
        <f t="shared" ref="J66:K86" si="15">SUM(B66,F66)</f>
        <v>2011619.5900000003</v>
      </c>
      <c r="K66" s="319">
        <f t="shared" si="15"/>
        <v>2431206.9780000001</v>
      </c>
      <c r="L66" s="425">
        <f t="shared" ref="L66:L111" si="16">IF(J66=0, "    ---- ", IF(ABS(ROUND(100/J66*K66-100,1))&lt;999,ROUND(100/J66*K66-100,1),IF(ROUND(100/J66*K66-100,1)&gt;999,999,-999)))</f>
        <v>20.9</v>
      </c>
      <c r="M66" s="11">
        <f>IFERROR(100/'Skjema total MA'!I66*K66,0)</f>
        <v>15.969981986937167</v>
      </c>
    </row>
    <row r="67" spans="1:14" x14ac:dyDescent="0.2">
      <c r="A67" s="416" t="s">
        <v>9</v>
      </c>
      <c r="B67" s="44">
        <v>379100.06278979901</v>
      </c>
      <c r="C67" s="145">
        <v>405538.69519728801</v>
      </c>
      <c r="D67" s="166">
        <f t="shared" si="13"/>
        <v>7</v>
      </c>
      <c r="E67" s="27">
        <f>IFERROR(100/'Skjema total MA'!C67*C67,0)</f>
        <v>17.802103099284373</v>
      </c>
      <c r="F67" s="234"/>
      <c r="G67" s="145"/>
      <c r="H67" s="166"/>
      <c r="I67" s="27"/>
      <c r="J67" s="292">
        <f t="shared" si="15"/>
        <v>379100.06278979901</v>
      </c>
      <c r="K67" s="44">
        <f t="shared" si="15"/>
        <v>405538.69519728801</v>
      </c>
      <c r="L67" s="259">
        <f t="shared" si="16"/>
        <v>7</v>
      </c>
      <c r="M67" s="27">
        <f>IFERROR(100/'Skjema total MA'!I67*K67,0)</f>
        <v>17.802103099284373</v>
      </c>
    </row>
    <row r="68" spans="1:14" x14ac:dyDescent="0.2">
      <c r="A68" s="21" t="s">
        <v>10</v>
      </c>
      <c r="B68" s="296">
        <v>1553</v>
      </c>
      <c r="C68" s="297">
        <v>680</v>
      </c>
      <c r="D68" s="166">
        <f t="shared" si="13"/>
        <v>-56.2</v>
      </c>
      <c r="E68" s="27">
        <f>IFERROR(100/'Skjema total MA'!C68*C68,0)</f>
        <v>6.3292946718346244</v>
      </c>
      <c r="F68" s="296">
        <v>1556099.59</v>
      </c>
      <c r="G68" s="297">
        <v>1928790.9779999999</v>
      </c>
      <c r="H68" s="166">
        <f t="shared" si="14"/>
        <v>24</v>
      </c>
      <c r="I68" s="27">
        <f>IFERROR(100/'Skjema total MA'!F68*G68,0)</f>
        <v>16.767612338462495</v>
      </c>
      <c r="J68" s="292">
        <f t="shared" si="15"/>
        <v>1557652.59</v>
      </c>
      <c r="K68" s="44">
        <f t="shared" si="15"/>
        <v>1929470.9779999999</v>
      </c>
      <c r="L68" s="259">
        <f t="shared" si="16"/>
        <v>23.9</v>
      </c>
      <c r="M68" s="27">
        <f>IFERROR(100/'Skjema total MA'!I68*K68,0)</f>
        <v>16.757872208977375</v>
      </c>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v>74866.937210201198</v>
      </c>
      <c r="C76" s="145">
        <v>96197.304802712199</v>
      </c>
      <c r="D76" s="166">
        <f t="shared" ref="D76" si="17">IF(B76=0, "    ---- ", IF(ABS(ROUND(100/B76*C76-100,1))&lt;999,ROUND(100/B76*C76-100,1),IF(ROUND(100/B76*C76-100,1)&gt;999,999,-999)))</f>
        <v>28.5</v>
      </c>
      <c r="E76" s="27">
        <f>IFERROR(100/'Skjema total MA'!C77*C76,0)</f>
        <v>4.3441518219869097</v>
      </c>
      <c r="F76" s="234"/>
      <c r="G76" s="145"/>
      <c r="H76" s="166"/>
      <c r="I76" s="27"/>
      <c r="J76" s="292">
        <f t="shared" ref="J76" si="18">SUM(B76,F76)</f>
        <v>74866.937210201198</v>
      </c>
      <c r="K76" s="44">
        <f t="shared" ref="K76" si="19">SUM(C76,G76)</f>
        <v>96197.304802712199</v>
      </c>
      <c r="L76" s="259">
        <f t="shared" ref="L76" si="20">IF(J76=0, "    ---- ", IF(ABS(ROUND(100/J76*K76-100,1))&lt;999,ROUND(100/J76*K76-100,1),IF(ROUND(100/J76*K76-100,1)&gt;999,999,-999)))</f>
        <v>28.5</v>
      </c>
      <c r="M76" s="27">
        <f>IFERROR(100/'Skjema total MA'!I77*K76,0)</f>
        <v>0.70146831710575541</v>
      </c>
      <c r="N76" s="148"/>
    </row>
    <row r="77" spans="1:14" ht="15.75" x14ac:dyDescent="0.2">
      <c r="A77" s="21" t="s">
        <v>365</v>
      </c>
      <c r="B77" s="234">
        <v>374794.97078979894</v>
      </c>
      <c r="C77" s="234">
        <v>401098.65619728802</v>
      </c>
      <c r="D77" s="166">
        <f t="shared" si="13"/>
        <v>7</v>
      </c>
      <c r="E77" s="27">
        <f>IFERROR(100/'Skjema total MA'!C77*C77,0)</f>
        <v>18.113121377874855</v>
      </c>
      <c r="F77" s="234">
        <v>1555065.868</v>
      </c>
      <c r="G77" s="145">
        <v>1927770.936</v>
      </c>
      <c r="H77" s="166">
        <f t="shared" si="14"/>
        <v>24</v>
      </c>
      <c r="I77" s="27">
        <f>IFERROR(100/'Skjema total MA'!F77*G77,0)</f>
        <v>16.764250430494602</v>
      </c>
      <c r="J77" s="292">
        <f t="shared" si="15"/>
        <v>1929860.838789799</v>
      </c>
      <c r="K77" s="44">
        <f t="shared" si="15"/>
        <v>2328869.5921972878</v>
      </c>
      <c r="L77" s="259">
        <f t="shared" si="16"/>
        <v>20.7</v>
      </c>
      <c r="M77" s="27">
        <f>IFERROR(100/'Skjema total MA'!I77*K77,0)</f>
        <v>16.982058249425506</v>
      </c>
    </row>
    <row r="78" spans="1:14" x14ac:dyDescent="0.2">
      <c r="A78" s="21" t="s">
        <v>9</v>
      </c>
      <c r="B78" s="234">
        <v>374275.78878979897</v>
      </c>
      <c r="C78" s="145">
        <v>400418.65619728802</v>
      </c>
      <c r="D78" s="166">
        <f t="shared" si="13"/>
        <v>7</v>
      </c>
      <c r="E78" s="27">
        <f>IFERROR(100/'Skjema total MA'!C78*C78,0)</f>
        <v>18.170571934100096</v>
      </c>
      <c r="F78" s="234"/>
      <c r="G78" s="145"/>
      <c r="H78" s="166"/>
      <c r="I78" s="27"/>
      <c r="J78" s="292">
        <f t="shared" si="15"/>
        <v>374275.78878979897</v>
      </c>
      <c r="K78" s="44">
        <f t="shared" si="15"/>
        <v>400418.65619728802</v>
      </c>
      <c r="L78" s="259">
        <f t="shared" si="16"/>
        <v>7</v>
      </c>
      <c r="M78" s="27">
        <f>IFERROR(100/'Skjema total MA'!I78*K78,0)</f>
        <v>18.170571934100096</v>
      </c>
    </row>
    <row r="79" spans="1:14" x14ac:dyDescent="0.2">
      <c r="A79" s="38" t="s">
        <v>399</v>
      </c>
      <c r="B79" s="296">
        <v>519.18200000000002</v>
      </c>
      <c r="C79" s="297">
        <v>680</v>
      </c>
      <c r="D79" s="166">
        <f t="shared" si="13"/>
        <v>31</v>
      </c>
      <c r="E79" s="27">
        <f>IFERROR(100/'Skjema total MA'!C79*C79,0)</f>
        <v>6.3292946718346244</v>
      </c>
      <c r="F79" s="296">
        <v>1555065.868</v>
      </c>
      <c r="G79" s="297">
        <v>1927770.936</v>
      </c>
      <c r="H79" s="166">
        <f t="shared" si="14"/>
        <v>24</v>
      </c>
      <c r="I79" s="27">
        <f>IFERROR(100/'Skjema total MA'!F79*G79,0)</f>
        <v>16.764250430494602</v>
      </c>
      <c r="J79" s="292">
        <f t="shared" si="15"/>
        <v>1555585.05</v>
      </c>
      <c r="K79" s="44">
        <f t="shared" si="15"/>
        <v>1928450.936</v>
      </c>
      <c r="L79" s="259">
        <f t="shared" si="16"/>
        <v>24</v>
      </c>
      <c r="M79" s="27">
        <f>IFERROR(100/'Skjema total MA'!I79*K79,0)</f>
        <v>16.754510242198538</v>
      </c>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v>5858.0919999999996</v>
      </c>
      <c r="C86" s="145">
        <v>5120.1409999999996</v>
      </c>
      <c r="D86" s="166">
        <f t="shared" si="13"/>
        <v>-12.6</v>
      </c>
      <c r="E86" s="27">
        <f>IFERROR(100/'Skjema total MA'!C86*C86,0)</f>
        <v>6.8844473832815085</v>
      </c>
      <c r="F86" s="234">
        <v>1033.722</v>
      </c>
      <c r="G86" s="145">
        <v>1020.042</v>
      </c>
      <c r="H86" s="166">
        <f t="shared" si="14"/>
        <v>-1.3</v>
      </c>
      <c r="I86" s="27">
        <f>IFERROR(100/'Skjema total MA'!F86*G86,0)</f>
        <v>27.000980166693427</v>
      </c>
      <c r="J86" s="292">
        <f t="shared" si="15"/>
        <v>6891.8139999999994</v>
      </c>
      <c r="K86" s="44">
        <f t="shared" si="15"/>
        <v>6140.183</v>
      </c>
      <c r="L86" s="259">
        <f t="shared" si="16"/>
        <v>-10.9</v>
      </c>
      <c r="M86" s="27">
        <f>IFERROR(100/'Skjema total MA'!I86*K86,0)</f>
        <v>7.8568824060546696</v>
      </c>
    </row>
    <row r="87" spans="1:13" ht="15.75" x14ac:dyDescent="0.2">
      <c r="A87" s="13" t="s">
        <v>348</v>
      </c>
      <c r="B87" s="355">
        <v>51270960.891452275</v>
      </c>
      <c r="C87" s="355">
        <v>50358707.160513476</v>
      </c>
      <c r="D87" s="171">
        <f t="shared" si="13"/>
        <v>-1.8</v>
      </c>
      <c r="E87" s="11">
        <f>IFERROR(100/'Skjema total MA'!C87*C87,0)</f>
        <v>12.659109982416268</v>
      </c>
      <c r="F87" s="354">
        <v>69826355.017305002</v>
      </c>
      <c r="G87" s="354">
        <v>73493157.490989998</v>
      </c>
      <c r="H87" s="171">
        <f t="shared" si="14"/>
        <v>5.3</v>
      </c>
      <c r="I87" s="11">
        <f>IFERROR(100/'Skjema total MA'!F87*G87,0)</f>
        <v>15.450644053064334</v>
      </c>
      <c r="J87" s="312">
        <f t="shared" ref="J87:K111" si="21">SUM(B87,F87)</f>
        <v>121097315.90875727</v>
      </c>
      <c r="K87" s="236">
        <f t="shared" si="21"/>
        <v>123851864.65150347</v>
      </c>
      <c r="L87" s="425">
        <f t="shared" si="16"/>
        <v>2.2999999999999998</v>
      </c>
      <c r="M87" s="11">
        <f>IFERROR(100/'Skjema total MA'!I87*K87,0)</f>
        <v>14.179290657111972</v>
      </c>
    </row>
    <row r="88" spans="1:13" x14ac:dyDescent="0.2">
      <c r="A88" s="21" t="s">
        <v>9</v>
      </c>
      <c r="B88" s="234">
        <v>49672596.709401101</v>
      </c>
      <c r="C88" s="145">
        <v>48599711.468276702</v>
      </c>
      <c r="D88" s="166">
        <f t="shared" si="13"/>
        <v>-2.2000000000000002</v>
      </c>
      <c r="E88" s="27">
        <f>IFERROR(100/'Skjema total MA'!C88*C88,0)</f>
        <v>12.704779495588998</v>
      </c>
      <c r="F88" s="234"/>
      <c r="G88" s="145"/>
      <c r="H88" s="166"/>
      <c r="I88" s="27"/>
      <c r="J88" s="292">
        <f t="shared" si="21"/>
        <v>49672596.709401101</v>
      </c>
      <c r="K88" s="44">
        <f t="shared" si="21"/>
        <v>48599711.468276702</v>
      </c>
      <c r="L88" s="259">
        <f t="shared" si="16"/>
        <v>-2.2000000000000002</v>
      </c>
      <c r="M88" s="27">
        <f>IFERROR(100/'Skjema total MA'!I88*K88,0)</f>
        <v>12.704779495588998</v>
      </c>
    </row>
    <row r="89" spans="1:13" x14ac:dyDescent="0.2">
      <c r="A89" s="21" t="s">
        <v>10</v>
      </c>
      <c r="B89" s="234">
        <v>1282105.0440511799</v>
      </c>
      <c r="C89" s="145">
        <v>1432679.51923677</v>
      </c>
      <c r="D89" s="166">
        <f t="shared" si="13"/>
        <v>11.7</v>
      </c>
      <c r="E89" s="27">
        <f>IFERROR(100/'Skjema total MA'!C89*C89,0)</f>
        <v>64.119344317247609</v>
      </c>
      <c r="F89" s="234">
        <v>69826355.017305002</v>
      </c>
      <c r="G89" s="145">
        <v>73493157.490989998</v>
      </c>
      <c r="H89" s="166">
        <f t="shared" si="14"/>
        <v>5.3</v>
      </c>
      <c r="I89" s="27">
        <f>IFERROR(100/'Skjema total MA'!F89*G89,0)</f>
        <v>15.655496762519554</v>
      </c>
      <c r="J89" s="292">
        <f t="shared" si="21"/>
        <v>71108460.061356187</v>
      </c>
      <c r="K89" s="44">
        <f t="shared" si="21"/>
        <v>74925837.010226771</v>
      </c>
      <c r="L89" s="259">
        <f t="shared" si="16"/>
        <v>5.4</v>
      </c>
      <c r="M89" s="27">
        <f>IFERROR(100/'Skjema total MA'!I89*K89,0)</f>
        <v>15.885077584709801</v>
      </c>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v>316259.13799999998</v>
      </c>
      <c r="C97" s="145">
        <v>326316.17300000001</v>
      </c>
      <c r="D97" s="166">
        <f t="shared" ref="D97" si="22">IF(B97=0, "    ---- ", IF(ABS(ROUND(100/B97*C97-100,1))&lt;999,ROUND(100/B97*C97-100,1),IF(ROUND(100/B97*C97-100,1)&gt;999,999,-999)))</f>
        <v>3.2</v>
      </c>
      <c r="E97" s="27">
        <f>IFERROR(100/'Skjema total MA'!C98*C97,0)</f>
        <v>8.579005001715273E-2</v>
      </c>
      <c r="F97" s="234"/>
      <c r="G97" s="145"/>
      <c r="H97" s="166"/>
      <c r="I97" s="27"/>
      <c r="J97" s="292">
        <f t="shared" ref="J97" si="23">SUM(B97,F97)</f>
        <v>316259.13799999998</v>
      </c>
      <c r="K97" s="44">
        <f t="shared" ref="K97" si="24">SUM(C97,G97)</f>
        <v>326316.17300000001</v>
      </c>
      <c r="L97" s="259">
        <f t="shared" ref="L97" si="25">IF(J97=0, "    ---- ", IF(ABS(ROUND(100/J97*K97-100,1))&lt;999,ROUND(100/J97*K97-100,1),IF(ROUND(100/J97*K97-100,1)&gt;999,999,-999)))</f>
        <v>3.2</v>
      </c>
      <c r="M97" s="27">
        <f>IFERROR(100/'Skjema total MA'!I98*K97,0)</f>
        <v>3.8407676601100053E-2</v>
      </c>
    </row>
    <row r="98" spans="1:13" ht="15.75" x14ac:dyDescent="0.2">
      <c r="A98" s="21" t="s">
        <v>365</v>
      </c>
      <c r="B98" s="234">
        <v>50943538.81645228</v>
      </c>
      <c r="C98" s="234">
        <v>50021678.840513475</v>
      </c>
      <c r="D98" s="166">
        <f t="shared" si="13"/>
        <v>-1.8</v>
      </c>
      <c r="E98" s="27">
        <f>IFERROR(100/'Skjema total MA'!C98*C98,0)</f>
        <v>13.150933618204702</v>
      </c>
      <c r="F98" s="296">
        <v>69813067.922305003</v>
      </c>
      <c r="G98" s="296">
        <v>73478733.88899</v>
      </c>
      <c r="H98" s="166">
        <f t="shared" si="14"/>
        <v>5.3</v>
      </c>
      <c r="I98" s="27">
        <f>IFERROR(100/'Skjema total MA'!F98*G98,0)</f>
        <v>15.658898589214148</v>
      </c>
      <c r="J98" s="292">
        <f t="shared" si="21"/>
        <v>120756606.73875728</v>
      </c>
      <c r="K98" s="44">
        <f t="shared" si="21"/>
        <v>123500412.72950348</v>
      </c>
      <c r="L98" s="259">
        <f t="shared" si="16"/>
        <v>2.2999999999999998</v>
      </c>
      <c r="M98" s="27">
        <f>IFERROR(100/'Skjema total MA'!I98*K98,0)</f>
        <v>14.536098130254642</v>
      </c>
    </row>
    <row r="99" spans="1:13" x14ac:dyDescent="0.2">
      <c r="A99" s="21" t="s">
        <v>9</v>
      </c>
      <c r="B99" s="296">
        <v>49661433.772401102</v>
      </c>
      <c r="C99" s="297">
        <v>48588999.321276702</v>
      </c>
      <c r="D99" s="166">
        <f t="shared" si="13"/>
        <v>-2.2000000000000002</v>
      </c>
      <c r="E99" s="27">
        <f>IFERROR(100/'Skjema total MA'!C99*C99,0)</f>
        <v>12.849759182604631</v>
      </c>
      <c r="F99" s="234"/>
      <c r="G99" s="145"/>
      <c r="H99" s="166"/>
      <c r="I99" s="27"/>
      <c r="J99" s="292">
        <f t="shared" si="21"/>
        <v>49661433.772401102</v>
      </c>
      <c r="K99" s="44">
        <f t="shared" si="21"/>
        <v>48588999.321276702</v>
      </c>
      <c r="L99" s="259">
        <f t="shared" si="16"/>
        <v>-2.2000000000000002</v>
      </c>
      <c r="M99" s="27">
        <f>IFERROR(100/'Skjema total MA'!I99*K99,0)</f>
        <v>12.849759182604631</v>
      </c>
    </row>
    <row r="100" spans="1:13" x14ac:dyDescent="0.2">
      <c r="A100" s="38" t="s">
        <v>399</v>
      </c>
      <c r="B100" s="296">
        <v>1282105.0440511799</v>
      </c>
      <c r="C100" s="297">
        <v>1432679.51923677</v>
      </c>
      <c r="D100" s="166">
        <f t="shared" si="13"/>
        <v>11.7</v>
      </c>
      <c r="E100" s="27">
        <f>IFERROR(100/'Skjema total MA'!C100*C100,0)</f>
        <v>64.119344317247609</v>
      </c>
      <c r="F100" s="234">
        <v>69813067.922305003</v>
      </c>
      <c r="G100" s="234">
        <v>73478733.88899</v>
      </c>
      <c r="H100" s="166">
        <f t="shared" si="14"/>
        <v>5.3</v>
      </c>
      <c r="I100" s="27">
        <f>IFERROR(100/'Skjema total MA'!F100*G100,0)</f>
        <v>15.658898589214148</v>
      </c>
      <c r="J100" s="292">
        <f t="shared" si="21"/>
        <v>71095172.966356188</v>
      </c>
      <c r="K100" s="44">
        <f t="shared" si="21"/>
        <v>74911413.408226773</v>
      </c>
      <c r="L100" s="259">
        <f t="shared" si="16"/>
        <v>5.4</v>
      </c>
      <c r="M100" s="27">
        <f>IFERROR(100/'Skjema total MA'!I100*K100,0)</f>
        <v>15.888557801663513</v>
      </c>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v>11162.937</v>
      </c>
      <c r="C107" s="145">
        <v>10712.147000000001</v>
      </c>
      <c r="D107" s="166">
        <f t="shared" si="13"/>
        <v>-4</v>
      </c>
      <c r="E107" s="27">
        <f>IFERROR(100/'Skjema total MA'!C107*C107,0)</f>
        <v>0.24349453976272589</v>
      </c>
      <c r="F107" s="234">
        <v>13287.094999999999</v>
      </c>
      <c r="G107" s="145">
        <v>14423.602000000001</v>
      </c>
      <c r="H107" s="166">
        <f t="shared" si="14"/>
        <v>8.6</v>
      </c>
      <c r="I107" s="27">
        <f>IFERROR(100/'Skjema total MA'!F107*G107,0)</f>
        <v>7.4312082288719807</v>
      </c>
      <c r="J107" s="292">
        <f t="shared" si="21"/>
        <v>24450.031999999999</v>
      </c>
      <c r="K107" s="44">
        <f t="shared" si="21"/>
        <v>25135.749000000003</v>
      </c>
      <c r="L107" s="259">
        <f t="shared" si="16"/>
        <v>2.8</v>
      </c>
      <c r="M107" s="27">
        <f>IFERROR(100/'Skjema total MA'!I107*K107,0)</f>
        <v>0.54721057108801607</v>
      </c>
    </row>
    <row r="108" spans="1:13" ht="15.75" x14ac:dyDescent="0.2">
      <c r="A108" s="21" t="s">
        <v>367</v>
      </c>
      <c r="B108" s="234">
        <v>39198074.983036198</v>
      </c>
      <c r="C108" s="234">
        <v>39202836.391544603</v>
      </c>
      <c r="D108" s="166">
        <f t="shared" si="13"/>
        <v>0</v>
      </c>
      <c r="E108" s="27">
        <f>IFERROR(100/'Skjema total MA'!C108*C108,0)</f>
        <v>11.946384220842683</v>
      </c>
      <c r="F108" s="234"/>
      <c r="G108" s="234"/>
      <c r="H108" s="166"/>
      <c r="I108" s="27"/>
      <c r="J108" s="292">
        <f t="shared" si="21"/>
        <v>39198074.983036198</v>
      </c>
      <c r="K108" s="44">
        <f t="shared" si="21"/>
        <v>39202836.391544603</v>
      </c>
      <c r="L108" s="259">
        <f t="shared" si="16"/>
        <v>0</v>
      </c>
      <c r="M108" s="27">
        <f>IFERROR(100/'Skjema total MA'!I108*K108,0)</f>
        <v>11.252283507041126</v>
      </c>
    </row>
    <row r="109" spans="1:13" ht="15.75" x14ac:dyDescent="0.2">
      <c r="A109" s="38" t="s">
        <v>407</v>
      </c>
      <c r="B109" s="234">
        <v>972186.07971184806</v>
      </c>
      <c r="C109" s="234">
        <v>1147474.58891725</v>
      </c>
      <c r="D109" s="166">
        <f t="shared" si="13"/>
        <v>18</v>
      </c>
      <c r="E109" s="27">
        <f>IFERROR(100/'Skjema total MA'!C109*C109,0)</f>
        <v>54.644248896094616</v>
      </c>
      <c r="F109" s="234">
        <v>27720614.978757199</v>
      </c>
      <c r="G109" s="234">
        <v>29505128.56315</v>
      </c>
      <c r="H109" s="166">
        <f t="shared" si="14"/>
        <v>6.4</v>
      </c>
      <c r="I109" s="27">
        <f>IFERROR(100/'Skjema total MA'!F109*G109,0)</f>
        <v>17.103102573674402</v>
      </c>
      <c r="J109" s="292">
        <f t="shared" si="21"/>
        <v>28692801.058469046</v>
      </c>
      <c r="K109" s="44">
        <f t="shared" si="21"/>
        <v>30652603.152067252</v>
      </c>
      <c r="L109" s="259">
        <f t="shared" si="16"/>
        <v>6.8</v>
      </c>
      <c r="M109" s="27">
        <f>IFERROR(100/'Skjema total MA'!I109*K109,0)</f>
        <v>17.554572729132762</v>
      </c>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v>0</v>
      </c>
      <c r="C111" s="159">
        <v>105.152</v>
      </c>
      <c r="D111" s="171" t="str">
        <f t="shared" si="13"/>
        <v xml:space="preserve">    ---- </v>
      </c>
      <c r="E111" s="11">
        <f>IFERROR(100/'Skjema total MA'!C111*C111,0)</f>
        <v>6.9229765514233502E-2</v>
      </c>
      <c r="F111" s="311">
        <v>1956231.966</v>
      </c>
      <c r="G111" s="159">
        <v>2039751.0079999999</v>
      </c>
      <c r="H111" s="171">
        <f t="shared" si="14"/>
        <v>4.3</v>
      </c>
      <c r="I111" s="11">
        <f>IFERROR(100/'Skjema total MA'!F111*G111,0)</f>
        <v>16.610556669151386</v>
      </c>
      <c r="J111" s="312">
        <f t="shared" si="21"/>
        <v>1956231.966</v>
      </c>
      <c r="K111" s="236">
        <f t="shared" si="21"/>
        <v>2039856.16</v>
      </c>
      <c r="L111" s="425">
        <f t="shared" si="16"/>
        <v>4.3</v>
      </c>
      <c r="M111" s="11">
        <f>IFERROR(100/'Skjema total MA'!I111*K111,0)</f>
        <v>16.40845809506412</v>
      </c>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v>0</v>
      </c>
      <c r="C113" s="145">
        <v>105.152</v>
      </c>
      <c r="D113" s="166" t="str">
        <f t="shared" ref="D113:D120" si="26">IF(B113=0, "    ---- ", IF(ABS(ROUND(100/B113*C113-100,1))&lt;999,ROUND(100/B113*C113-100,1),IF(ROUND(100/B113*C113-100,1)&gt;999,999,-999)))</f>
        <v xml:space="preserve">    ---- </v>
      </c>
      <c r="E113" s="27">
        <f>IFERROR(100/'Skjema total MA'!C113*C113,0)</f>
        <v>100</v>
      </c>
      <c r="F113" s="234">
        <v>1956231.966</v>
      </c>
      <c r="G113" s="145">
        <v>2039751.0079999999</v>
      </c>
      <c r="H113" s="166">
        <f t="shared" ref="H113:H125" si="27">IF(F113=0, "    ---- ", IF(ABS(ROUND(100/F113*G113-100,1))&lt;999,ROUND(100/F113*G113-100,1),IF(ROUND(100/F113*G113-100,1)&gt;999,999,-999)))</f>
        <v>4.3</v>
      </c>
      <c r="I113" s="27">
        <f>IFERROR(100/'Skjema total MA'!F113*G113,0)</f>
        <v>16.612420964446436</v>
      </c>
      <c r="J113" s="292">
        <f t="shared" ref="J113:K125" si="28">SUM(B113,F113)</f>
        <v>1956231.966</v>
      </c>
      <c r="K113" s="44">
        <f t="shared" si="28"/>
        <v>2039856.16</v>
      </c>
      <c r="L113" s="259">
        <f t="shared" ref="L113:L125" si="29">IF(J113=0, "    ---- ", IF(ABS(ROUND(100/J113*K113-100,1))&lt;999,ROUND(100/J113*K113-100,1),IF(ROUND(100/J113*K113-100,1)&gt;999,999,-999)))</f>
        <v>4.3</v>
      </c>
      <c r="M113" s="27">
        <f>IFERROR(100/'Skjema total MA'!I113*K113,0)</f>
        <v>16.613135084049283</v>
      </c>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v>0</v>
      </c>
      <c r="C117" s="234">
        <v>105.152</v>
      </c>
      <c r="D117" s="166" t="str">
        <f t="shared" si="26"/>
        <v xml:space="preserve">    ---- </v>
      </c>
      <c r="E117" s="27">
        <f>IFERROR(100/'Skjema total MA'!C117*C117,0)</f>
        <v>100</v>
      </c>
      <c r="F117" s="234">
        <v>1263050.7479999999</v>
      </c>
      <c r="G117" s="234">
        <v>1324060.2420000001</v>
      </c>
      <c r="H117" s="166">
        <f t="shared" si="27"/>
        <v>4.8</v>
      </c>
      <c r="I117" s="27">
        <f>IFERROR(100/'Skjema total MA'!F117*G117,0)</f>
        <v>20.398506068232113</v>
      </c>
      <c r="J117" s="292">
        <f t="shared" si="28"/>
        <v>1263050.7479999999</v>
      </c>
      <c r="K117" s="44">
        <f t="shared" si="28"/>
        <v>1324165.3940000001</v>
      </c>
      <c r="L117" s="259">
        <f t="shared" si="29"/>
        <v>4.8</v>
      </c>
      <c r="M117" s="27">
        <f>IFERROR(100/'Skjema total MA'!I117*K117,0)</f>
        <v>20.399795571174618</v>
      </c>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v>1674.7185800001</v>
      </c>
      <c r="C119" s="159">
        <v>2016.46400000015</v>
      </c>
      <c r="D119" s="171">
        <f t="shared" si="26"/>
        <v>20.399999999999999</v>
      </c>
      <c r="E119" s="11">
        <f>IFERROR(100/'Skjema total MA'!C119*C119,0)</f>
        <v>1.4287965316871922</v>
      </c>
      <c r="F119" s="311">
        <v>1610545.585</v>
      </c>
      <c r="G119" s="159">
        <v>2674675.625</v>
      </c>
      <c r="H119" s="171">
        <f t="shared" si="27"/>
        <v>66.099999999999994</v>
      </c>
      <c r="I119" s="11">
        <f>IFERROR(100/'Skjema total MA'!F119*G119,0)</f>
        <v>20.588320557873999</v>
      </c>
      <c r="J119" s="312">
        <f t="shared" si="28"/>
        <v>1612220.3035800001</v>
      </c>
      <c r="K119" s="236">
        <f t="shared" si="28"/>
        <v>2676692.0890000002</v>
      </c>
      <c r="L119" s="425">
        <f t="shared" si="29"/>
        <v>66</v>
      </c>
      <c r="M119" s="11">
        <f>IFERROR(100/'Skjema total MA'!I119*K119,0)</f>
        <v>20.382417836607228</v>
      </c>
    </row>
    <row r="120" spans="1:14" x14ac:dyDescent="0.2">
      <c r="A120" s="21" t="s">
        <v>9</v>
      </c>
      <c r="B120" s="234">
        <v>1674.7185800001</v>
      </c>
      <c r="C120" s="145">
        <v>2016.46400000015</v>
      </c>
      <c r="D120" s="166">
        <f t="shared" si="26"/>
        <v>20.399999999999999</v>
      </c>
      <c r="E120" s="27">
        <f>IFERROR(100/'Skjema total MA'!C120*C120,0)</f>
        <v>2.924418033177385</v>
      </c>
      <c r="F120" s="234"/>
      <c r="G120" s="145"/>
      <c r="H120" s="166"/>
      <c r="I120" s="27"/>
      <c r="J120" s="292">
        <f t="shared" si="28"/>
        <v>1674.7185800001</v>
      </c>
      <c r="K120" s="44">
        <f t="shared" si="28"/>
        <v>2016.46400000015</v>
      </c>
      <c r="L120" s="259">
        <f t="shared" si="29"/>
        <v>20.399999999999999</v>
      </c>
      <c r="M120" s="27">
        <f>IFERROR(100/'Skjema total MA'!I120*K120,0)</f>
        <v>2.924418033177385</v>
      </c>
    </row>
    <row r="121" spans="1:14" x14ac:dyDescent="0.2">
      <c r="A121" s="21" t="s">
        <v>10</v>
      </c>
      <c r="B121" s="234"/>
      <c r="C121" s="145"/>
      <c r="D121" s="166"/>
      <c r="E121" s="27"/>
      <c r="F121" s="234">
        <v>1610545.585</v>
      </c>
      <c r="G121" s="145">
        <v>2674675.625</v>
      </c>
      <c r="H121" s="166">
        <f t="shared" si="27"/>
        <v>66.099999999999994</v>
      </c>
      <c r="I121" s="27">
        <f>IFERROR(100/'Skjema total MA'!F121*G121,0)</f>
        <v>20.588320557873999</v>
      </c>
      <c r="J121" s="292">
        <f t="shared" si="28"/>
        <v>1610545.585</v>
      </c>
      <c r="K121" s="44">
        <f t="shared" si="28"/>
        <v>2674675.625</v>
      </c>
      <c r="L121" s="259">
        <f t="shared" si="29"/>
        <v>66.099999999999994</v>
      </c>
      <c r="M121" s="27">
        <f>IFERROR(100/'Skjema total MA'!I121*K121,0)</f>
        <v>20.577514040353908</v>
      </c>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v>1131947.7080000001</v>
      </c>
      <c r="G125" s="234">
        <v>1509280.9169999999</v>
      </c>
      <c r="H125" s="166">
        <f t="shared" si="27"/>
        <v>33.299999999999997</v>
      </c>
      <c r="I125" s="27">
        <f>IFERROR(100/'Skjema total MA'!F125*G125,0)</f>
        <v>22.755786333854083</v>
      </c>
      <c r="J125" s="292">
        <f t="shared" si="28"/>
        <v>1131947.7080000001</v>
      </c>
      <c r="K125" s="44">
        <f t="shared" si="28"/>
        <v>1509280.9169999999</v>
      </c>
      <c r="L125" s="259">
        <f t="shared" si="29"/>
        <v>33.299999999999997</v>
      </c>
      <c r="M125" s="27">
        <f>IFERROR(100/'Skjema total MA'!I125*K125,0)</f>
        <v>22.755577553159618</v>
      </c>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07" priority="132">
      <formula>kvartal &lt; 4</formula>
    </cfRule>
  </conditionalFormatting>
  <conditionalFormatting sqref="B115">
    <cfRule type="expression" dxfId="406" priority="76">
      <formula>kvartal &lt; 4</formula>
    </cfRule>
  </conditionalFormatting>
  <conditionalFormatting sqref="C115">
    <cfRule type="expression" dxfId="405" priority="75">
      <formula>kvartal &lt; 4</formula>
    </cfRule>
  </conditionalFormatting>
  <conditionalFormatting sqref="B123">
    <cfRule type="expression" dxfId="404" priority="74">
      <formula>kvartal &lt; 4</formula>
    </cfRule>
  </conditionalFormatting>
  <conditionalFormatting sqref="C123">
    <cfRule type="expression" dxfId="403" priority="73">
      <formula>kvartal &lt; 4</formula>
    </cfRule>
  </conditionalFormatting>
  <conditionalFormatting sqref="F115">
    <cfRule type="expression" dxfId="402" priority="58">
      <formula>kvartal &lt; 4</formula>
    </cfRule>
  </conditionalFormatting>
  <conditionalFormatting sqref="G115">
    <cfRule type="expression" dxfId="401" priority="57">
      <formula>kvartal &lt; 4</formula>
    </cfRule>
  </conditionalFormatting>
  <conditionalFormatting sqref="F123:G123">
    <cfRule type="expression" dxfId="400" priority="56">
      <formula>kvartal &lt; 4</formula>
    </cfRule>
  </conditionalFormatting>
  <conditionalFormatting sqref="J115:K115">
    <cfRule type="expression" dxfId="399" priority="32">
      <formula>kvartal &lt; 4</formula>
    </cfRule>
  </conditionalFormatting>
  <conditionalFormatting sqref="J123:K123">
    <cfRule type="expression" dxfId="398" priority="31">
      <formula>kvartal &lt; 4</formula>
    </cfRule>
  </conditionalFormatting>
  <conditionalFormatting sqref="A50:A52">
    <cfRule type="expression" dxfId="397" priority="12">
      <formula>kvartal &lt; 4</formula>
    </cfRule>
  </conditionalFormatting>
  <conditionalFormatting sqref="A69:A74">
    <cfRule type="expression" dxfId="396" priority="10">
      <formula>kvartal &lt; 4</formula>
    </cfRule>
  </conditionalFormatting>
  <conditionalFormatting sqref="A80:A85">
    <cfRule type="expression" dxfId="395" priority="9">
      <formula>kvartal &lt; 4</formula>
    </cfRule>
  </conditionalFormatting>
  <conditionalFormatting sqref="A90:A95">
    <cfRule type="expression" dxfId="394" priority="6">
      <formula>kvartal &lt; 4</formula>
    </cfRule>
  </conditionalFormatting>
  <conditionalFormatting sqref="A101:A106">
    <cfRule type="expression" dxfId="393" priority="5">
      <formula>kvartal &lt; 4</formula>
    </cfRule>
  </conditionalFormatting>
  <conditionalFormatting sqref="A115">
    <cfRule type="expression" dxfId="392" priority="4">
      <formula>kvartal &lt; 4</formula>
    </cfRule>
  </conditionalFormatting>
  <conditionalFormatting sqref="A123">
    <cfRule type="expression" dxfId="391" priority="3">
      <formula>kvartal &lt; 4</formula>
    </cfRule>
  </conditionalFormatting>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G55" sqref="G55"/>
    </sheetView>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93</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8153</v>
      </c>
      <c r="C47" s="314">
        <v>8302</v>
      </c>
      <c r="D47" s="424">
        <f t="shared" ref="D47:D55" si="0">IF(B47=0, "    ---- ", IF(ABS(ROUND(100/B47*C47-100,1))&lt;999,ROUND(100/B47*C47-100,1),IF(ROUND(100/B47*C47-100,1)&gt;999,999,-999)))</f>
        <v>1.8</v>
      </c>
      <c r="E47" s="11">
        <f>IFERROR(100/'Skjema total MA'!C47*C47,0)</f>
        <v>0.22216899459993894</v>
      </c>
      <c r="F47" s="145"/>
      <c r="G47" s="33"/>
      <c r="H47" s="159"/>
      <c r="I47" s="159"/>
      <c r="J47" s="37"/>
      <c r="K47" s="37"/>
      <c r="L47" s="159"/>
      <c r="M47" s="159"/>
      <c r="N47" s="148"/>
    </row>
    <row r="48" spans="1:14" s="3" customFormat="1" ht="15.75" x14ac:dyDescent="0.2">
      <c r="A48" s="38" t="s">
        <v>359</v>
      </c>
      <c r="B48" s="286">
        <v>8153</v>
      </c>
      <c r="C48" s="287">
        <v>8302</v>
      </c>
      <c r="D48" s="259">
        <f t="shared" si="0"/>
        <v>1.8</v>
      </c>
      <c r="E48" s="27">
        <f>IFERROR(100/'Skjema total MA'!C48*C48,0)</f>
        <v>0.41115832481904752</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13000</v>
      </c>
      <c r="C53" s="314"/>
      <c r="D53" s="425">
        <f t="shared" si="0"/>
        <v>-100</v>
      </c>
      <c r="E53" s="11">
        <f>IFERROR(100/'Skjema total MA'!C53*C53,0)</f>
        <v>0</v>
      </c>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v>13000</v>
      </c>
      <c r="C55" s="287"/>
      <c r="D55" s="259">
        <f t="shared" si="0"/>
        <v>-100</v>
      </c>
      <c r="E55" s="27">
        <f>IFERROR(100/'Skjema total MA'!C55*C55,0)</f>
        <v>0</v>
      </c>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v>1176597</v>
      </c>
      <c r="C134" s="312">
        <v>1060364.4779999999</v>
      </c>
      <c r="D134" s="352">
        <f t="shared" ref="D134:D135" si="1">IF(B134=0, "    ---- ", IF(ABS(ROUND(100/B134*C134-100,1))&lt;999,ROUND(100/B134*C134-100,1),IF(ROUND(100/B134*C134-100,1)&gt;999,999,-999)))</f>
        <v>-9.9</v>
      </c>
      <c r="E134" s="11">
        <f>IFERROR(100/'Skjema total MA'!C134*C134,0)</f>
        <v>11.9271041432887</v>
      </c>
      <c r="F134" s="319"/>
      <c r="G134" s="320"/>
      <c r="H134" s="428"/>
      <c r="I134" s="24"/>
      <c r="J134" s="321">
        <f t="shared" ref="J134:K135" si="2">SUM(B134,F134)</f>
        <v>1176597</v>
      </c>
      <c r="K134" s="321">
        <f t="shared" si="2"/>
        <v>1060364.4779999999</v>
      </c>
      <c r="L134" s="424">
        <f t="shared" ref="L134:L135" si="3">IF(J134=0, "    ---- ", IF(ABS(ROUND(100/J134*K134-100,1))&lt;999,ROUND(100/J134*K134-100,1),IF(ROUND(100/J134*K134-100,1)&gt;999,999,-999)))</f>
        <v>-9.9</v>
      </c>
      <c r="M134" s="11">
        <f>IFERROR(100/'Skjema total MA'!I134*K134,0)</f>
        <v>11.90226945403373</v>
      </c>
      <c r="N134" s="148"/>
    </row>
    <row r="135" spans="1:14" s="3" customFormat="1" ht="15.75" x14ac:dyDescent="0.2">
      <c r="A135" s="13" t="s">
        <v>375</v>
      </c>
      <c r="B135" s="236">
        <v>82039593</v>
      </c>
      <c r="C135" s="312">
        <v>88090907</v>
      </c>
      <c r="D135" s="171">
        <f t="shared" si="1"/>
        <v>7.4</v>
      </c>
      <c r="E135" s="11">
        <f>IFERROR(100/'Skjema total MA'!C135*C135,0)</f>
        <v>11.416405696603832</v>
      </c>
      <c r="F135" s="236"/>
      <c r="G135" s="312"/>
      <c r="H135" s="429"/>
      <c r="I135" s="24"/>
      <c r="J135" s="311">
        <f t="shared" si="2"/>
        <v>82039593</v>
      </c>
      <c r="K135" s="311">
        <f t="shared" si="2"/>
        <v>88090907</v>
      </c>
      <c r="L135" s="425">
        <f t="shared" si="3"/>
        <v>7.4</v>
      </c>
      <c r="M135" s="11">
        <f>IFERROR(100/'Skjema total MA'!I135*K135,0)</f>
        <v>11.377933620424928</v>
      </c>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90" priority="132">
      <formula>kvartal &lt; 4</formula>
    </cfRule>
  </conditionalFormatting>
  <conditionalFormatting sqref="B115">
    <cfRule type="expression" dxfId="389" priority="76">
      <formula>kvartal &lt; 4</formula>
    </cfRule>
  </conditionalFormatting>
  <conditionalFormatting sqref="C115">
    <cfRule type="expression" dxfId="388" priority="75">
      <formula>kvartal &lt; 4</formula>
    </cfRule>
  </conditionalFormatting>
  <conditionalFormatting sqref="B123">
    <cfRule type="expression" dxfId="387" priority="74">
      <formula>kvartal &lt; 4</formula>
    </cfRule>
  </conditionalFormatting>
  <conditionalFormatting sqref="C123">
    <cfRule type="expression" dxfId="386" priority="73">
      <formula>kvartal &lt; 4</formula>
    </cfRule>
  </conditionalFormatting>
  <conditionalFormatting sqref="F115">
    <cfRule type="expression" dxfId="385" priority="58">
      <formula>kvartal &lt; 4</formula>
    </cfRule>
  </conditionalFormatting>
  <conditionalFormatting sqref="G115">
    <cfRule type="expression" dxfId="384" priority="57">
      <formula>kvartal &lt; 4</formula>
    </cfRule>
  </conditionalFormatting>
  <conditionalFormatting sqref="F123:G123">
    <cfRule type="expression" dxfId="383" priority="56">
      <formula>kvartal &lt; 4</formula>
    </cfRule>
  </conditionalFormatting>
  <conditionalFormatting sqref="J115:K115">
    <cfRule type="expression" dxfId="382" priority="32">
      <formula>kvartal &lt; 4</formula>
    </cfRule>
  </conditionalFormatting>
  <conditionalFormatting sqref="J123:K123">
    <cfRule type="expression" dxfId="381" priority="31">
      <formula>kvartal &lt; 4</formula>
    </cfRule>
  </conditionalFormatting>
  <conditionalFormatting sqref="A50:A52">
    <cfRule type="expression" dxfId="380" priority="12">
      <formula>kvartal &lt; 4</formula>
    </cfRule>
  </conditionalFormatting>
  <conditionalFormatting sqref="A69:A74">
    <cfRule type="expression" dxfId="379" priority="10">
      <formula>kvartal &lt; 4</formula>
    </cfRule>
  </conditionalFormatting>
  <conditionalFormatting sqref="A80:A85">
    <cfRule type="expression" dxfId="378" priority="9">
      <formula>kvartal &lt; 4</formula>
    </cfRule>
  </conditionalFormatting>
  <conditionalFormatting sqref="A90:A95">
    <cfRule type="expression" dxfId="377" priority="6">
      <formula>kvartal &lt; 4</formula>
    </cfRule>
  </conditionalFormatting>
  <conditionalFormatting sqref="A101:A106">
    <cfRule type="expression" dxfId="376" priority="5">
      <formula>kvartal &lt; 4</formula>
    </cfRule>
  </conditionalFormatting>
  <conditionalFormatting sqref="A115">
    <cfRule type="expression" dxfId="375" priority="4">
      <formula>kvartal &lt; 4</formula>
    </cfRule>
  </conditionalFormatting>
  <conditionalFormatting sqref="A123">
    <cfRule type="expression" dxfId="374" priority="3">
      <formula>kvartal &lt; 4</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506" t="s">
        <v>347</v>
      </c>
      <c r="D1" s="26"/>
      <c r="E1" s="26"/>
      <c r="F1" s="26"/>
      <c r="G1" s="26"/>
      <c r="H1" s="26"/>
      <c r="I1" s="26"/>
      <c r="J1" s="26"/>
      <c r="K1" s="26"/>
      <c r="L1" s="26"/>
      <c r="M1" s="26"/>
    </row>
    <row r="2" spans="1:14" ht="15.75" x14ac:dyDescent="0.25">
      <c r="A2" s="165" t="s">
        <v>28</v>
      </c>
      <c r="B2" s="718"/>
      <c r="C2" s="718"/>
      <c r="D2" s="718"/>
      <c r="E2" s="503"/>
      <c r="F2" s="718"/>
      <c r="G2" s="718"/>
      <c r="H2" s="718"/>
      <c r="I2" s="503"/>
      <c r="J2" s="718"/>
      <c r="K2" s="718"/>
      <c r="L2" s="718"/>
      <c r="M2" s="503"/>
    </row>
    <row r="3" spans="1:14" ht="15.75" x14ac:dyDescent="0.25">
      <c r="A3" s="163"/>
      <c r="B3" s="503"/>
      <c r="C3" s="503"/>
      <c r="D3" s="503"/>
      <c r="E3" s="503"/>
      <c r="F3" s="503"/>
      <c r="G3" s="503"/>
      <c r="H3" s="503"/>
      <c r="I3" s="503"/>
      <c r="J3" s="503"/>
      <c r="K3" s="503"/>
      <c r="L3" s="503"/>
      <c r="M3" s="503"/>
    </row>
    <row r="4" spans="1:14" x14ac:dyDescent="0.2">
      <c r="A4" s="144"/>
      <c r="B4" s="719" t="s">
        <v>0</v>
      </c>
      <c r="C4" s="720"/>
      <c r="D4" s="720"/>
      <c r="E4" s="501"/>
      <c r="F4" s="719" t="s">
        <v>1</v>
      </c>
      <c r="G4" s="720"/>
      <c r="H4" s="720"/>
      <c r="I4" s="502"/>
      <c r="J4" s="719" t="s">
        <v>2</v>
      </c>
      <c r="K4" s="720"/>
      <c r="L4" s="720"/>
      <c r="M4" s="502"/>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519.02951628115898</v>
      </c>
      <c r="C7" s="310">
        <v>470.96053418105703</v>
      </c>
      <c r="D7" s="352">
        <f>IF(B7=0, "    ---- ", IF(ABS(ROUND(100/B7*C7-100,1))&lt;999,ROUND(100/B7*C7-100,1),IF(ROUND(100/B7*C7-100,1)&gt;999,999,-999)))</f>
        <v>-9.3000000000000007</v>
      </c>
      <c r="E7" s="11">
        <f>IFERROR(100/'Skjema total MA'!C7*C7,0)</f>
        <v>2.4929056886979925E-2</v>
      </c>
      <c r="F7" s="309"/>
      <c r="G7" s="310"/>
      <c r="H7" s="352"/>
      <c r="I7" s="160"/>
      <c r="J7" s="311">
        <f t="shared" ref="J7:K9" si="0">SUM(B7,F7)</f>
        <v>519.02951628115898</v>
      </c>
      <c r="K7" s="312">
        <f t="shared" si="0"/>
        <v>470.96053418105703</v>
      </c>
      <c r="L7" s="424">
        <f>IF(J7=0, "    ---- ", IF(ABS(ROUND(100/J7*K7-100,1))&lt;999,ROUND(100/J7*K7-100,1),IF(ROUND(100/J7*K7-100,1)&gt;999,999,-999)))</f>
        <v>-9.3000000000000007</v>
      </c>
      <c r="M7" s="11">
        <f>IFERROR(100/'Skjema total MA'!I7*K7,0)</f>
        <v>1.0255971069519075E-2</v>
      </c>
    </row>
    <row r="8" spans="1:14" ht="15.75" x14ac:dyDescent="0.2">
      <c r="A8" s="21" t="s">
        <v>25</v>
      </c>
      <c r="B8" s="286"/>
      <c r="C8" s="287"/>
      <c r="D8" s="166"/>
      <c r="E8" s="27"/>
      <c r="F8" s="290"/>
      <c r="G8" s="291"/>
      <c r="H8" s="166"/>
      <c r="I8" s="176"/>
      <c r="J8" s="234"/>
      <c r="K8" s="292"/>
      <c r="L8" s="166"/>
      <c r="M8" s="27"/>
    </row>
    <row r="9" spans="1:14" ht="15.75" x14ac:dyDescent="0.2">
      <c r="A9" s="21" t="s">
        <v>24</v>
      </c>
      <c r="B9" s="286">
        <v>519.02951628115898</v>
      </c>
      <c r="C9" s="287">
        <v>470.96053418105703</v>
      </c>
      <c r="D9" s="166">
        <f t="shared" ref="D9" si="1">IF(B9=0, "    ---- ", IF(ABS(ROUND(100/B9*C9-100,1))&lt;999,ROUND(100/B9*C9-100,1),IF(ROUND(100/B9*C9-100,1)&gt;999,999,-999)))</f>
        <v>-9.3000000000000007</v>
      </c>
      <c r="E9" s="27">
        <f>IFERROR(100/'Skjema total MA'!C9*C9,0)</f>
        <v>0.10787911523545145</v>
      </c>
      <c r="F9" s="290"/>
      <c r="G9" s="291"/>
      <c r="H9" s="166"/>
      <c r="I9" s="176"/>
      <c r="J9" s="234">
        <f t="shared" si="0"/>
        <v>519.02951628115898</v>
      </c>
      <c r="K9" s="292">
        <f t="shared" si="0"/>
        <v>470.96053418105703</v>
      </c>
      <c r="L9" s="166">
        <f t="shared" ref="L9" si="2">IF(J9=0, "    ---- ", IF(ABS(ROUND(100/J9*K9-100,1))&lt;999,ROUND(100/J9*K9-100,1),IF(ROUND(100/J9*K9-100,1)&gt;999,999,-999)))</f>
        <v>-9.3000000000000007</v>
      </c>
      <c r="M9" s="27">
        <f>IFERROR(100/'Skjema total MA'!I9*K9,0)</f>
        <v>0.10787911523545145</v>
      </c>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503"/>
      <c r="F18" s="721"/>
      <c r="G18" s="721"/>
      <c r="H18" s="721"/>
      <c r="I18" s="503"/>
      <c r="J18" s="721"/>
      <c r="K18" s="721"/>
      <c r="L18" s="721"/>
      <c r="M18" s="503"/>
    </row>
    <row r="19" spans="1:14" x14ac:dyDescent="0.2">
      <c r="A19" s="144"/>
      <c r="B19" s="719" t="s">
        <v>0</v>
      </c>
      <c r="C19" s="720"/>
      <c r="D19" s="720"/>
      <c r="E19" s="501"/>
      <c r="F19" s="719" t="s">
        <v>1</v>
      </c>
      <c r="G19" s="720"/>
      <c r="H19" s="720"/>
      <c r="I19" s="502"/>
      <c r="J19" s="719" t="s">
        <v>2</v>
      </c>
      <c r="K19" s="720"/>
      <c r="L19" s="720"/>
      <c r="M19" s="502"/>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505"/>
    </row>
    <row r="41" spans="1:14" x14ac:dyDescent="0.2">
      <c r="A41" s="155"/>
    </row>
    <row r="42" spans="1:14" ht="15.75" x14ac:dyDescent="0.25">
      <c r="A42" s="147" t="s">
        <v>266</v>
      </c>
      <c r="B42" s="718"/>
      <c r="C42" s="718"/>
      <c r="D42" s="718"/>
      <c r="E42" s="503"/>
      <c r="F42" s="723"/>
      <c r="G42" s="723"/>
      <c r="H42" s="723"/>
      <c r="I42" s="505"/>
      <c r="J42" s="723"/>
      <c r="K42" s="723"/>
      <c r="L42" s="723"/>
      <c r="M42" s="505"/>
    </row>
    <row r="43" spans="1:14" ht="15.75" x14ac:dyDescent="0.25">
      <c r="A43" s="163"/>
      <c r="B43" s="504"/>
      <c r="C43" s="504"/>
      <c r="D43" s="504"/>
      <c r="E43" s="504"/>
      <c r="F43" s="505"/>
      <c r="G43" s="505"/>
      <c r="H43" s="505"/>
      <c r="I43" s="505"/>
      <c r="J43" s="505"/>
      <c r="K43" s="505"/>
      <c r="L43" s="505"/>
      <c r="M43" s="505"/>
    </row>
    <row r="44" spans="1:14" ht="15.75" x14ac:dyDescent="0.25">
      <c r="A44" s="249"/>
      <c r="B44" s="719" t="s">
        <v>0</v>
      </c>
      <c r="C44" s="720"/>
      <c r="D44" s="720"/>
      <c r="E44" s="244"/>
      <c r="F44" s="505"/>
      <c r="G44" s="505"/>
      <c r="H44" s="505"/>
      <c r="I44" s="505"/>
      <c r="J44" s="505"/>
      <c r="K44" s="505"/>
      <c r="L44" s="505"/>
      <c r="M44" s="5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216150.39197330599</v>
      </c>
      <c r="C47" s="314">
        <v>254654.84985039299</v>
      </c>
      <c r="D47" s="424">
        <f t="shared" ref="D47:D48" si="3">IF(B47=0, "    ---- ", IF(ABS(ROUND(100/B47*C47-100,1))&lt;999,ROUND(100/B47*C47-100,1),IF(ROUND(100/B47*C47-100,1)&gt;999,999,-999)))</f>
        <v>17.8</v>
      </c>
      <c r="E47" s="11">
        <f>IFERROR(100/'Skjema total MA'!C47*C47,0)</f>
        <v>6.8147930572464732</v>
      </c>
      <c r="F47" s="145"/>
      <c r="G47" s="33"/>
      <c r="H47" s="159"/>
      <c r="I47" s="159"/>
      <c r="J47" s="37"/>
      <c r="K47" s="37"/>
      <c r="L47" s="159"/>
      <c r="M47" s="159"/>
      <c r="N47" s="148"/>
    </row>
    <row r="48" spans="1:14" s="3" customFormat="1" ht="15.75" x14ac:dyDescent="0.2">
      <c r="A48" s="38" t="s">
        <v>359</v>
      </c>
      <c r="B48" s="286">
        <v>216150.39197330599</v>
      </c>
      <c r="C48" s="287">
        <v>254654.84985039299</v>
      </c>
      <c r="D48" s="259">
        <f t="shared" si="3"/>
        <v>17.8</v>
      </c>
      <c r="E48" s="27">
        <f>IFERROR(100/'Skjema total MA'!C48*C48,0)</f>
        <v>12.611835879490924</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503"/>
      <c r="F62" s="721"/>
      <c r="G62" s="721"/>
      <c r="H62" s="721"/>
      <c r="I62" s="503"/>
      <c r="J62" s="721"/>
      <c r="K62" s="721"/>
      <c r="L62" s="721"/>
      <c r="M62" s="503"/>
    </row>
    <row r="63" spans="1:14" x14ac:dyDescent="0.2">
      <c r="A63" s="144"/>
      <c r="B63" s="719" t="s">
        <v>0</v>
      </c>
      <c r="C63" s="720"/>
      <c r="D63" s="724"/>
      <c r="E63" s="500"/>
      <c r="F63" s="720" t="s">
        <v>1</v>
      </c>
      <c r="G63" s="720"/>
      <c r="H63" s="720"/>
      <c r="I63" s="502"/>
      <c r="J63" s="719" t="s">
        <v>2</v>
      </c>
      <c r="K63" s="720"/>
      <c r="L63" s="720"/>
      <c r="M63" s="502"/>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503"/>
      <c r="F130" s="721"/>
      <c r="G130" s="721"/>
      <c r="H130" s="721"/>
      <c r="I130" s="503"/>
      <c r="J130" s="721"/>
      <c r="K130" s="721"/>
      <c r="L130" s="721"/>
      <c r="M130" s="503"/>
    </row>
    <row r="131" spans="1:14" s="3" customFormat="1" x14ac:dyDescent="0.2">
      <c r="A131" s="144"/>
      <c r="B131" s="719" t="s">
        <v>0</v>
      </c>
      <c r="C131" s="720"/>
      <c r="D131" s="720"/>
      <c r="E131" s="501"/>
      <c r="F131" s="719" t="s">
        <v>1</v>
      </c>
      <c r="G131" s="720"/>
      <c r="H131" s="720"/>
      <c r="I131" s="502"/>
      <c r="J131" s="719" t="s">
        <v>2</v>
      </c>
      <c r="K131" s="720"/>
      <c r="L131" s="720"/>
      <c r="M131" s="502"/>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373" priority="82">
      <formula>kvartal &lt; 4</formula>
    </cfRule>
  </conditionalFormatting>
  <conditionalFormatting sqref="B115">
    <cfRule type="expression" dxfId="372" priority="45">
      <formula>kvartal &lt; 4</formula>
    </cfRule>
  </conditionalFormatting>
  <conditionalFormatting sqref="C115">
    <cfRule type="expression" dxfId="371" priority="44">
      <formula>kvartal &lt; 4</formula>
    </cfRule>
  </conditionalFormatting>
  <conditionalFormatting sqref="B123">
    <cfRule type="expression" dxfId="370" priority="43">
      <formula>kvartal &lt; 4</formula>
    </cfRule>
  </conditionalFormatting>
  <conditionalFormatting sqref="C123">
    <cfRule type="expression" dxfId="369" priority="42">
      <formula>kvartal &lt; 4</formula>
    </cfRule>
  </conditionalFormatting>
  <conditionalFormatting sqref="F115">
    <cfRule type="expression" dxfId="368" priority="31">
      <formula>kvartal &lt; 4</formula>
    </cfRule>
  </conditionalFormatting>
  <conditionalFormatting sqref="G115">
    <cfRule type="expression" dxfId="367" priority="30">
      <formula>kvartal &lt; 4</formula>
    </cfRule>
  </conditionalFormatting>
  <conditionalFormatting sqref="F123:G123">
    <cfRule type="expression" dxfId="366" priority="29">
      <formula>kvartal &lt; 4</formula>
    </cfRule>
  </conditionalFormatting>
  <conditionalFormatting sqref="J115:K115">
    <cfRule type="expression" dxfId="365" priority="12">
      <formula>kvartal &lt; 4</formula>
    </cfRule>
  </conditionalFormatting>
  <conditionalFormatting sqref="J123:K123">
    <cfRule type="expression" dxfId="364" priority="11">
      <formula>kvartal &lt; 4</formula>
    </cfRule>
  </conditionalFormatting>
  <conditionalFormatting sqref="A50:A52">
    <cfRule type="expression" dxfId="363" priority="8">
      <formula>kvartal &lt; 4</formula>
    </cfRule>
  </conditionalFormatting>
  <conditionalFormatting sqref="A69:A74">
    <cfRule type="expression" dxfId="362" priority="7">
      <formula>kvartal &lt; 4</formula>
    </cfRule>
  </conditionalFormatting>
  <conditionalFormatting sqref="A80:A85">
    <cfRule type="expression" dxfId="361" priority="6">
      <formula>kvartal &lt; 4</formula>
    </cfRule>
  </conditionalFormatting>
  <conditionalFormatting sqref="A90:A95">
    <cfRule type="expression" dxfId="360" priority="5">
      <formula>kvartal &lt; 4</formula>
    </cfRule>
  </conditionalFormatting>
  <conditionalFormatting sqref="A101:A106">
    <cfRule type="expression" dxfId="359" priority="4">
      <formula>kvartal &lt; 4</formula>
    </cfRule>
  </conditionalFormatting>
  <conditionalFormatting sqref="A115">
    <cfRule type="expression" dxfId="358" priority="3">
      <formula>kvartal &lt; 4</formula>
    </cfRule>
  </conditionalFormatting>
  <conditionalFormatting sqref="A123">
    <cfRule type="expression" dxfId="357"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71</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v>24610.40266</v>
      </c>
      <c r="G7" s="310"/>
      <c r="H7" s="352">
        <f>IF(F7=0, "    ---- ", IF(ABS(ROUND(100/F7*G7-100,1))&lt;999,ROUND(100/F7*G7-100,1),IF(ROUND(100/F7*G7-100,1)&gt;999,999,-999)))</f>
        <v>-100</v>
      </c>
      <c r="I7" s="160">
        <f>IFERROR(100/'Skjema total MA'!F7*G7,0)</f>
        <v>0</v>
      </c>
      <c r="J7" s="311">
        <f t="shared" ref="J7:K12" si="0">SUM(B7,F7)</f>
        <v>24610.40266</v>
      </c>
      <c r="K7" s="312">
        <f t="shared" si="0"/>
        <v>0</v>
      </c>
      <c r="L7" s="424">
        <f>IF(J7=0, "    ---- ", IF(ABS(ROUND(100/J7*K7-100,1))&lt;999,ROUND(100/J7*K7-100,1),IF(ROUND(100/J7*K7-100,1)&gt;999,999,-999)))</f>
        <v>-100</v>
      </c>
      <c r="M7" s="11">
        <f>IFERROR(100/'Skjema total MA'!I7*K7,0)</f>
        <v>0</v>
      </c>
    </row>
    <row r="8" spans="1:14" ht="15.75" x14ac:dyDescent="0.2">
      <c r="A8" s="21" t="s">
        <v>25</v>
      </c>
      <c r="B8" s="286"/>
      <c r="C8" s="287"/>
      <c r="D8" s="166"/>
      <c r="E8" s="27"/>
      <c r="F8" s="290"/>
      <c r="G8" s="291"/>
      <c r="H8" s="166"/>
      <c r="I8" s="176"/>
      <c r="J8" s="234"/>
      <c r="K8" s="292"/>
      <c r="L8" s="166"/>
      <c r="M8" s="27"/>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v>1214430.7515199999</v>
      </c>
      <c r="G10" s="314"/>
      <c r="H10" s="171">
        <f t="shared" ref="H10:H12" si="1">IF(F10=0, "    ---- ", IF(ABS(ROUND(100/F10*G10-100,1))&lt;999,ROUND(100/F10*G10-100,1),IF(ROUND(100/F10*G10-100,1)&gt;999,999,-999)))</f>
        <v>-100</v>
      </c>
      <c r="I10" s="160">
        <f>IFERROR(100/'Skjema total MA'!F10*G10,0)</f>
        <v>0</v>
      </c>
      <c r="J10" s="311">
        <f t="shared" si="0"/>
        <v>1214430.7515199999</v>
      </c>
      <c r="K10" s="312">
        <f t="shared" si="0"/>
        <v>0</v>
      </c>
      <c r="L10" s="425">
        <f t="shared" ref="L10:L12" si="2">IF(J10=0, "    ---- ", IF(ABS(ROUND(100/J10*K10-100,1))&lt;999,ROUND(100/J10*K10-100,1),IF(ROUND(100/J10*K10-100,1)&gt;999,999,-999)))</f>
        <v>-100</v>
      </c>
      <c r="M10" s="11">
        <f>IFERROR(100/'Skjema total MA'!I10*K10,0)</f>
        <v>0</v>
      </c>
    </row>
    <row r="11" spans="1:14" s="43" customFormat="1" ht="15.75" x14ac:dyDescent="0.2">
      <c r="A11" s="13" t="s">
        <v>349</v>
      </c>
      <c r="B11" s="313"/>
      <c r="C11" s="314"/>
      <c r="D11" s="171"/>
      <c r="E11" s="11"/>
      <c r="F11" s="313">
        <v>5129.3289999999997</v>
      </c>
      <c r="G11" s="314"/>
      <c r="H11" s="171">
        <f t="shared" si="1"/>
        <v>-100</v>
      </c>
      <c r="I11" s="160">
        <f>IFERROR(100/'Skjema total MA'!F11*G11,0)</f>
        <v>0</v>
      </c>
      <c r="J11" s="311">
        <f t="shared" si="0"/>
        <v>5129.3289999999997</v>
      </c>
      <c r="K11" s="312">
        <f t="shared" si="0"/>
        <v>0</v>
      </c>
      <c r="L11" s="425">
        <f t="shared" si="2"/>
        <v>-100</v>
      </c>
      <c r="M11" s="11">
        <f>IFERROR(100/'Skjema total MA'!I11*K11,0)</f>
        <v>0</v>
      </c>
      <c r="N11" s="143"/>
    </row>
    <row r="12" spans="1:14" s="43" customFormat="1" ht="15.75" x14ac:dyDescent="0.2">
      <c r="A12" s="41" t="s">
        <v>350</v>
      </c>
      <c r="B12" s="315"/>
      <c r="C12" s="316"/>
      <c r="D12" s="169"/>
      <c r="E12" s="36"/>
      <c r="F12" s="315">
        <v>2024.0945400000001</v>
      </c>
      <c r="G12" s="316"/>
      <c r="H12" s="169">
        <f t="shared" si="1"/>
        <v>-100</v>
      </c>
      <c r="I12" s="169">
        <f>IFERROR(100/'Skjema total MA'!F12*G12,0)</f>
        <v>0</v>
      </c>
      <c r="J12" s="317">
        <f t="shared" si="0"/>
        <v>2024.0945400000001</v>
      </c>
      <c r="K12" s="318">
        <f t="shared" si="0"/>
        <v>0</v>
      </c>
      <c r="L12" s="426">
        <f t="shared" si="2"/>
        <v>-100</v>
      </c>
      <c r="M12" s="36">
        <f>IFERROR(100/'Skjema total MA'!I12*K12,0)</f>
        <v>0</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v>7297.3219600000002</v>
      </c>
      <c r="G22" s="321"/>
      <c r="H22" s="352">
        <f t="shared" ref="H22:H35" si="3">IF(F22=0, "    ---- ", IF(ABS(ROUND(100/F22*G22-100,1))&lt;999,ROUND(100/F22*G22-100,1),IF(ROUND(100/F22*G22-100,1)&gt;999,999,-999)))</f>
        <v>-100</v>
      </c>
      <c r="I22" s="11">
        <f>IFERROR(100/'Skjema total MA'!F22*G22,0)</f>
        <v>0</v>
      </c>
      <c r="J22" s="319">
        <f t="shared" ref="J22:K35" si="4">SUM(B22,F22)</f>
        <v>7297.3219600000002</v>
      </c>
      <c r="K22" s="319">
        <f t="shared" si="4"/>
        <v>0</v>
      </c>
      <c r="L22" s="424">
        <f t="shared" ref="L22:L35" si="5">IF(J22=0, "    ---- ", IF(ABS(ROUND(100/J22*K22-100,1))&lt;999,ROUND(100/J22*K22-100,1),IF(ROUND(100/J22*K22-100,1)&gt;999,999,-999)))</f>
        <v>-100</v>
      </c>
      <c r="M22" s="24">
        <f>IFERROR(100/'Skjema total MA'!I22*K22,0)</f>
        <v>0</v>
      </c>
    </row>
    <row r="23" spans="1:14" ht="15.75" x14ac:dyDescent="0.2">
      <c r="A23" s="507" t="s">
        <v>351</v>
      </c>
      <c r="B23" s="286"/>
      <c r="C23" s="286"/>
      <c r="D23" s="166"/>
      <c r="E23" s="11"/>
      <c r="F23" s="294">
        <v>69.400000000000006</v>
      </c>
      <c r="G23" s="294"/>
      <c r="H23" s="166">
        <f t="shared" si="3"/>
        <v>-100</v>
      </c>
      <c r="I23" s="414">
        <f>IFERROR(100/'Skjema total MA'!F23*G23,0)</f>
        <v>0</v>
      </c>
      <c r="J23" s="294">
        <f t="shared" ref="J23:J26" si="6">SUM(B23,F23)</f>
        <v>69.400000000000006</v>
      </c>
      <c r="K23" s="294">
        <f t="shared" ref="K23:K26" si="7">SUM(C23,G23)</f>
        <v>0</v>
      </c>
      <c r="L23" s="166">
        <f t="shared" si="5"/>
        <v>-100</v>
      </c>
      <c r="M23" s="23">
        <f>IFERROR(100/'Skjema total MA'!I23*K23,0)</f>
        <v>0</v>
      </c>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v>7227.9219599999997</v>
      </c>
      <c r="G26" s="294"/>
      <c r="H26" s="166">
        <f t="shared" si="3"/>
        <v>-100</v>
      </c>
      <c r="I26" s="414">
        <f>IFERROR(100/'Skjema total MA'!F26*G26,0)</f>
        <v>0</v>
      </c>
      <c r="J26" s="294">
        <f t="shared" si="6"/>
        <v>7227.9219599999997</v>
      </c>
      <c r="K26" s="294">
        <f t="shared" si="7"/>
        <v>0</v>
      </c>
      <c r="L26" s="166">
        <f t="shared" si="5"/>
        <v>-100</v>
      </c>
      <c r="M26" s="23">
        <f>IFERROR(100/'Skjema total MA'!I26*K26,0)</f>
        <v>0</v>
      </c>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v>1034377.58444</v>
      </c>
      <c r="G29" s="311"/>
      <c r="H29" s="171">
        <f t="shared" si="3"/>
        <v>-100</v>
      </c>
      <c r="I29" s="11">
        <f>IFERROR(100/'Skjema total MA'!F29*G29,0)</f>
        <v>0</v>
      </c>
      <c r="J29" s="236">
        <f t="shared" si="4"/>
        <v>1034377.58444</v>
      </c>
      <c r="K29" s="236">
        <f t="shared" si="4"/>
        <v>0</v>
      </c>
      <c r="L29" s="425">
        <f t="shared" si="5"/>
        <v>-100</v>
      </c>
      <c r="M29" s="24">
        <f>IFERROR(100/'Skjema total MA'!I29*K29,0)</f>
        <v>0</v>
      </c>
      <c r="N29" s="148"/>
    </row>
    <row r="30" spans="1:14" s="3" customFormat="1" ht="15.75" x14ac:dyDescent="0.2">
      <c r="A30" s="507" t="s">
        <v>351</v>
      </c>
      <c r="B30" s="286"/>
      <c r="C30" s="286"/>
      <c r="D30" s="166"/>
      <c r="E30" s="11"/>
      <c r="F30" s="294">
        <v>113072.66829</v>
      </c>
      <c r="G30" s="294"/>
      <c r="H30" s="166">
        <f t="shared" si="3"/>
        <v>-100</v>
      </c>
      <c r="I30" s="414">
        <f>IFERROR(100/'Skjema total MA'!F30*G30,0)</f>
        <v>0</v>
      </c>
      <c r="J30" s="294">
        <f t="shared" ref="J30:J33" si="8">SUM(B30,F30)</f>
        <v>113072.66829</v>
      </c>
      <c r="K30" s="294">
        <f t="shared" ref="K30:K33" si="9">SUM(C30,G30)</f>
        <v>0</v>
      </c>
      <c r="L30" s="166">
        <f t="shared" si="5"/>
        <v>-100</v>
      </c>
      <c r="M30" s="23">
        <f>IFERROR(100/'Skjema total MA'!I30*K30,0)</f>
        <v>0</v>
      </c>
      <c r="N30" s="148"/>
    </row>
    <row r="31" spans="1:14" s="3" customFormat="1" ht="15.75" x14ac:dyDescent="0.2">
      <c r="A31" s="507" t="s">
        <v>352</v>
      </c>
      <c r="B31" s="286"/>
      <c r="C31" s="286"/>
      <c r="D31" s="166"/>
      <c r="E31" s="11"/>
      <c r="F31" s="294">
        <v>610844.91192999994</v>
      </c>
      <c r="G31" s="294"/>
      <c r="H31" s="166">
        <f t="shared" si="3"/>
        <v>-100</v>
      </c>
      <c r="I31" s="414">
        <f>IFERROR(100/'Skjema total MA'!F31*G31,0)</f>
        <v>0</v>
      </c>
      <c r="J31" s="294">
        <f t="shared" si="8"/>
        <v>610844.91192999994</v>
      </c>
      <c r="K31" s="294">
        <f t="shared" si="9"/>
        <v>0</v>
      </c>
      <c r="L31" s="166">
        <f t="shared" si="5"/>
        <v>-100</v>
      </c>
      <c r="M31" s="23">
        <f>IFERROR(100/'Skjema total MA'!I31*K31,0)</f>
        <v>0</v>
      </c>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v>334697.26150000002</v>
      </c>
      <c r="G33" s="294"/>
      <c r="H33" s="166">
        <f t="shared" si="3"/>
        <v>-100</v>
      </c>
      <c r="I33" s="414">
        <f>IFERROR(100/'Skjema total MA'!F34*G33,0)</f>
        <v>0</v>
      </c>
      <c r="J33" s="294">
        <f t="shared" si="8"/>
        <v>334697.26150000002</v>
      </c>
      <c r="K33" s="294">
        <f t="shared" si="9"/>
        <v>0</v>
      </c>
      <c r="L33" s="166">
        <f t="shared" si="5"/>
        <v>-100</v>
      </c>
      <c r="M33" s="23">
        <f>IFERROR(100/'Skjema total MA'!I34*K33,0)</f>
        <v>0</v>
      </c>
    </row>
    <row r="34" spans="1:14" ht="15.75" x14ac:dyDescent="0.2">
      <c r="A34" s="13" t="s">
        <v>349</v>
      </c>
      <c r="B34" s="236"/>
      <c r="C34" s="312"/>
      <c r="D34" s="171"/>
      <c r="E34" s="11"/>
      <c r="F34" s="311">
        <v>591.35799999999995</v>
      </c>
      <c r="G34" s="312"/>
      <c r="H34" s="171">
        <f t="shared" si="3"/>
        <v>-100</v>
      </c>
      <c r="I34" s="11">
        <f>IFERROR(100/'Skjema total MA'!F34*G34,0)</f>
        <v>0</v>
      </c>
      <c r="J34" s="236">
        <f t="shared" si="4"/>
        <v>591.35799999999995</v>
      </c>
      <c r="K34" s="236">
        <f t="shared" si="4"/>
        <v>0</v>
      </c>
      <c r="L34" s="425">
        <f t="shared" si="5"/>
        <v>-100</v>
      </c>
      <c r="M34" s="24">
        <f>IFERROR(100/'Skjema total MA'!I34*K34,0)</f>
        <v>0</v>
      </c>
    </row>
    <row r="35" spans="1:14" ht="15.75" x14ac:dyDescent="0.2">
      <c r="A35" s="13" t="s">
        <v>350</v>
      </c>
      <c r="B35" s="236"/>
      <c r="C35" s="312"/>
      <c r="D35" s="171"/>
      <c r="E35" s="11"/>
      <c r="F35" s="311">
        <v>3185.17641</v>
      </c>
      <c r="G35" s="312"/>
      <c r="H35" s="171">
        <f t="shared" si="3"/>
        <v>-100</v>
      </c>
      <c r="I35" s="11">
        <f>IFERROR(100/'Skjema total MA'!F35*G35,0)</f>
        <v>0</v>
      </c>
      <c r="J35" s="236">
        <f t="shared" si="4"/>
        <v>3185.17641</v>
      </c>
      <c r="K35" s="236">
        <f t="shared" si="4"/>
        <v>0</v>
      </c>
      <c r="L35" s="425">
        <f t="shared" si="5"/>
        <v>-100</v>
      </c>
      <c r="M35" s="24">
        <f>IFERROR(100/'Skjema total MA'!I35*K35,0)</f>
        <v>0</v>
      </c>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c r="D47" s="424"/>
      <c r="E47" s="11"/>
      <c r="F47" s="145"/>
      <c r="G47" s="33"/>
      <c r="H47" s="159"/>
      <c r="I47" s="159"/>
      <c r="J47" s="37"/>
      <c r="K47" s="37"/>
      <c r="L47" s="159"/>
      <c r="M47" s="159"/>
      <c r="N47" s="148"/>
    </row>
    <row r="48" spans="1:14" s="3" customFormat="1" ht="15.75" x14ac:dyDescent="0.2">
      <c r="A48" s="38" t="s">
        <v>359</v>
      </c>
      <c r="B48" s="286"/>
      <c r="C48" s="287"/>
      <c r="D48" s="259"/>
      <c r="E48" s="27"/>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v>2.85</v>
      </c>
      <c r="G66" s="354"/>
      <c r="H66" s="352">
        <f t="shared" ref="H66:H111" si="10">IF(F66=0, "    ---- ", IF(ABS(ROUND(100/F66*G66-100,1))&lt;999,ROUND(100/F66*G66-100,1),IF(ROUND(100/F66*G66-100,1)&gt;999,999,-999)))</f>
        <v>-100</v>
      </c>
      <c r="I66" s="11">
        <f>IFERROR(100/'Skjema total MA'!F66*G66,0)</f>
        <v>0</v>
      </c>
      <c r="J66" s="312">
        <f t="shared" ref="J66:K86" si="11">SUM(B66,F66)</f>
        <v>2.85</v>
      </c>
      <c r="K66" s="319">
        <f t="shared" si="11"/>
        <v>0</v>
      </c>
      <c r="L66" s="425">
        <f t="shared" ref="L66:L111" si="12">IF(J66=0, "    ---- ", IF(ABS(ROUND(100/J66*K66-100,1))&lt;999,ROUND(100/J66*K66-100,1),IF(ROUND(100/J66*K66-100,1)&gt;999,999,-999)))</f>
        <v>-100</v>
      </c>
      <c r="M66" s="11">
        <f>IFERROR(100/'Skjema total MA'!I66*K66,0)</f>
        <v>0</v>
      </c>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v>2.85</v>
      </c>
      <c r="G68" s="297"/>
      <c r="H68" s="166">
        <f t="shared" si="10"/>
        <v>-100</v>
      </c>
      <c r="I68" s="27">
        <f>IFERROR(100/'Skjema total MA'!F68*G68,0)</f>
        <v>0</v>
      </c>
      <c r="J68" s="292">
        <f t="shared" si="11"/>
        <v>2.85</v>
      </c>
      <c r="K68" s="44">
        <f t="shared" si="11"/>
        <v>0</v>
      </c>
      <c r="L68" s="259">
        <f t="shared" si="12"/>
        <v>-100</v>
      </c>
      <c r="M68" s="27">
        <f>IFERROR(100/'Skjema total MA'!I68*K68,0)</f>
        <v>0</v>
      </c>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v>2.85</v>
      </c>
      <c r="G86" s="145"/>
      <c r="H86" s="166">
        <f t="shared" si="10"/>
        <v>-100</v>
      </c>
      <c r="I86" s="27">
        <f>IFERROR(100/'Skjema total MA'!F86*G86,0)</f>
        <v>0</v>
      </c>
      <c r="J86" s="292">
        <f t="shared" si="11"/>
        <v>2.85</v>
      </c>
      <c r="K86" s="44">
        <f t="shared" si="11"/>
        <v>0</v>
      </c>
      <c r="L86" s="259">
        <f t="shared" si="12"/>
        <v>-100</v>
      </c>
      <c r="M86" s="27">
        <f>IFERROR(100/'Skjema total MA'!I86*K86,0)</f>
        <v>0</v>
      </c>
    </row>
    <row r="87" spans="1:13" ht="15.75" x14ac:dyDescent="0.2">
      <c r="A87" s="13" t="s">
        <v>348</v>
      </c>
      <c r="B87" s="355"/>
      <c r="C87" s="355"/>
      <c r="D87" s="171"/>
      <c r="E87" s="11"/>
      <c r="F87" s="354">
        <v>681118.53899000003</v>
      </c>
      <c r="G87" s="354"/>
      <c r="H87" s="171">
        <f t="shared" si="10"/>
        <v>-100</v>
      </c>
      <c r="I87" s="11">
        <f>IFERROR(100/'Skjema total MA'!F87*G87,0)</f>
        <v>0</v>
      </c>
      <c r="J87" s="312">
        <f t="shared" ref="J87:K111" si="13">SUM(B87,F87)</f>
        <v>681118.53899000003</v>
      </c>
      <c r="K87" s="236">
        <f t="shared" si="13"/>
        <v>0</v>
      </c>
      <c r="L87" s="425">
        <f t="shared" si="12"/>
        <v>-100</v>
      </c>
      <c r="M87" s="11">
        <f>IFERROR(100/'Skjema total MA'!I87*K87,0)</f>
        <v>0</v>
      </c>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v>681118.53899000003</v>
      </c>
      <c r="G89" s="145"/>
      <c r="H89" s="166">
        <f t="shared" si="10"/>
        <v>-100</v>
      </c>
      <c r="I89" s="27">
        <f>IFERROR(100/'Skjema total MA'!F89*G89,0)</f>
        <v>0</v>
      </c>
      <c r="J89" s="292">
        <f t="shared" si="13"/>
        <v>681118.53899000003</v>
      </c>
      <c r="K89" s="44">
        <f t="shared" si="13"/>
        <v>0</v>
      </c>
      <c r="L89" s="259">
        <f t="shared" si="12"/>
        <v>-100</v>
      </c>
      <c r="M89" s="27">
        <f>IFERROR(100/'Skjema total MA'!I89*K89,0)</f>
        <v>0</v>
      </c>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v>681118.53899000003</v>
      </c>
      <c r="G107" s="145"/>
      <c r="H107" s="166">
        <f t="shared" si="10"/>
        <v>-100</v>
      </c>
      <c r="I107" s="27">
        <f>IFERROR(100/'Skjema total MA'!F107*G107,0)</f>
        <v>0</v>
      </c>
      <c r="J107" s="292">
        <f t="shared" si="13"/>
        <v>681118.53899000003</v>
      </c>
      <c r="K107" s="44">
        <f t="shared" si="13"/>
        <v>0</v>
      </c>
      <c r="L107" s="259">
        <f t="shared" si="12"/>
        <v>-100</v>
      </c>
      <c r="M107" s="27">
        <f>IFERROR(100/'Skjema total MA'!I107*K107,0)</f>
        <v>0</v>
      </c>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v>501962.35320000001</v>
      </c>
      <c r="G109" s="234"/>
      <c r="H109" s="166">
        <f t="shared" si="10"/>
        <v>-100</v>
      </c>
      <c r="I109" s="27">
        <f>IFERROR(100/'Skjema total MA'!F109*G109,0)</f>
        <v>0</v>
      </c>
      <c r="J109" s="292">
        <f t="shared" si="13"/>
        <v>501962.35320000001</v>
      </c>
      <c r="K109" s="44">
        <f t="shared" si="13"/>
        <v>0</v>
      </c>
      <c r="L109" s="259">
        <f t="shared" si="12"/>
        <v>-100</v>
      </c>
      <c r="M109" s="27">
        <f>IFERROR(100/'Skjema total MA'!I109*K109,0)</f>
        <v>0</v>
      </c>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v>6719.3419999999996</v>
      </c>
      <c r="G111" s="159"/>
      <c r="H111" s="171">
        <f t="shared" si="10"/>
        <v>-100</v>
      </c>
      <c r="I111" s="11">
        <f>IFERROR(100/'Skjema total MA'!F111*G111,0)</f>
        <v>0</v>
      </c>
      <c r="J111" s="312">
        <f t="shared" si="13"/>
        <v>6719.3419999999996</v>
      </c>
      <c r="K111" s="236">
        <f t="shared" si="13"/>
        <v>0</v>
      </c>
      <c r="L111" s="425">
        <f t="shared" si="12"/>
        <v>-100</v>
      </c>
      <c r="M111" s="11">
        <f>IFERROR(100/'Skjema total MA'!I111*K111,0)</f>
        <v>0</v>
      </c>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v>6719.3419999999996</v>
      </c>
      <c r="G113" s="145"/>
      <c r="H113" s="166">
        <f t="shared" ref="H113:H125" si="14">IF(F113=0, "    ---- ", IF(ABS(ROUND(100/F113*G113-100,1))&lt;999,ROUND(100/F113*G113-100,1),IF(ROUND(100/F113*G113-100,1)&gt;999,999,-999)))</f>
        <v>-100</v>
      </c>
      <c r="I113" s="27">
        <f>IFERROR(100/'Skjema total MA'!F113*G113,0)</f>
        <v>0</v>
      </c>
      <c r="J113" s="292">
        <f t="shared" ref="J113:K125" si="15">SUM(B113,F113)</f>
        <v>6719.3419999999996</v>
      </c>
      <c r="K113" s="44">
        <f t="shared" si="15"/>
        <v>0</v>
      </c>
      <c r="L113" s="259">
        <f t="shared" ref="L113:L125" si="16">IF(J113=0, "    ---- ", IF(ABS(ROUND(100/J113*K113-100,1))&lt;999,ROUND(100/J113*K113-100,1),IF(ROUND(100/J113*K113-100,1)&gt;999,999,-999)))</f>
        <v>-100</v>
      </c>
      <c r="M113" s="27">
        <f>IFERROR(100/'Skjema total MA'!I113*K113,0)</f>
        <v>0</v>
      </c>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v>6719.3419999999996</v>
      </c>
      <c r="G117" s="234"/>
      <c r="H117" s="166">
        <f t="shared" si="14"/>
        <v>-100</v>
      </c>
      <c r="I117" s="27">
        <f>IFERROR(100/'Skjema total MA'!F117*G117,0)</f>
        <v>0</v>
      </c>
      <c r="J117" s="292">
        <f t="shared" si="15"/>
        <v>6719.3419999999996</v>
      </c>
      <c r="K117" s="44">
        <f t="shared" si="15"/>
        <v>0</v>
      </c>
      <c r="L117" s="259">
        <f t="shared" si="16"/>
        <v>-100</v>
      </c>
      <c r="M117" s="27">
        <f>IFERROR(100/'Skjema total MA'!I117*K117,0)</f>
        <v>0</v>
      </c>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v>21157.43852</v>
      </c>
      <c r="G119" s="159"/>
      <c r="H119" s="171">
        <f t="shared" si="14"/>
        <v>-100</v>
      </c>
      <c r="I119" s="11">
        <f>IFERROR(100/'Skjema total MA'!F119*G119,0)</f>
        <v>0</v>
      </c>
      <c r="J119" s="312">
        <f t="shared" si="15"/>
        <v>21157.43852</v>
      </c>
      <c r="K119" s="236">
        <f t="shared" si="15"/>
        <v>0</v>
      </c>
      <c r="L119" s="425">
        <f t="shared" si="16"/>
        <v>-100</v>
      </c>
      <c r="M119" s="11">
        <f>IFERROR(100/'Skjema total MA'!I119*K119,0)</f>
        <v>0</v>
      </c>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v>21157.43852</v>
      </c>
      <c r="G121" s="145"/>
      <c r="H121" s="166">
        <f t="shared" si="14"/>
        <v>-100</v>
      </c>
      <c r="I121" s="27">
        <f>IFERROR(100/'Skjema total MA'!F121*G121,0)</f>
        <v>0</v>
      </c>
      <c r="J121" s="292">
        <f t="shared" si="15"/>
        <v>21157.43852</v>
      </c>
      <c r="K121" s="44">
        <f t="shared" si="15"/>
        <v>0</v>
      </c>
      <c r="L121" s="259">
        <f t="shared" si="16"/>
        <v>-100</v>
      </c>
      <c r="M121" s="27">
        <f>IFERROR(100/'Skjema total MA'!I121*K121,0)</f>
        <v>0</v>
      </c>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v>21157.43852</v>
      </c>
      <c r="G125" s="234"/>
      <c r="H125" s="166">
        <f t="shared" si="14"/>
        <v>-100</v>
      </c>
      <c r="I125" s="27">
        <f>IFERROR(100/'Skjema total MA'!F125*G125,0)</f>
        <v>0</v>
      </c>
      <c r="J125" s="292">
        <f t="shared" si="15"/>
        <v>21157.43852</v>
      </c>
      <c r="K125" s="44">
        <f t="shared" si="15"/>
        <v>0</v>
      </c>
      <c r="L125" s="259">
        <f t="shared" si="16"/>
        <v>-100</v>
      </c>
      <c r="M125" s="27">
        <f>IFERROR(100/'Skjema total MA'!I125*K125,0)</f>
        <v>0</v>
      </c>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56" priority="132">
      <formula>kvartal &lt; 4</formula>
    </cfRule>
  </conditionalFormatting>
  <conditionalFormatting sqref="B115">
    <cfRule type="expression" dxfId="355" priority="76">
      <formula>kvartal &lt; 4</formula>
    </cfRule>
  </conditionalFormatting>
  <conditionalFormatting sqref="C115">
    <cfRule type="expression" dxfId="354" priority="75">
      <formula>kvartal &lt; 4</formula>
    </cfRule>
  </conditionalFormatting>
  <conditionalFormatting sqref="B123">
    <cfRule type="expression" dxfId="353" priority="74">
      <formula>kvartal &lt; 4</formula>
    </cfRule>
  </conditionalFormatting>
  <conditionalFormatting sqref="C123">
    <cfRule type="expression" dxfId="352" priority="73">
      <formula>kvartal &lt; 4</formula>
    </cfRule>
  </conditionalFormatting>
  <conditionalFormatting sqref="F115">
    <cfRule type="expression" dxfId="351" priority="58">
      <formula>kvartal &lt; 4</formula>
    </cfRule>
  </conditionalFormatting>
  <conditionalFormatting sqref="G115">
    <cfRule type="expression" dxfId="350" priority="57">
      <formula>kvartal &lt; 4</formula>
    </cfRule>
  </conditionalFormatting>
  <conditionalFormatting sqref="F123:G123">
    <cfRule type="expression" dxfId="349" priority="56">
      <formula>kvartal &lt; 4</formula>
    </cfRule>
  </conditionalFormatting>
  <conditionalFormatting sqref="J115:K115">
    <cfRule type="expression" dxfId="348" priority="32">
      <formula>kvartal &lt; 4</formula>
    </cfRule>
  </conditionalFormatting>
  <conditionalFormatting sqref="J123:K123">
    <cfRule type="expression" dxfId="347" priority="31">
      <formula>kvartal &lt; 4</formula>
    </cfRule>
  </conditionalFormatting>
  <conditionalFormatting sqref="A50:A52">
    <cfRule type="expression" dxfId="346" priority="12">
      <formula>kvartal &lt; 4</formula>
    </cfRule>
  </conditionalFormatting>
  <conditionalFormatting sqref="A69:A74">
    <cfRule type="expression" dxfId="345" priority="10">
      <formula>kvartal &lt; 4</formula>
    </cfRule>
  </conditionalFormatting>
  <conditionalFormatting sqref="A80:A85">
    <cfRule type="expression" dxfId="344" priority="9">
      <formula>kvartal &lt; 4</formula>
    </cfRule>
  </conditionalFormatting>
  <conditionalFormatting sqref="A90:A95">
    <cfRule type="expression" dxfId="343" priority="6">
      <formula>kvartal &lt; 4</formula>
    </cfRule>
  </conditionalFormatting>
  <conditionalFormatting sqref="A101:A106">
    <cfRule type="expression" dxfId="342" priority="5">
      <formula>kvartal &lt; 4</formula>
    </cfRule>
  </conditionalFormatting>
  <conditionalFormatting sqref="A115">
    <cfRule type="expression" dxfId="341" priority="4">
      <formula>kvartal &lt; 4</formula>
    </cfRule>
  </conditionalFormatting>
  <conditionalFormatting sqref="A123">
    <cfRule type="expression" dxfId="340" priority="3">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zoomScaleSheetLayoutView="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129</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1370.8782000000001</v>
      </c>
      <c r="C7" s="310">
        <v>1211.8048899999999</v>
      </c>
      <c r="D7" s="352">
        <v>-11.6</v>
      </c>
      <c r="E7" s="11">
        <f>IFERROR(100/'Skjema total MA'!C7*C7,0)</f>
        <v>6.4143703869498289E-2</v>
      </c>
      <c r="F7" s="309">
        <v>174199.93539</v>
      </c>
      <c r="G7" s="310">
        <v>167381.53956</v>
      </c>
      <c r="H7" s="352">
        <f>IF(F7=0, "    ---- ", IF(ABS(ROUND(100/F7*G7-100,1))&lt;999,ROUND(100/F7*G7-100,1),IF(ROUND(100/F7*G7-100,1)&gt;999,999,-999)))</f>
        <v>-3.9</v>
      </c>
      <c r="I7" s="160">
        <f>IFERROR(100/'Skjema total MA'!F7*G7,0)</f>
        <v>6.192759595386871</v>
      </c>
      <c r="J7" s="311">
        <f t="shared" ref="J7:K12" si="0">SUM(B7,F7)</f>
        <v>175570.81359000001</v>
      </c>
      <c r="K7" s="312">
        <f t="shared" si="0"/>
        <v>168593.34445</v>
      </c>
      <c r="L7" s="424">
        <f>IF(J7=0, "    ---- ", IF(ABS(ROUND(100/J7*K7-100,1))&lt;999,ROUND(100/J7*K7-100,1),IF(ROUND(100/J7*K7-100,1)&gt;999,999,-999)))</f>
        <v>-4</v>
      </c>
      <c r="M7" s="11">
        <f>IFERROR(100/'Skjema total MA'!I7*K7,0)</f>
        <v>3.6714084041019244</v>
      </c>
    </row>
    <row r="8" spans="1:14" ht="15.75" x14ac:dyDescent="0.2">
      <c r="A8" s="21" t="s">
        <v>25</v>
      </c>
      <c r="B8" s="286">
        <v>1350.1421800000001</v>
      </c>
      <c r="C8" s="287">
        <v>1167.0750499999999</v>
      </c>
      <c r="D8" s="166">
        <v>-13.6</v>
      </c>
      <c r="E8" s="27">
        <f>IFERROR(100/'Skjema total MA'!C8*C8,0)</f>
        <v>9.5678783703266768E-2</v>
      </c>
      <c r="F8" s="290"/>
      <c r="G8" s="291"/>
      <c r="H8" s="166"/>
      <c r="I8" s="176"/>
      <c r="J8" s="234">
        <f t="shared" si="0"/>
        <v>1350.1421800000001</v>
      </c>
      <c r="K8" s="292">
        <f t="shared" si="0"/>
        <v>1167.0750499999999</v>
      </c>
      <c r="L8" s="166">
        <f t="shared" ref="L8:L9" si="1">IF(J8=0, "    ---- ", IF(ABS(ROUND(100/J8*K8-100,1))&lt;999,ROUND(100/J8*K8-100,1),IF(ROUND(100/J8*K8-100,1)&gt;999,999,-999)))</f>
        <v>-13.6</v>
      </c>
      <c r="M8" s="27">
        <f>IFERROR(100/'Skjema total MA'!I8*K8,0)</f>
        <v>9.5678783703266768E-2</v>
      </c>
    </row>
    <row r="9" spans="1:14" ht="15.75" x14ac:dyDescent="0.2">
      <c r="A9" s="21" t="s">
        <v>24</v>
      </c>
      <c r="B9" s="286">
        <v>520.48964999999998</v>
      </c>
      <c r="C9" s="287">
        <v>465.40064000000001</v>
      </c>
      <c r="D9" s="166">
        <v>-10.6</v>
      </c>
      <c r="E9" s="27">
        <f>IFERROR(100/'Skjema total MA'!C9*C9,0)</f>
        <v>0.10660555530521623</v>
      </c>
      <c r="F9" s="290"/>
      <c r="G9" s="291"/>
      <c r="H9" s="166"/>
      <c r="I9" s="176"/>
      <c r="J9" s="234">
        <f t="shared" si="0"/>
        <v>520.48964999999998</v>
      </c>
      <c r="K9" s="292">
        <f t="shared" si="0"/>
        <v>465.40064000000001</v>
      </c>
      <c r="L9" s="166">
        <f t="shared" si="1"/>
        <v>-10.6</v>
      </c>
      <c r="M9" s="27">
        <f>IFERROR(100/'Skjema total MA'!I9*K9,0)</f>
        <v>0.10660555530521623</v>
      </c>
    </row>
    <row r="10" spans="1:14" ht="15.75" x14ac:dyDescent="0.2">
      <c r="A10" s="13" t="s">
        <v>348</v>
      </c>
      <c r="B10" s="313">
        <v>376972.25904999999</v>
      </c>
      <c r="C10" s="314">
        <v>333851.85872000002</v>
      </c>
      <c r="D10" s="171">
        <v>-11.4</v>
      </c>
      <c r="E10" s="11">
        <f>IFERROR(100/'Skjema total MA'!C10*C10,0)</f>
        <v>2.2643659583319158</v>
      </c>
      <c r="F10" s="313">
        <v>4121989.07755</v>
      </c>
      <c r="G10" s="314">
        <v>4611101.5446800003</v>
      </c>
      <c r="H10" s="171">
        <f t="shared" ref="H10:H12" si="2">IF(F10=0, "    ---- ", IF(ABS(ROUND(100/F10*G10-100,1))&lt;999,ROUND(100/F10*G10-100,1),IF(ROUND(100/F10*G10-100,1)&gt;999,999,-999)))</f>
        <v>11.9</v>
      </c>
      <c r="I10" s="160">
        <f>IFERROR(100/'Skjema total MA'!F10*G10,0)</f>
        <v>6.1052965776563095</v>
      </c>
      <c r="J10" s="311">
        <f t="shared" si="0"/>
        <v>4498961.3366</v>
      </c>
      <c r="K10" s="312">
        <f t="shared" si="0"/>
        <v>4944953.4034000002</v>
      </c>
      <c r="L10" s="425">
        <f t="shared" ref="L10:L12" si="3">IF(J10=0, "    ---- ", IF(ABS(ROUND(100/J10*K10-100,1))&lt;999,ROUND(100/J10*K10-100,1),IF(ROUND(100/J10*K10-100,1)&gt;999,999,-999)))</f>
        <v>9.9</v>
      </c>
      <c r="M10" s="11">
        <f>IFERROR(100/'Skjema total MA'!I10*K10,0)</f>
        <v>5.4779604064321177</v>
      </c>
    </row>
    <row r="11" spans="1:14" s="43" customFormat="1" ht="15.75" x14ac:dyDescent="0.2">
      <c r="A11" s="13" t="s">
        <v>349</v>
      </c>
      <c r="B11" s="313"/>
      <c r="C11" s="314"/>
      <c r="D11" s="171"/>
      <c r="E11" s="11"/>
      <c r="F11" s="313">
        <v>11356.69656</v>
      </c>
      <c r="G11" s="314">
        <v>8742.2153600000001</v>
      </c>
      <c r="H11" s="171">
        <f t="shared" si="2"/>
        <v>-23</v>
      </c>
      <c r="I11" s="160">
        <f>IFERROR(100/'Skjema total MA'!F11*G11,0)</f>
        <v>16.389977407501419</v>
      </c>
      <c r="J11" s="311">
        <f t="shared" si="0"/>
        <v>11356.69656</v>
      </c>
      <c r="K11" s="312">
        <f t="shared" si="0"/>
        <v>8742.2153600000001</v>
      </c>
      <c r="L11" s="425">
        <f t="shared" si="3"/>
        <v>-23</v>
      </c>
      <c r="M11" s="11">
        <f>IFERROR(100/'Skjema total MA'!I11*K11,0)</f>
        <v>11.20914848210427</v>
      </c>
      <c r="N11" s="143"/>
    </row>
    <row r="12" spans="1:14" s="43" customFormat="1" ht="15.75" x14ac:dyDescent="0.2">
      <c r="A12" s="41" t="s">
        <v>350</v>
      </c>
      <c r="B12" s="315"/>
      <c r="C12" s="316"/>
      <c r="D12" s="169"/>
      <c r="E12" s="36"/>
      <c r="F12" s="315">
        <v>445.22593999999998</v>
      </c>
      <c r="G12" s="316">
        <v>2947.9393</v>
      </c>
      <c r="H12" s="169">
        <f t="shared" si="2"/>
        <v>562.1</v>
      </c>
      <c r="I12" s="169">
        <f>IFERROR(100/'Skjema total MA'!F12*G12,0)</f>
        <v>5.848598134972212</v>
      </c>
      <c r="J12" s="317">
        <f t="shared" si="0"/>
        <v>445.22593999999998</v>
      </c>
      <c r="K12" s="318">
        <f t="shared" si="0"/>
        <v>2947.9393</v>
      </c>
      <c r="L12" s="426">
        <f t="shared" si="3"/>
        <v>562.1</v>
      </c>
      <c r="M12" s="36">
        <f>IFERROR(100/'Skjema total MA'!I12*K12,0)</f>
        <v>5.848598134972212</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3849.01127</v>
      </c>
      <c r="C22" s="313">
        <v>1091.38564</v>
      </c>
      <c r="D22" s="352">
        <f t="shared" ref="D22:D35" si="4">IF(B22=0, "    ---- ", IF(ABS(ROUND(100/B22*C22-100,1))&lt;999,ROUND(100/B22*C22-100,1),IF(ROUND(100/B22*C22-100,1)&gt;999,999,-999)))</f>
        <v>-71.599999999999994</v>
      </c>
      <c r="E22" s="11">
        <f>IFERROR(100/'Skjema total MA'!C22*C22,0)</f>
        <v>0.13271261700315981</v>
      </c>
      <c r="F22" s="321">
        <v>85824.951660000006</v>
      </c>
      <c r="G22" s="321">
        <v>82694.543510000003</v>
      </c>
      <c r="H22" s="352">
        <f t="shared" ref="H22:H35" si="5">IF(F22=0, "    ---- ", IF(ABS(ROUND(100/F22*G22-100,1))&lt;999,ROUND(100/F22*G22-100,1),IF(ROUND(100/F22*G22-100,1)&gt;999,999,-999)))</f>
        <v>-3.6</v>
      </c>
      <c r="I22" s="11">
        <f>IFERROR(100/'Skjema total MA'!F22*G22,0)</f>
        <v>35.539916291549417</v>
      </c>
      <c r="J22" s="319">
        <f t="shared" ref="J22:K35" si="6">SUM(B22,F22)</f>
        <v>89673.962930000009</v>
      </c>
      <c r="K22" s="319">
        <f t="shared" si="6"/>
        <v>83785.929149999996</v>
      </c>
      <c r="L22" s="424">
        <f t="shared" ref="L22:L35" si="7">IF(J22=0, "    ---- ", IF(ABS(ROUND(100/J22*K22-100,1))&lt;999,ROUND(100/J22*K22-100,1),IF(ROUND(100/J22*K22-100,1)&gt;999,999,-999)))</f>
        <v>-6.6</v>
      </c>
      <c r="M22" s="24">
        <f>IFERROR(100/'Skjema total MA'!I22*K22,0)</f>
        <v>7.941429852256892</v>
      </c>
    </row>
    <row r="23" spans="1:14" ht="15.75" x14ac:dyDescent="0.2">
      <c r="A23" s="507" t="s">
        <v>351</v>
      </c>
      <c r="B23" s="286">
        <v>3844.01127</v>
      </c>
      <c r="C23" s="286">
        <v>1090.4322500000001</v>
      </c>
      <c r="D23" s="166">
        <f t="shared" si="4"/>
        <v>-71.599999999999994</v>
      </c>
      <c r="E23" s="11">
        <f>IFERROR(100/'Skjema total MA'!C23*C23,0)</f>
        <v>0.1854917972411525</v>
      </c>
      <c r="F23" s="294">
        <v>1807.7971199999999</v>
      </c>
      <c r="G23" s="294">
        <v>1876.0809999999999</v>
      </c>
      <c r="H23" s="166">
        <f t="shared" si="5"/>
        <v>3.8</v>
      </c>
      <c r="I23" s="414">
        <f>IFERROR(100/'Skjema total MA'!F23*G23,0)</f>
        <v>15.084763787220549</v>
      </c>
      <c r="J23" s="294">
        <f t="shared" ref="J23:J26" si="8">SUM(B23,F23)</f>
        <v>5651.8083900000001</v>
      </c>
      <c r="K23" s="294">
        <f t="shared" ref="K23:K26" si="9">SUM(C23,G23)</f>
        <v>2966.51325</v>
      </c>
      <c r="L23" s="166">
        <f t="shared" si="7"/>
        <v>-47.5</v>
      </c>
      <c r="M23" s="23">
        <f>IFERROR(100/'Skjema total MA'!I23*K23,0)</f>
        <v>0.49417424339206334</v>
      </c>
    </row>
    <row r="24" spans="1:14" ht="15.75" x14ac:dyDescent="0.2">
      <c r="A24" s="507" t="s">
        <v>352</v>
      </c>
      <c r="B24" s="286">
        <v>5</v>
      </c>
      <c r="C24" s="286">
        <v>0.95338999999999996</v>
      </c>
      <c r="D24" s="166">
        <f t="shared" si="4"/>
        <v>-80.900000000000006</v>
      </c>
      <c r="E24" s="11">
        <f>IFERROR(100/'Skjema total MA'!C24*C24,0)</f>
        <v>4.2361723974030409E-2</v>
      </c>
      <c r="F24" s="294">
        <v>164.16744</v>
      </c>
      <c r="G24" s="294">
        <v>0</v>
      </c>
      <c r="H24" s="166">
        <f t="shared" si="5"/>
        <v>-100</v>
      </c>
      <c r="I24" s="414">
        <f>IFERROR(100/'Skjema total MA'!F24*G24,0)</f>
        <v>0</v>
      </c>
      <c r="J24" s="294">
        <f t="shared" si="8"/>
        <v>169.16744</v>
      </c>
      <c r="K24" s="294">
        <f t="shared" si="9"/>
        <v>0.95338999999999996</v>
      </c>
      <c r="L24" s="166">
        <f t="shared" si="7"/>
        <v>-99.4</v>
      </c>
      <c r="M24" s="23">
        <f>IFERROR(100/'Skjema total MA'!I24*K24,0)</f>
        <v>3.8652100079982432E-2</v>
      </c>
    </row>
    <row r="25" spans="1:14" ht="15.75" x14ac:dyDescent="0.2">
      <c r="A25" s="507" t="s">
        <v>353</v>
      </c>
      <c r="B25" s="286"/>
      <c r="C25" s="286"/>
      <c r="D25" s="166"/>
      <c r="E25" s="11"/>
      <c r="F25" s="294">
        <v>1729.89174</v>
      </c>
      <c r="G25" s="294">
        <v>1652.0957100000001</v>
      </c>
      <c r="H25" s="166">
        <f t="shared" si="5"/>
        <v>-4.5</v>
      </c>
      <c r="I25" s="414">
        <f>IFERROR(100/'Skjema total MA'!F25*G25,0)</f>
        <v>39.599450933167525</v>
      </c>
      <c r="J25" s="294">
        <f t="shared" si="8"/>
        <v>1729.89174</v>
      </c>
      <c r="K25" s="294">
        <f t="shared" si="9"/>
        <v>1652.0957100000001</v>
      </c>
      <c r="L25" s="166">
        <f t="shared" si="7"/>
        <v>-4.5</v>
      </c>
      <c r="M25" s="23">
        <f>IFERROR(100/'Skjema total MA'!I25*K25,0)</f>
        <v>21.272607230394488</v>
      </c>
    </row>
    <row r="26" spans="1:14" ht="15.75" x14ac:dyDescent="0.2">
      <c r="A26" s="507" t="s">
        <v>354</v>
      </c>
      <c r="B26" s="286"/>
      <c r="C26" s="286"/>
      <c r="D26" s="166"/>
      <c r="E26" s="11"/>
      <c r="F26" s="294">
        <v>82123.095360000007</v>
      </c>
      <c r="G26" s="294">
        <v>79166.366800000003</v>
      </c>
      <c r="H26" s="166">
        <f t="shared" si="5"/>
        <v>-3.6</v>
      </c>
      <c r="I26" s="414">
        <f>IFERROR(100/'Skjema total MA'!F26*G26,0)</f>
        <v>36.675579077083228</v>
      </c>
      <c r="J26" s="294">
        <f t="shared" si="8"/>
        <v>82123.095360000007</v>
      </c>
      <c r="K26" s="294">
        <f t="shared" si="9"/>
        <v>79166.366800000003</v>
      </c>
      <c r="L26" s="166">
        <f t="shared" si="7"/>
        <v>-3.6</v>
      </c>
      <c r="M26" s="23">
        <f>IFERROR(100/'Skjema total MA'!I26*K26,0)</f>
        <v>36.675579077083228</v>
      </c>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v>2630092.4582099998</v>
      </c>
      <c r="C29" s="236">
        <v>2408083.1448499998</v>
      </c>
      <c r="D29" s="171">
        <f t="shared" si="4"/>
        <v>-8.4</v>
      </c>
      <c r="E29" s="11">
        <f>IFERROR(100/'Skjema total MA'!C29*C29,0)</f>
        <v>5.4569415109721175</v>
      </c>
      <c r="F29" s="311">
        <v>3763658.2120400001</v>
      </c>
      <c r="G29" s="311">
        <v>4013660.5394799998</v>
      </c>
      <c r="H29" s="171">
        <f t="shared" si="5"/>
        <v>6.6</v>
      </c>
      <c r="I29" s="11">
        <f>IFERROR(100/'Skjema total MA'!F29*G29,0)</f>
        <v>16.174474009796665</v>
      </c>
      <c r="J29" s="236">
        <f t="shared" si="6"/>
        <v>6393750.6702500004</v>
      </c>
      <c r="K29" s="236">
        <f t="shared" si="6"/>
        <v>6421743.6843299996</v>
      </c>
      <c r="L29" s="425">
        <f t="shared" si="7"/>
        <v>0.4</v>
      </c>
      <c r="M29" s="24">
        <f>IFERROR(100/'Skjema total MA'!I29*K29,0)</f>
        <v>9.3144900163322433</v>
      </c>
      <c r="N29" s="148"/>
    </row>
    <row r="30" spans="1:14" s="3" customFormat="1" ht="15.75" x14ac:dyDescent="0.2">
      <c r="A30" s="507" t="s">
        <v>351</v>
      </c>
      <c r="B30" s="286">
        <v>1508863.07710727</v>
      </c>
      <c r="C30" s="286">
        <v>1381498.1038124401</v>
      </c>
      <c r="D30" s="166">
        <f t="shared" si="4"/>
        <v>-8.4</v>
      </c>
      <c r="E30" s="11">
        <f>IFERROR(100/'Skjema total MA'!C30*C30,0)</f>
        <v>7.9204230681306518</v>
      </c>
      <c r="F30" s="294">
        <v>641993.71139999898</v>
      </c>
      <c r="G30" s="294">
        <v>617929.53453999897</v>
      </c>
      <c r="H30" s="166">
        <f t="shared" si="5"/>
        <v>-3.7</v>
      </c>
      <c r="I30" s="414">
        <f>IFERROR(100/'Skjema total MA'!F30*G30,0)</f>
        <v>17.650988409947733</v>
      </c>
      <c r="J30" s="294">
        <f t="shared" ref="J30:J33" si="10">SUM(B30,F30)</f>
        <v>2150856.7885072688</v>
      </c>
      <c r="K30" s="294">
        <f t="shared" ref="K30:K33" si="11">SUM(C30,G30)</f>
        <v>1999427.638352439</v>
      </c>
      <c r="L30" s="166">
        <f t="shared" si="7"/>
        <v>-7</v>
      </c>
      <c r="M30" s="23">
        <f>IFERROR(100/'Skjema total MA'!I30*K30,0)</f>
        <v>9.5469757094943972</v>
      </c>
      <c r="N30" s="148"/>
    </row>
    <row r="31" spans="1:14" s="3" customFormat="1" ht="15.75" x14ac:dyDescent="0.2">
      <c r="A31" s="507" t="s">
        <v>352</v>
      </c>
      <c r="B31" s="286">
        <v>1121229.3811027301</v>
      </c>
      <c r="C31" s="286">
        <v>1026585.04103756</v>
      </c>
      <c r="D31" s="166">
        <f t="shared" si="4"/>
        <v>-8.4</v>
      </c>
      <c r="E31" s="11">
        <f>IFERROR(100/'Skjema total MA'!C31*C31,0)</f>
        <v>4.291554101827626</v>
      </c>
      <c r="F31" s="294">
        <v>884038.79244999902</v>
      </c>
      <c r="G31" s="294">
        <v>815822.48998999898</v>
      </c>
      <c r="H31" s="166">
        <f t="shared" si="5"/>
        <v>-7.7</v>
      </c>
      <c r="I31" s="414">
        <f>IFERROR(100/'Skjema total MA'!F31*G31,0)</f>
        <v>10.679561119646483</v>
      </c>
      <c r="J31" s="294">
        <f t="shared" si="10"/>
        <v>2005268.1735527292</v>
      </c>
      <c r="K31" s="294">
        <f t="shared" si="11"/>
        <v>1842407.531027559</v>
      </c>
      <c r="L31" s="166">
        <f t="shared" si="7"/>
        <v>-8.1</v>
      </c>
      <c r="M31" s="23">
        <f>IFERROR(100/'Skjema total MA'!I31*K31,0)</f>
        <v>5.8377641801412263</v>
      </c>
      <c r="N31" s="148"/>
    </row>
    <row r="32" spans="1:14" ht="15.75" x14ac:dyDescent="0.2">
      <c r="A32" s="507" t="s">
        <v>353</v>
      </c>
      <c r="B32" s="286"/>
      <c r="C32" s="286"/>
      <c r="D32" s="166"/>
      <c r="E32" s="11"/>
      <c r="F32" s="294">
        <v>546067.85502999998</v>
      </c>
      <c r="G32" s="294">
        <v>566281.74129000003</v>
      </c>
      <c r="H32" s="166">
        <f t="shared" si="5"/>
        <v>3.7</v>
      </c>
      <c r="I32" s="414">
        <f>IFERROR(100/'Skjema total MA'!F32*G32,0)</f>
        <v>10.279286081102565</v>
      </c>
      <c r="J32" s="294">
        <f t="shared" si="10"/>
        <v>546067.85502999998</v>
      </c>
      <c r="K32" s="294">
        <f t="shared" si="11"/>
        <v>566281.74129000003</v>
      </c>
      <c r="L32" s="166">
        <f t="shared" si="7"/>
        <v>3.7</v>
      </c>
      <c r="M32" s="23">
        <f>IFERROR(100/'Skjema total MA'!I32*K32,0)</f>
        <v>7.0661188923768918</v>
      </c>
    </row>
    <row r="33" spans="1:14" ht="15.75" x14ac:dyDescent="0.2">
      <c r="A33" s="507" t="s">
        <v>354</v>
      </c>
      <c r="B33" s="286"/>
      <c r="C33" s="286"/>
      <c r="D33" s="166"/>
      <c r="E33" s="11"/>
      <c r="F33" s="294">
        <v>1691557.8531599999</v>
      </c>
      <c r="G33" s="294">
        <v>2013626.7736599999</v>
      </c>
      <c r="H33" s="166">
        <f t="shared" si="5"/>
        <v>19</v>
      </c>
      <c r="I33" s="414">
        <f>IFERROR(100/'Skjema total MA'!F33*G33,0)</f>
        <v>24.658968679862767</v>
      </c>
      <c r="J33" s="294">
        <f t="shared" si="10"/>
        <v>1691557.8531599999</v>
      </c>
      <c r="K33" s="294">
        <f t="shared" si="11"/>
        <v>2013626.7736599999</v>
      </c>
      <c r="L33" s="166">
        <f t="shared" si="7"/>
        <v>19</v>
      </c>
      <c r="M33" s="23">
        <f>IFERROR(100/'Skjema total MA'!I33*K33,0)</f>
        <v>24.658968679862767</v>
      </c>
    </row>
    <row r="34" spans="1:14" ht="15.75" x14ac:dyDescent="0.2">
      <c r="A34" s="13" t="s">
        <v>349</v>
      </c>
      <c r="B34" s="236"/>
      <c r="C34" s="312"/>
      <c r="D34" s="171"/>
      <c r="E34" s="11"/>
      <c r="F34" s="311">
        <v>14283.6005</v>
      </c>
      <c r="G34" s="312">
        <v>10412.29839</v>
      </c>
      <c r="H34" s="171">
        <f t="shared" si="5"/>
        <v>-27.1</v>
      </c>
      <c r="I34" s="11">
        <f>IFERROR(100/'Skjema total MA'!F34*G34,0)</f>
        <v>106.5831218765141</v>
      </c>
      <c r="J34" s="236">
        <f t="shared" si="6"/>
        <v>14283.6005</v>
      </c>
      <c r="K34" s="236">
        <f t="shared" si="6"/>
        <v>10412.29839</v>
      </c>
      <c r="L34" s="425">
        <f t="shared" si="7"/>
        <v>-27.1</v>
      </c>
      <c r="M34" s="24">
        <f>IFERROR(100/'Skjema total MA'!I34*K34,0)</f>
        <v>56.413490110027695</v>
      </c>
    </row>
    <row r="35" spans="1:14" ht="15.75" x14ac:dyDescent="0.2">
      <c r="A35" s="13" t="s">
        <v>350</v>
      </c>
      <c r="B35" s="236">
        <v>23.832709999999999</v>
      </c>
      <c r="C35" s="312">
        <v>0</v>
      </c>
      <c r="D35" s="171">
        <f t="shared" si="4"/>
        <v>-100</v>
      </c>
      <c r="E35" s="11">
        <f>IFERROR(100/'Skjema total MA'!C35*C35,0)</f>
        <v>0</v>
      </c>
      <c r="F35" s="311">
        <v>2957.4600599999999</v>
      </c>
      <c r="G35" s="312">
        <v>3493.9291899999998</v>
      </c>
      <c r="H35" s="171">
        <f t="shared" si="5"/>
        <v>18.100000000000001</v>
      </c>
      <c r="I35" s="11">
        <f>IFERROR(100/'Skjema total MA'!F35*G35,0)</f>
        <v>8.5241298726299259</v>
      </c>
      <c r="J35" s="236">
        <f t="shared" si="6"/>
        <v>2981.29277</v>
      </c>
      <c r="K35" s="236">
        <f t="shared" si="6"/>
        <v>3493.9291899999998</v>
      </c>
      <c r="L35" s="425">
        <f t="shared" si="7"/>
        <v>17.2</v>
      </c>
      <c r="M35" s="24">
        <f>IFERROR(100/'Skjema total MA'!I35*K35,0)</f>
        <v>18.322858802533645</v>
      </c>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c r="D47" s="424"/>
      <c r="E47" s="11"/>
      <c r="F47" s="145"/>
      <c r="G47" s="33"/>
      <c r="H47" s="159"/>
      <c r="I47" s="159"/>
      <c r="J47" s="37"/>
      <c r="K47" s="37"/>
      <c r="L47" s="159"/>
      <c r="M47" s="159"/>
      <c r="N47" s="148"/>
    </row>
    <row r="48" spans="1:14" s="3" customFormat="1" ht="15.75" x14ac:dyDescent="0.2">
      <c r="A48" s="38" t="s">
        <v>359</v>
      </c>
      <c r="B48" s="286"/>
      <c r="C48" s="287"/>
      <c r="D48" s="259"/>
      <c r="E48" s="27"/>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v>258809.27363000001</v>
      </c>
      <c r="C66" s="355">
        <v>267323.67976000003</v>
      </c>
      <c r="D66" s="352">
        <f t="shared" ref="D66:D111" si="12">IF(B66=0, "    ---- ", IF(ABS(ROUND(100/B66*C66-100,1))&lt;999,ROUND(100/B66*C66-100,1),IF(ROUND(100/B66*C66-100,1)&gt;999,999,-999)))</f>
        <v>3.3</v>
      </c>
      <c r="E66" s="11">
        <f>IFERROR(100/'Skjema total MA'!C66*C66,0)</f>
        <v>8.5564935458751314</v>
      </c>
      <c r="F66" s="354">
        <v>1249613.2151000001</v>
      </c>
      <c r="G66" s="354">
        <v>1476887.1033699999</v>
      </c>
      <c r="H66" s="352">
        <f t="shared" ref="H66:H111" si="13">IF(F66=0, "    ---- ", IF(ABS(ROUND(100/F66*G66-100,1))&lt;999,ROUND(100/F66*G66-100,1),IF(ROUND(100/F66*G66-100,1)&gt;999,999,-999)))</f>
        <v>18.2</v>
      </c>
      <c r="I66" s="11">
        <f>IFERROR(100/'Skjema total MA'!F66*G66,0)</f>
        <v>12.206298897889939</v>
      </c>
      <c r="J66" s="312">
        <f t="shared" ref="J66:K86" si="14">SUM(B66,F66)</f>
        <v>1508422.4887300001</v>
      </c>
      <c r="K66" s="319">
        <f t="shared" si="14"/>
        <v>1744210.7831299999</v>
      </c>
      <c r="L66" s="425">
        <f t="shared" ref="L66:L111" si="15">IF(J66=0, "    ---- ", IF(ABS(ROUND(100/J66*K66-100,1))&lt;999,ROUND(100/J66*K66-100,1),IF(ROUND(100/J66*K66-100,1)&gt;999,999,-999)))</f>
        <v>15.6</v>
      </c>
      <c r="M66" s="11">
        <f>IFERROR(100/'Skjema total MA'!I66*K66,0)</f>
        <v>11.457278232609475</v>
      </c>
    </row>
    <row r="67" spans="1:14" x14ac:dyDescent="0.2">
      <c r="A67" s="416" t="s">
        <v>9</v>
      </c>
      <c r="B67" s="44">
        <v>91166.115000000005</v>
      </c>
      <c r="C67" s="145">
        <v>84344.433680000002</v>
      </c>
      <c r="D67" s="166">
        <f t="shared" si="12"/>
        <v>-7.5</v>
      </c>
      <c r="E67" s="27">
        <f>IFERROR(100/'Skjema total MA'!C67*C67,0)</f>
        <v>3.7025031692515897</v>
      </c>
      <c r="F67" s="234"/>
      <c r="G67" s="145"/>
      <c r="H67" s="166"/>
      <c r="I67" s="27"/>
      <c r="J67" s="292">
        <f t="shared" si="14"/>
        <v>91166.115000000005</v>
      </c>
      <c r="K67" s="44">
        <f t="shared" si="14"/>
        <v>84344.433680000002</v>
      </c>
      <c r="L67" s="259">
        <f t="shared" si="15"/>
        <v>-7.5</v>
      </c>
      <c r="M67" s="27">
        <f>IFERROR(100/'Skjema total MA'!I67*K67,0)</f>
        <v>3.7025031692515897</v>
      </c>
    </row>
    <row r="68" spans="1:14" x14ac:dyDescent="0.2">
      <c r="A68" s="21" t="s">
        <v>10</v>
      </c>
      <c r="B68" s="296">
        <v>8847.8414699999994</v>
      </c>
      <c r="C68" s="297">
        <v>10063.69318</v>
      </c>
      <c r="D68" s="166">
        <f t="shared" si="12"/>
        <v>13.7</v>
      </c>
      <c r="E68" s="27">
        <f>IFERROR(100/'Skjema total MA'!C68*C68,0)</f>
        <v>93.670705328165369</v>
      </c>
      <c r="F68" s="296">
        <v>1168411.14228</v>
      </c>
      <c r="G68" s="297">
        <v>1390633.1742199999</v>
      </c>
      <c r="H68" s="166">
        <f t="shared" si="13"/>
        <v>19</v>
      </c>
      <c r="I68" s="27">
        <f>IFERROR(100/'Skjema total MA'!F68*G68,0)</f>
        <v>12.089230111655228</v>
      </c>
      <c r="J68" s="292">
        <f t="shared" si="14"/>
        <v>1177258.9837500001</v>
      </c>
      <c r="K68" s="44">
        <f t="shared" si="14"/>
        <v>1400696.8673999999</v>
      </c>
      <c r="L68" s="259">
        <f t="shared" si="15"/>
        <v>19</v>
      </c>
      <c r="M68" s="27">
        <f>IFERROR(100/'Skjema total MA'!I68*K68,0)</f>
        <v>12.1653548433959</v>
      </c>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v>99091.374160000007</v>
      </c>
      <c r="C75" s="145">
        <v>106184.11001</v>
      </c>
      <c r="D75" s="166">
        <f t="shared" si="12"/>
        <v>7.2</v>
      </c>
      <c r="E75" s="27">
        <f>IFERROR(100/'Skjema total MA'!C75*C75,0)</f>
        <v>63.190946532589209</v>
      </c>
      <c r="F75" s="234">
        <v>81202.072820000001</v>
      </c>
      <c r="G75" s="145">
        <v>86253.929149999996</v>
      </c>
      <c r="H75" s="166">
        <f t="shared" si="13"/>
        <v>6.2</v>
      </c>
      <c r="I75" s="27">
        <f>IFERROR(100/'Skjema total MA'!F75*G75,0)</f>
        <v>14.464604627474065</v>
      </c>
      <c r="J75" s="292">
        <f t="shared" si="14"/>
        <v>180293.44698000001</v>
      </c>
      <c r="K75" s="44">
        <f t="shared" si="14"/>
        <v>192438.03915999999</v>
      </c>
      <c r="L75" s="259">
        <f t="shared" si="15"/>
        <v>6.7</v>
      </c>
      <c r="M75" s="27">
        <f>IFERROR(100/'Skjema total MA'!I75*K75,0)</f>
        <v>25.176782868126683</v>
      </c>
      <c r="N75" s="148"/>
    </row>
    <row r="76" spans="1:14" s="3" customFormat="1" x14ac:dyDescent="0.2">
      <c r="A76" s="21" t="s">
        <v>334</v>
      </c>
      <c r="B76" s="234">
        <v>59703.942999999999</v>
      </c>
      <c r="C76" s="145">
        <v>66731.442890000006</v>
      </c>
      <c r="D76" s="166">
        <f t="shared" ref="D76" si="16">IF(B76=0, "    ---- ", IF(ABS(ROUND(100/B76*C76-100,1))&lt;999,ROUND(100/B76*C76-100,1),IF(ROUND(100/B76*C76-100,1)&gt;999,999,-999)))</f>
        <v>11.8</v>
      </c>
      <c r="E76" s="27">
        <f>IFERROR(100/'Skjema total MA'!C77*C76,0)</f>
        <v>3.0135097839688716</v>
      </c>
      <c r="F76" s="234"/>
      <c r="G76" s="145"/>
      <c r="H76" s="166"/>
      <c r="I76" s="27"/>
      <c r="J76" s="292">
        <f t="shared" ref="J76" si="17">SUM(B76,F76)</f>
        <v>59703.942999999999</v>
      </c>
      <c r="K76" s="44">
        <f t="shared" ref="K76" si="18">SUM(C76,G76)</f>
        <v>66731.442890000006</v>
      </c>
      <c r="L76" s="259">
        <f t="shared" ref="L76" si="19">IF(J76=0, "    ---- ", IF(ABS(ROUND(100/J76*K76-100,1))&lt;999,ROUND(100/J76*K76-100,1),IF(ROUND(100/J76*K76-100,1)&gt;999,999,-999)))</f>
        <v>11.8</v>
      </c>
      <c r="M76" s="27">
        <f>IFERROR(100/'Skjema total MA'!I77*K76,0)</f>
        <v>0.48660399621473976</v>
      </c>
      <c r="N76" s="148"/>
    </row>
    <row r="77" spans="1:14" ht="15.75" x14ac:dyDescent="0.2">
      <c r="A77" s="21" t="s">
        <v>365</v>
      </c>
      <c r="B77" s="234">
        <v>100013.95647</v>
      </c>
      <c r="C77" s="234">
        <v>94408.126860000004</v>
      </c>
      <c r="D77" s="166">
        <f t="shared" si="12"/>
        <v>-5.6</v>
      </c>
      <c r="E77" s="27">
        <f>IFERROR(100/'Skjema total MA'!C77*C77,0)</f>
        <v>4.263354749390829</v>
      </c>
      <c r="F77" s="234">
        <v>1165806.62736</v>
      </c>
      <c r="G77" s="145">
        <v>1387894.4200299999</v>
      </c>
      <c r="H77" s="166">
        <f t="shared" si="13"/>
        <v>19.100000000000001</v>
      </c>
      <c r="I77" s="27">
        <f>IFERROR(100/'Skjema total MA'!F77*G77,0)</f>
        <v>12.069385005226048</v>
      </c>
      <c r="J77" s="292">
        <f t="shared" si="14"/>
        <v>1265820.5838300001</v>
      </c>
      <c r="K77" s="44">
        <f t="shared" si="14"/>
        <v>1482302.5468899999</v>
      </c>
      <c r="L77" s="259">
        <f t="shared" si="15"/>
        <v>17.100000000000001</v>
      </c>
      <c r="M77" s="27">
        <f>IFERROR(100/'Skjema total MA'!I77*K77,0)</f>
        <v>10.808912735559172</v>
      </c>
    </row>
    <row r="78" spans="1:14" x14ac:dyDescent="0.2">
      <c r="A78" s="21" t="s">
        <v>9</v>
      </c>
      <c r="B78" s="234">
        <v>91166.115000000005</v>
      </c>
      <c r="C78" s="145">
        <v>84344.433680000002</v>
      </c>
      <c r="D78" s="166">
        <f t="shared" si="12"/>
        <v>-7.5</v>
      </c>
      <c r="E78" s="27">
        <f>IFERROR(100/'Skjema total MA'!C78*C78,0)</f>
        <v>3.8274605233884582</v>
      </c>
      <c r="F78" s="234"/>
      <c r="G78" s="145"/>
      <c r="H78" s="166"/>
      <c r="I78" s="27"/>
      <c r="J78" s="292">
        <f t="shared" si="14"/>
        <v>91166.115000000005</v>
      </c>
      <c r="K78" s="44">
        <f t="shared" si="14"/>
        <v>84344.433680000002</v>
      </c>
      <c r="L78" s="259">
        <f t="shared" si="15"/>
        <v>-7.5</v>
      </c>
      <c r="M78" s="27">
        <f>IFERROR(100/'Skjema total MA'!I78*K78,0)</f>
        <v>3.8274605233884582</v>
      </c>
    </row>
    <row r="79" spans="1:14" x14ac:dyDescent="0.2">
      <c r="A79" s="38" t="s">
        <v>399</v>
      </c>
      <c r="B79" s="296">
        <v>8847.8414699999994</v>
      </c>
      <c r="C79" s="297">
        <v>10063.69318</v>
      </c>
      <c r="D79" s="166">
        <f t="shared" si="12"/>
        <v>13.7</v>
      </c>
      <c r="E79" s="27">
        <f>IFERROR(100/'Skjema total MA'!C79*C79,0)</f>
        <v>93.670705328165369</v>
      </c>
      <c r="F79" s="296">
        <v>1165806.62736</v>
      </c>
      <c r="G79" s="297">
        <v>1387894.4200299999</v>
      </c>
      <c r="H79" s="166">
        <f t="shared" si="13"/>
        <v>19.100000000000001</v>
      </c>
      <c r="I79" s="27">
        <f>IFERROR(100/'Skjema total MA'!F79*G79,0)</f>
        <v>12.069385005226048</v>
      </c>
      <c r="J79" s="292">
        <f t="shared" si="14"/>
        <v>1174654.4688300001</v>
      </c>
      <c r="K79" s="44">
        <f t="shared" si="14"/>
        <v>1397958.1132099999</v>
      </c>
      <c r="L79" s="259">
        <f t="shared" si="15"/>
        <v>19</v>
      </c>
      <c r="M79" s="27">
        <f>IFERROR(100/'Skjema total MA'!I79*K79,0)</f>
        <v>12.145553246235915</v>
      </c>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v>2604.5149200000001</v>
      </c>
      <c r="G86" s="145">
        <v>2738.7541900000001</v>
      </c>
      <c r="H86" s="166">
        <f t="shared" si="13"/>
        <v>5.2</v>
      </c>
      <c r="I86" s="27">
        <f>IFERROR(100/'Skjema total MA'!F86*G86,0)</f>
        <v>72.49608110807057</v>
      </c>
      <c r="J86" s="292">
        <f t="shared" si="14"/>
        <v>2604.5149200000001</v>
      </c>
      <c r="K86" s="44">
        <f t="shared" si="14"/>
        <v>2738.7541900000001</v>
      </c>
      <c r="L86" s="259">
        <f t="shared" si="15"/>
        <v>5.2</v>
      </c>
      <c r="M86" s="27">
        <f>IFERROR(100/'Skjema total MA'!I86*K86,0)</f>
        <v>3.5044671486044483</v>
      </c>
    </row>
    <row r="87" spans="1:13" ht="15.75" x14ac:dyDescent="0.2">
      <c r="A87" s="13" t="s">
        <v>348</v>
      </c>
      <c r="B87" s="355">
        <v>17724680.900210001</v>
      </c>
      <c r="C87" s="355">
        <v>16682477.873040002</v>
      </c>
      <c r="D87" s="171">
        <f t="shared" si="12"/>
        <v>-5.9</v>
      </c>
      <c r="E87" s="11">
        <f>IFERROR(100/'Skjema total MA'!C87*C87,0)</f>
        <v>4.1936208072400776</v>
      </c>
      <c r="F87" s="354">
        <v>47464135.383429997</v>
      </c>
      <c r="G87" s="354">
        <v>51788811.954029903</v>
      </c>
      <c r="H87" s="171">
        <f t="shared" si="13"/>
        <v>9.1</v>
      </c>
      <c r="I87" s="11">
        <f>IFERROR(100/'Skjema total MA'!F87*G87,0)</f>
        <v>10.887687054824081</v>
      </c>
      <c r="J87" s="312">
        <f t="shared" ref="J87:K111" si="20">SUM(B87,F87)</f>
        <v>65188816.283639997</v>
      </c>
      <c r="K87" s="236">
        <f t="shared" si="20"/>
        <v>68471289.827069908</v>
      </c>
      <c r="L87" s="425">
        <f t="shared" si="15"/>
        <v>5</v>
      </c>
      <c r="M87" s="11">
        <f>IFERROR(100/'Skjema total MA'!I87*K87,0)</f>
        <v>7.8389963918366616</v>
      </c>
    </row>
    <row r="88" spans="1:13" x14ac:dyDescent="0.2">
      <c r="A88" s="21" t="s">
        <v>9</v>
      </c>
      <c r="B88" s="234">
        <v>12699187.29136</v>
      </c>
      <c r="C88" s="145">
        <v>12221243.401590001</v>
      </c>
      <c r="D88" s="166">
        <f t="shared" si="12"/>
        <v>-3.8</v>
      </c>
      <c r="E88" s="27">
        <f>IFERROR(100/'Skjema total MA'!C88*C88,0)</f>
        <v>3.1948379504366766</v>
      </c>
      <c r="F88" s="234"/>
      <c r="G88" s="145"/>
      <c r="H88" s="166"/>
      <c r="I88" s="27"/>
      <c r="J88" s="292">
        <f t="shared" si="20"/>
        <v>12699187.29136</v>
      </c>
      <c r="K88" s="44">
        <f t="shared" si="20"/>
        <v>12221243.401590001</v>
      </c>
      <c r="L88" s="259">
        <f t="shared" si="15"/>
        <v>-3.8</v>
      </c>
      <c r="M88" s="27">
        <f>IFERROR(100/'Skjema total MA'!I88*K88,0)</f>
        <v>3.1948379504366766</v>
      </c>
    </row>
    <row r="89" spans="1:13" x14ac:dyDescent="0.2">
      <c r="A89" s="21" t="s">
        <v>10</v>
      </c>
      <c r="B89" s="234">
        <v>1738272.1680699999</v>
      </c>
      <c r="C89" s="145">
        <v>665220.82683999999</v>
      </c>
      <c r="D89" s="166">
        <f t="shared" si="12"/>
        <v>-61.7</v>
      </c>
      <c r="E89" s="27">
        <f>IFERROR(100/'Skjema total MA'!C89*C89,0)</f>
        <v>29.771852441836316</v>
      </c>
      <c r="F89" s="234">
        <v>45765244.904639997</v>
      </c>
      <c r="G89" s="145">
        <v>49877489.533229902</v>
      </c>
      <c r="H89" s="166">
        <f t="shared" si="13"/>
        <v>9</v>
      </c>
      <c r="I89" s="27">
        <f>IFERROR(100/'Skjema total MA'!F89*G89,0)</f>
        <v>10.624892201778295</v>
      </c>
      <c r="J89" s="292">
        <f t="shared" si="20"/>
        <v>47503517.07271</v>
      </c>
      <c r="K89" s="44">
        <f t="shared" si="20"/>
        <v>50542710.360069901</v>
      </c>
      <c r="L89" s="259">
        <f t="shared" si="15"/>
        <v>6.4</v>
      </c>
      <c r="M89" s="27">
        <f>IFERROR(100/'Skjema total MA'!I89*K89,0)</f>
        <v>10.715594345667974</v>
      </c>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v>2085628.06017</v>
      </c>
      <c r="C96" s="145">
        <v>2521742.9052300001</v>
      </c>
      <c r="D96" s="166">
        <f t="shared" si="12"/>
        <v>20.9</v>
      </c>
      <c r="E96" s="27">
        <f>IFERROR(100/'Skjema total MA'!C96*C96,0)</f>
        <v>62.440065652447529</v>
      </c>
      <c r="F96" s="234">
        <v>1698890.4787900001</v>
      </c>
      <c r="G96" s="145">
        <v>1911322.4208</v>
      </c>
      <c r="H96" s="166">
        <f t="shared" si="13"/>
        <v>12.5</v>
      </c>
      <c r="I96" s="27">
        <f>IFERROR(100/'Skjema total MA'!F96*G96,0)</f>
        <v>30.708512193948877</v>
      </c>
      <c r="J96" s="292">
        <f t="shared" si="20"/>
        <v>3784518.53896</v>
      </c>
      <c r="K96" s="44">
        <f t="shared" si="20"/>
        <v>4433065.3260300001</v>
      </c>
      <c r="L96" s="259">
        <f t="shared" si="15"/>
        <v>17.100000000000001</v>
      </c>
      <c r="M96" s="27">
        <f>IFERROR(100/'Skjema total MA'!I96*K96,0)</f>
        <v>43.195721528339078</v>
      </c>
    </row>
    <row r="97" spans="1:13" x14ac:dyDescent="0.2">
      <c r="A97" s="21" t="s">
        <v>332</v>
      </c>
      <c r="B97" s="234">
        <v>1201593.3806100001</v>
      </c>
      <c r="C97" s="145">
        <v>1274270.7393799999</v>
      </c>
      <c r="D97" s="166">
        <f t="shared" ref="D97" si="21">IF(B97=0, "    ---- ", IF(ABS(ROUND(100/B97*C97-100,1))&lt;999,ROUND(100/B97*C97-100,1),IF(ROUND(100/B97*C97-100,1)&gt;999,999,-999)))</f>
        <v>6</v>
      </c>
      <c r="E97" s="27">
        <f>IFERROR(100/'Skjema total MA'!C98*C97,0)</f>
        <v>0.33501174478043533</v>
      </c>
      <c r="F97" s="234"/>
      <c r="G97" s="145"/>
      <c r="H97" s="166"/>
      <c r="I97" s="27"/>
      <c r="J97" s="292">
        <f t="shared" ref="J97" si="22">SUM(B97,F97)</f>
        <v>1201593.3806100001</v>
      </c>
      <c r="K97" s="44">
        <f t="shared" ref="K97" si="23">SUM(C97,G97)</f>
        <v>1274270.7393799999</v>
      </c>
      <c r="L97" s="259">
        <f t="shared" ref="L97" si="24">IF(J97=0, "    ---- ", IF(ABS(ROUND(100/J97*K97-100,1))&lt;999,ROUND(100/J97*K97-100,1),IF(ROUND(100/J97*K97-100,1)&gt;999,999,-999)))</f>
        <v>6</v>
      </c>
      <c r="M97" s="27">
        <f>IFERROR(100/'Skjema total MA'!I98*K97,0)</f>
        <v>0.14998269319722529</v>
      </c>
    </row>
    <row r="98" spans="1:13" ht="15.75" x14ac:dyDescent="0.2">
      <c r="A98" s="21" t="s">
        <v>365</v>
      </c>
      <c r="B98" s="234">
        <v>14437459.45943</v>
      </c>
      <c r="C98" s="234">
        <v>12886464.228430001</v>
      </c>
      <c r="D98" s="166">
        <f t="shared" si="12"/>
        <v>-10.7</v>
      </c>
      <c r="E98" s="27">
        <f>IFERROR(100/'Skjema total MA'!C98*C98,0)</f>
        <v>3.3879117928404341</v>
      </c>
      <c r="F98" s="296">
        <v>45680637.625309996</v>
      </c>
      <c r="G98" s="296">
        <v>49789594.156919897</v>
      </c>
      <c r="H98" s="166">
        <f t="shared" si="13"/>
        <v>9</v>
      </c>
      <c r="I98" s="27">
        <f>IFERROR(100/'Skjema total MA'!F98*G98,0)</f>
        <v>10.610555795357277</v>
      </c>
      <c r="J98" s="292">
        <f t="shared" si="20"/>
        <v>60118097.084739998</v>
      </c>
      <c r="K98" s="44">
        <f t="shared" si="20"/>
        <v>62676058.3853499</v>
      </c>
      <c r="L98" s="259">
        <f t="shared" si="15"/>
        <v>4.3</v>
      </c>
      <c r="M98" s="27">
        <f>IFERROR(100/'Skjema total MA'!I98*K98,0)</f>
        <v>7.3770225942683636</v>
      </c>
    </row>
    <row r="99" spans="1:13" x14ac:dyDescent="0.2">
      <c r="A99" s="21" t="s">
        <v>9</v>
      </c>
      <c r="B99" s="296">
        <v>12699187.29136</v>
      </c>
      <c r="C99" s="297">
        <v>12221243.401590001</v>
      </c>
      <c r="D99" s="166">
        <f t="shared" si="12"/>
        <v>-3.8</v>
      </c>
      <c r="E99" s="27">
        <f>IFERROR(100/'Skjema total MA'!C99*C99,0)</f>
        <v>3.2320080021417708</v>
      </c>
      <c r="F99" s="234"/>
      <c r="G99" s="145"/>
      <c r="H99" s="166"/>
      <c r="I99" s="27"/>
      <c r="J99" s="292">
        <f t="shared" si="20"/>
        <v>12699187.29136</v>
      </c>
      <c r="K99" s="44">
        <f t="shared" si="20"/>
        <v>12221243.401590001</v>
      </c>
      <c r="L99" s="259">
        <f t="shared" si="15"/>
        <v>-3.8</v>
      </c>
      <c r="M99" s="27">
        <f>IFERROR(100/'Skjema total MA'!I99*K99,0)</f>
        <v>3.2320080021417708</v>
      </c>
    </row>
    <row r="100" spans="1:13" x14ac:dyDescent="0.2">
      <c r="A100" s="38" t="s">
        <v>399</v>
      </c>
      <c r="B100" s="296">
        <v>1738272.1680699999</v>
      </c>
      <c r="C100" s="297">
        <v>665220.82683999999</v>
      </c>
      <c r="D100" s="166">
        <f t="shared" si="12"/>
        <v>-61.7</v>
      </c>
      <c r="E100" s="27">
        <f>IFERROR(100/'Skjema total MA'!C100*C100,0)</f>
        <v>29.771852441836316</v>
      </c>
      <c r="F100" s="234">
        <v>45680637.625309996</v>
      </c>
      <c r="G100" s="234">
        <v>49789594.156919897</v>
      </c>
      <c r="H100" s="166">
        <f t="shared" si="13"/>
        <v>9</v>
      </c>
      <c r="I100" s="27">
        <f>IFERROR(100/'Skjema total MA'!F100*G100,0)</f>
        <v>10.610555795357277</v>
      </c>
      <c r="J100" s="292">
        <f t="shared" si="20"/>
        <v>47418909.79338</v>
      </c>
      <c r="K100" s="44">
        <f t="shared" si="20"/>
        <v>50454814.983759895</v>
      </c>
      <c r="L100" s="259">
        <f t="shared" si="15"/>
        <v>6.4</v>
      </c>
      <c r="M100" s="27">
        <f>IFERROR(100/'Skjema total MA'!I100*K100,0)</f>
        <v>10.70136322048984</v>
      </c>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v>84607.279329999903</v>
      </c>
      <c r="G107" s="145">
        <v>87895.376309999905</v>
      </c>
      <c r="H107" s="166">
        <f t="shared" si="13"/>
        <v>3.9</v>
      </c>
      <c r="I107" s="27">
        <f>IFERROR(100/'Skjema total MA'!F107*G107,0)</f>
        <v>45.28472455872469</v>
      </c>
      <c r="J107" s="292">
        <f t="shared" si="20"/>
        <v>84607.279329999903</v>
      </c>
      <c r="K107" s="44">
        <f t="shared" si="20"/>
        <v>87895.376309999905</v>
      </c>
      <c r="L107" s="259">
        <f t="shared" si="15"/>
        <v>3.9</v>
      </c>
      <c r="M107" s="27">
        <f>IFERROR(100/'Skjema total MA'!I107*K107,0)</f>
        <v>1.913500929158352</v>
      </c>
    </row>
    <row r="108" spans="1:13" ht="15.75" x14ac:dyDescent="0.2">
      <c r="A108" s="21" t="s">
        <v>367</v>
      </c>
      <c r="B108" s="234">
        <v>9718717.4305700008</v>
      </c>
      <c r="C108" s="234">
        <v>9388055.8399599995</v>
      </c>
      <c r="D108" s="166">
        <f t="shared" si="12"/>
        <v>-3.4</v>
      </c>
      <c r="E108" s="27">
        <f>IFERROR(100/'Skjema total MA'!C108*C108,0)</f>
        <v>2.8608471343945339</v>
      </c>
      <c r="F108" s="234"/>
      <c r="G108" s="234"/>
      <c r="H108" s="166"/>
      <c r="I108" s="27"/>
      <c r="J108" s="292">
        <f t="shared" si="20"/>
        <v>9718717.4305700008</v>
      </c>
      <c r="K108" s="44">
        <f t="shared" si="20"/>
        <v>9388055.8399599995</v>
      </c>
      <c r="L108" s="259">
        <f t="shared" si="15"/>
        <v>-3.4</v>
      </c>
      <c r="M108" s="27">
        <f>IFERROR(100/'Skjema total MA'!I108*K108,0)</f>
        <v>2.6946281344568015</v>
      </c>
    </row>
    <row r="109" spans="1:13" ht="15.75" x14ac:dyDescent="0.2">
      <c r="A109" s="38" t="s">
        <v>407</v>
      </c>
      <c r="B109" s="234">
        <v>401317.36901000002</v>
      </c>
      <c r="C109" s="234">
        <v>411293.47869999998</v>
      </c>
      <c r="D109" s="166">
        <f t="shared" si="12"/>
        <v>2.5</v>
      </c>
      <c r="E109" s="27">
        <f>IFERROR(100/'Skjema total MA'!C109*C109,0)</f>
        <v>19.586336321948963</v>
      </c>
      <c r="F109" s="234">
        <v>16887098</v>
      </c>
      <c r="G109" s="234">
        <v>20086451.4846</v>
      </c>
      <c r="H109" s="166">
        <f t="shared" si="13"/>
        <v>18.899999999999999</v>
      </c>
      <c r="I109" s="27">
        <f>IFERROR(100/'Skjema total MA'!F109*G109,0)</f>
        <v>11.643421222414476</v>
      </c>
      <c r="J109" s="292">
        <f t="shared" si="20"/>
        <v>17288415.369010001</v>
      </c>
      <c r="K109" s="44">
        <f t="shared" si="20"/>
        <v>20497744.963300001</v>
      </c>
      <c r="L109" s="259">
        <f t="shared" si="15"/>
        <v>18.600000000000001</v>
      </c>
      <c r="M109" s="27">
        <f>IFERROR(100/'Skjema total MA'!I109*K109,0)</f>
        <v>11.738942789177019</v>
      </c>
    </row>
    <row r="110" spans="1:13" ht="15.75" x14ac:dyDescent="0.2">
      <c r="A110" s="21" t="s">
        <v>368</v>
      </c>
      <c r="B110" s="234">
        <v>621545.39787999995</v>
      </c>
      <c r="C110" s="234">
        <v>909992.15963000001</v>
      </c>
      <c r="D110" s="166">
        <f t="shared" si="12"/>
        <v>46.4</v>
      </c>
      <c r="E110" s="27">
        <f>IFERROR(100/'Skjema total MA'!C110*C110,0)</f>
        <v>53.548717373370785</v>
      </c>
      <c r="F110" s="234"/>
      <c r="G110" s="234"/>
      <c r="H110" s="166"/>
      <c r="I110" s="27"/>
      <c r="J110" s="292">
        <f t="shared" si="20"/>
        <v>621545.39787999995</v>
      </c>
      <c r="K110" s="44">
        <f t="shared" si="20"/>
        <v>909992.15963000001</v>
      </c>
      <c r="L110" s="259">
        <f t="shared" si="15"/>
        <v>46.4</v>
      </c>
      <c r="M110" s="27">
        <f>IFERROR(100/'Skjema total MA'!I110*K110,0)</f>
        <v>53.548717373370785</v>
      </c>
    </row>
    <row r="111" spans="1:13" ht="15.75" x14ac:dyDescent="0.2">
      <c r="A111" s="13" t="s">
        <v>349</v>
      </c>
      <c r="B111" s="311">
        <v>20246.368989999999</v>
      </c>
      <c r="C111" s="159">
        <v>5505.8133200000002</v>
      </c>
      <c r="D111" s="171">
        <f t="shared" si="12"/>
        <v>-72.8</v>
      </c>
      <c r="E111" s="11">
        <f>IFERROR(100/'Skjema total MA'!C111*C111,0)</f>
        <v>3.6249064697651345</v>
      </c>
      <c r="F111" s="311">
        <v>1409867.6889800001</v>
      </c>
      <c r="G111" s="159">
        <v>1222262.4473600001</v>
      </c>
      <c r="H111" s="171">
        <f t="shared" si="13"/>
        <v>-13.3</v>
      </c>
      <c r="I111" s="11">
        <f>IFERROR(100/'Skjema total MA'!F111*G111,0)</f>
        <v>9.9534009625791278</v>
      </c>
      <c r="J111" s="312">
        <f t="shared" si="20"/>
        <v>1430114.0579700002</v>
      </c>
      <c r="K111" s="236">
        <f t="shared" si="20"/>
        <v>1227768.2606800001</v>
      </c>
      <c r="L111" s="425">
        <f t="shared" si="15"/>
        <v>-14.1</v>
      </c>
      <c r="M111" s="11">
        <f>IFERROR(100/'Skjema total MA'!I111*K111,0)</f>
        <v>9.876080701600813</v>
      </c>
    </row>
    <row r="112" spans="1:13" x14ac:dyDescent="0.2">
      <c r="A112" s="21" t="s">
        <v>9</v>
      </c>
      <c r="B112" s="234">
        <v>16817.455709999998</v>
      </c>
      <c r="C112" s="145"/>
      <c r="D112" s="166">
        <f t="shared" ref="D112:D125" si="25">IF(B112=0, "    ---- ", IF(ABS(ROUND(100/B112*C112-100,1))&lt;999,ROUND(100/B112*C112-100,1),IF(ROUND(100/B112*C112-100,1)&gt;999,999,-999)))</f>
        <v>-100</v>
      </c>
      <c r="E112" s="27">
        <f>IFERROR(100/'Skjema total MA'!C112*C112,0)</f>
        <v>0</v>
      </c>
      <c r="F112" s="234"/>
      <c r="G112" s="145"/>
      <c r="H112" s="166"/>
      <c r="I112" s="27"/>
      <c r="J112" s="292">
        <f t="shared" ref="J112:K125" si="26">SUM(B112,F112)</f>
        <v>16817.455709999998</v>
      </c>
      <c r="K112" s="44">
        <f t="shared" si="26"/>
        <v>0</v>
      </c>
      <c r="L112" s="259">
        <f t="shared" ref="L112:L125" si="27">IF(J112=0, "    ---- ", IF(ABS(ROUND(100/J112*K112-100,1))&lt;999,ROUND(100/J112*K112-100,1),IF(ROUND(100/J112*K112-100,1)&gt;999,999,-999)))</f>
        <v>-100</v>
      </c>
      <c r="M112" s="27">
        <f>IFERROR(100/'Skjema total MA'!I112*K112,0)</f>
        <v>0</v>
      </c>
    </row>
    <row r="113" spans="1:14" x14ac:dyDescent="0.2">
      <c r="A113" s="21" t="s">
        <v>10</v>
      </c>
      <c r="B113" s="234"/>
      <c r="C113" s="145"/>
      <c r="D113" s="166"/>
      <c r="E113" s="27"/>
      <c r="F113" s="234">
        <v>1409867.6889800001</v>
      </c>
      <c r="G113" s="145">
        <v>1222262.4473600001</v>
      </c>
      <c r="H113" s="166">
        <f t="shared" ref="H113:H125" si="28">IF(F113=0, "    ---- ", IF(ABS(ROUND(100/F113*G113-100,1))&lt;999,ROUND(100/F113*G113-100,1),IF(ROUND(100/F113*G113-100,1)&gt;999,999,-999)))</f>
        <v>-13.3</v>
      </c>
      <c r="I113" s="27">
        <f>IFERROR(100/'Skjema total MA'!F113*G113,0)</f>
        <v>9.9545180882091628</v>
      </c>
      <c r="J113" s="292">
        <f t="shared" si="26"/>
        <v>1409867.6889800001</v>
      </c>
      <c r="K113" s="44">
        <f t="shared" si="26"/>
        <v>1222262.4473600001</v>
      </c>
      <c r="L113" s="259">
        <f t="shared" si="27"/>
        <v>-13.3</v>
      </c>
      <c r="M113" s="27">
        <f>IFERROR(100/'Skjema total MA'!I113*K113,0)</f>
        <v>9.954432839103891</v>
      </c>
    </row>
    <row r="114" spans="1:14" x14ac:dyDescent="0.2">
      <c r="A114" s="21" t="s">
        <v>26</v>
      </c>
      <c r="B114" s="234">
        <v>3428.9132800000002</v>
      </c>
      <c r="C114" s="145">
        <v>2752.9066600000001</v>
      </c>
      <c r="D114" s="166">
        <f t="shared" si="25"/>
        <v>-19.7</v>
      </c>
      <c r="E114" s="27">
        <f>IFERROR(100/'Skjema total MA'!C114*C114,0)</f>
        <v>4.8330815553058502</v>
      </c>
      <c r="F114" s="234"/>
      <c r="G114" s="145"/>
      <c r="H114" s="166"/>
      <c r="I114" s="27"/>
      <c r="J114" s="292">
        <f t="shared" si="26"/>
        <v>3428.9132800000002</v>
      </c>
      <c r="K114" s="44">
        <f t="shared" si="26"/>
        <v>2752.9066600000001</v>
      </c>
      <c r="L114" s="259">
        <f t="shared" si="27"/>
        <v>-19.7</v>
      </c>
      <c r="M114" s="27">
        <f>IFERROR(100/'Skjema total MA'!I114*K114,0)</f>
        <v>4.8330815553058502</v>
      </c>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v>16509.530839999999</v>
      </c>
      <c r="C116" s="234">
        <v>0</v>
      </c>
      <c r="D116" s="166">
        <f t="shared" si="25"/>
        <v>-100</v>
      </c>
      <c r="E116" s="27">
        <f>IFERROR(100/'Skjema total MA'!C116*C116,0)</f>
        <v>0</v>
      </c>
      <c r="F116" s="234"/>
      <c r="G116" s="234"/>
      <c r="H116" s="166"/>
      <c r="I116" s="27"/>
      <c r="J116" s="292">
        <f t="shared" si="26"/>
        <v>16509.530839999999</v>
      </c>
      <c r="K116" s="44">
        <f t="shared" si="26"/>
        <v>0</v>
      </c>
      <c r="L116" s="259">
        <f t="shared" si="27"/>
        <v>-100</v>
      </c>
      <c r="M116" s="27">
        <f>IFERROR(100/'Skjema total MA'!I116*K116,0)</f>
        <v>0</v>
      </c>
    </row>
    <row r="117" spans="1:14" ht="15.75" x14ac:dyDescent="0.2">
      <c r="A117" s="38" t="s">
        <v>407</v>
      </c>
      <c r="B117" s="234"/>
      <c r="C117" s="234"/>
      <c r="D117" s="166"/>
      <c r="E117" s="27"/>
      <c r="F117" s="234">
        <v>766528.67797999806</v>
      </c>
      <c r="G117" s="234">
        <v>837498.58473999996</v>
      </c>
      <c r="H117" s="166">
        <f t="shared" si="28"/>
        <v>9.3000000000000007</v>
      </c>
      <c r="I117" s="27">
        <f>IFERROR(100/'Skjema total MA'!F117*G117,0)</f>
        <v>12.902524689624125</v>
      </c>
      <c r="J117" s="292">
        <f t="shared" si="26"/>
        <v>766528.67797999806</v>
      </c>
      <c r="K117" s="44">
        <f t="shared" si="26"/>
        <v>837498.58473999996</v>
      </c>
      <c r="L117" s="259">
        <f t="shared" si="27"/>
        <v>9.3000000000000007</v>
      </c>
      <c r="M117" s="27">
        <f>IFERROR(100/'Skjema total MA'!I117*K117,0)</f>
        <v>12.902315675411815</v>
      </c>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v>208738.34943</v>
      </c>
      <c r="C119" s="159">
        <v>31291.7258</v>
      </c>
      <c r="D119" s="171">
        <f t="shared" si="25"/>
        <v>-85</v>
      </c>
      <c r="E119" s="11">
        <f>IFERROR(100/'Skjema total MA'!C119*C119,0)</f>
        <v>22.172232826146811</v>
      </c>
      <c r="F119" s="311">
        <v>1212138.85785</v>
      </c>
      <c r="G119" s="159">
        <v>1728308.4135</v>
      </c>
      <c r="H119" s="171">
        <f t="shared" si="28"/>
        <v>42.6</v>
      </c>
      <c r="I119" s="11">
        <f>IFERROR(100/'Skjema total MA'!F119*G119,0)</f>
        <v>13.303657201425555</v>
      </c>
      <c r="J119" s="312">
        <f t="shared" si="26"/>
        <v>1420877.20728</v>
      </c>
      <c r="K119" s="236">
        <f t="shared" si="26"/>
        <v>1759600.1392999999</v>
      </c>
      <c r="L119" s="425">
        <f t="shared" si="27"/>
        <v>23.8</v>
      </c>
      <c r="M119" s="11">
        <f>IFERROR(100/'Skjema total MA'!I119*K119,0)</f>
        <v>13.398965615788795</v>
      </c>
    </row>
    <row r="120" spans="1:14" x14ac:dyDescent="0.2">
      <c r="A120" s="21" t="s">
        <v>9</v>
      </c>
      <c r="B120" s="234">
        <v>252.17418000000001</v>
      </c>
      <c r="C120" s="145">
        <v>531.6182</v>
      </c>
      <c r="D120" s="166">
        <f t="shared" si="25"/>
        <v>110.8</v>
      </c>
      <c r="E120" s="27">
        <f>IFERROR(100/'Skjema total MA'!C120*C120,0)</f>
        <v>0.77099013463428367</v>
      </c>
      <c r="F120" s="234"/>
      <c r="G120" s="145"/>
      <c r="H120" s="166"/>
      <c r="I120" s="27"/>
      <c r="J120" s="292">
        <f t="shared" si="26"/>
        <v>252.17418000000001</v>
      </c>
      <c r="K120" s="44">
        <f t="shared" si="26"/>
        <v>531.6182</v>
      </c>
      <c r="L120" s="259">
        <f t="shared" si="27"/>
        <v>110.8</v>
      </c>
      <c r="M120" s="27">
        <f>IFERROR(100/'Skjema total MA'!I120*K120,0)</f>
        <v>0.77099013463428367</v>
      </c>
    </row>
    <row r="121" spans="1:14" x14ac:dyDescent="0.2">
      <c r="A121" s="21" t="s">
        <v>10</v>
      </c>
      <c r="B121" s="234">
        <v>5116.5181000000002</v>
      </c>
      <c r="C121" s="145">
        <v>6822.4922900000001</v>
      </c>
      <c r="D121" s="166">
        <f t="shared" si="25"/>
        <v>33.299999999999997</v>
      </c>
      <c r="E121" s="27">
        <f>IFERROR(100/'Skjema total MA'!C121*C121,0)</f>
        <v>100</v>
      </c>
      <c r="F121" s="234">
        <v>1212138.85785</v>
      </c>
      <c r="G121" s="145">
        <v>1728308.4135</v>
      </c>
      <c r="H121" s="166">
        <f t="shared" si="28"/>
        <v>42.6</v>
      </c>
      <c r="I121" s="27">
        <f>IFERROR(100/'Skjema total MA'!F121*G121,0)</f>
        <v>13.303657201425555</v>
      </c>
      <c r="J121" s="292">
        <f t="shared" si="26"/>
        <v>1217255.37595</v>
      </c>
      <c r="K121" s="44">
        <f t="shared" si="26"/>
        <v>1735130.90579</v>
      </c>
      <c r="L121" s="259">
        <f t="shared" si="27"/>
        <v>42.5</v>
      </c>
      <c r="M121" s="27">
        <f>IFERROR(100/'Skjema total MA'!I121*K121,0)</f>
        <v>13.349162882413346</v>
      </c>
    </row>
    <row r="122" spans="1:14" x14ac:dyDescent="0.2">
      <c r="A122" s="21" t="s">
        <v>26</v>
      </c>
      <c r="B122" s="234">
        <v>203369.65715000001</v>
      </c>
      <c r="C122" s="145">
        <v>23937.615310000001</v>
      </c>
      <c r="D122" s="166">
        <f t="shared" si="25"/>
        <v>-88.2</v>
      </c>
      <c r="E122" s="27">
        <f>IFERROR(100/'Skjema total MA'!C122*C122,0)</f>
        <v>36.627009765354579</v>
      </c>
      <c r="F122" s="234"/>
      <c r="G122" s="145"/>
      <c r="H122" s="166"/>
      <c r="I122" s="27"/>
      <c r="J122" s="292">
        <f t="shared" si="26"/>
        <v>203369.65715000001</v>
      </c>
      <c r="K122" s="44">
        <f t="shared" si="26"/>
        <v>23937.615310000001</v>
      </c>
      <c r="L122" s="259">
        <f t="shared" si="27"/>
        <v>-88.2</v>
      </c>
      <c r="M122" s="27">
        <f>IFERROR(100/'Skjema total MA'!I122*K122,0)</f>
        <v>36.627009765354579</v>
      </c>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v>16.37509</v>
      </c>
      <c r="C125" s="234">
        <v>60.852820000000001</v>
      </c>
      <c r="D125" s="166">
        <f t="shared" si="25"/>
        <v>271.60000000000002</v>
      </c>
      <c r="E125" s="27">
        <f>IFERROR(100/'Skjema total MA'!C125*C125,0)</f>
        <v>100</v>
      </c>
      <c r="F125" s="234">
        <v>579411.24753000005</v>
      </c>
      <c r="G125" s="234">
        <v>606015.68163000001</v>
      </c>
      <c r="H125" s="166">
        <f t="shared" si="28"/>
        <v>4.5999999999999996</v>
      </c>
      <c r="I125" s="27">
        <f>IFERROR(100/'Skjema total MA'!F125*G125,0)</f>
        <v>9.1370421574986498</v>
      </c>
      <c r="J125" s="292">
        <f t="shared" si="26"/>
        <v>579427.62262000004</v>
      </c>
      <c r="K125" s="44">
        <f t="shared" si="26"/>
        <v>606076.53445000004</v>
      </c>
      <c r="L125" s="259">
        <f t="shared" si="27"/>
        <v>4.5999999999999996</v>
      </c>
      <c r="M125" s="27">
        <f>IFERROR(100/'Skjema total MA'!I125*K125,0)</f>
        <v>9.1378758105819173</v>
      </c>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39" priority="132">
      <formula>kvartal &lt; 4</formula>
    </cfRule>
  </conditionalFormatting>
  <conditionalFormatting sqref="B115">
    <cfRule type="expression" dxfId="338" priority="76">
      <formula>kvartal &lt; 4</formula>
    </cfRule>
  </conditionalFormatting>
  <conditionalFormatting sqref="C115">
    <cfRule type="expression" dxfId="337" priority="75">
      <formula>kvartal &lt; 4</formula>
    </cfRule>
  </conditionalFormatting>
  <conditionalFormatting sqref="B123">
    <cfRule type="expression" dxfId="336" priority="74">
      <formula>kvartal &lt; 4</formula>
    </cfRule>
  </conditionalFormatting>
  <conditionalFormatting sqref="C123">
    <cfRule type="expression" dxfId="335" priority="73">
      <formula>kvartal &lt; 4</formula>
    </cfRule>
  </conditionalFormatting>
  <conditionalFormatting sqref="F115">
    <cfRule type="expression" dxfId="334" priority="58">
      <formula>kvartal &lt; 4</formula>
    </cfRule>
  </conditionalFormatting>
  <conditionalFormatting sqref="G115">
    <cfRule type="expression" dxfId="333" priority="57">
      <formula>kvartal &lt; 4</formula>
    </cfRule>
  </conditionalFormatting>
  <conditionalFormatting sqref="F123:G123">
    <cfRule type="expression" dxfId="332" priority="56">
      <formula>kvartal &lt; 4</formula>
    </cfRule>
  </conditionalFormatting>
  <conditionalFormatting sqref="J115:K115">
    <cfRule type="expression" dxfId="331" priority="32">
      <formula>kvartal &lt; 4</formula>
    </cfRule>
  </conditionalFormatting>
  <conditionalFormatting sqref="J123:K123">
    <cfRule type="expression" dxfId="330" priority="31">
      <formula>kvartal &lt; 4</formula>
    </cfRule>
  </conditionalFormatting>
  <conditionalFormatting sqref="A50:A52">
    <cfRule type="expression" dxfId="329" priority="12">
      <formula>kvartal &lt; 4</formula>
    </cfRule>
  </conditionalFormatting>
  <conditionalFormatting sqref="A69:A74">
    <cfRule type="expression" dxfId="328" priority="10">
      <formula>kvartal &lt; 4</formula>
    </cfRule>
  </conditionalFormatting>
  <conditionalFormatting sqref="A80:A85">
    <cfRule type="expression" dxfId="327" priority="9">
      <formula>kvartal &lt; 4</formula>
    </cfRule>
  </conditionalFormatting>
  <conditionalFormatting sqref="A90:A95">
    <cfRule type="expression" dxfId="326" priority="6">
      <formula>kvartal &lt; 4</formula>
    </cfRule>
  </conditionalFormatting>
  <conditionalFormatting sqref="A101:A106">
    <cfRule type="expression" dxfId="325" priority="5">
      <formula>kvartal &lt; 4</formula>
    </cfRule>
  </conditionalFormatting>
  <conditionalFormatting sqref="A115">
    <cfRule type="expression" dxfId="324" priority="4">
      <formula>kvartal &lt; 4</formula>
    </cfRule>
  </conditionalFormatting>
  <conditionalFormatting sqref="A123">
    <cfRule type="expression" dxfId="323" priority="3">
      <formula>kvartal &lt; 4</formula>
    </cfRule>
  </conditionalFormatting>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94</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226314.35800000001</v>
      </c>
      <c r="C7" s="310">
        <v>349370.43419</v>
      </c>
      <c r="D7" s="352">
        <f>IF(B7=0, "    ---- ", IF(ABS(ROUND(100/B7*C7-100,1))&lt;999,ROUND(100/B7*C7-100,1),IF(ROUND(100/B7*C7-100,1)&gt;999,999,-999)))</f>
        <v>54.4</v>
      </c>
      <c r="E7" s="11">
        <f>IFERROR(100/'Skjema total MA'!C7*C7,0)</f>
        <v>18.493004819811713</v>
      </c>
      <c r="F7" s="309">
        <v>357954.49699999997</v>
      </c>
      <c r="G7" s="310">
        <v>304288.05459000001</v>
      </c>
      <c r="H7" s="352">
        <f>IF(F7=0, "    ---- ", IF(ABS(ROUND(100/F7*G7-100,1))&lt;999,ROUND(100/F7*G7-100,1),IF(ROUND(100/F7*G7-100,1)&gt;999,999,-999)))</f>
        <v>-15</v>
      </c>
      <c r="I7" s="160">
        <f>IFERROR(100/'Skjema total MA'!F7*G7,0)</f>
        <v>11.258008348933521</v>
      </c>
      <c r="J7" s="311">
        <f t="shared" ref="J7:K12" si="0">SUM(B7,F7)</f>
        <v>584268.85499999998</v>
      </c>
      <c r="K7" s="312">
        <f t="shared" si="0"/>
        <v>653658.48878000001</v>
      </c>
      <c r="L7" s="424">
        <f>IF(J7=0, "    ---- ", IF(ABS(ROUND(100/J7*K7-100,1))&lt;999,ROUND(100/J7*K7-100,1),IF(ROUND(100/J7*K7-100,1)&gt;999,999,-999)))</f>
        <v>11.9</v>
      </c>
      <c r="M7" s="11">
        <f>IFERROR(100/'Skjema total MA'!I7*K7,0)</f>
        <v>14.234531481349087</v>
      </c>
    </row>
    <row r="8" spans="1:14" ht="15.75" x14ac:dyDescent="0.2">
      <c r="A8" s="21" t="s">
        <v>25</v>
      </c>
      <c r="B8" s="286">
        <v>84114.971999999994</v>
      </c>
      <c r="C8" s="287">
        <v>103911.597044781</v>
      </c>
      <c r="D8" s="166">
        <f t="shared" ref="D8:D10" si="1">IF(B8=0, "    ---- ", IF(ABS(ROUND(100/B8*C8-100,1))&lt;999,ROUND(100/B8*C8-100,1),IF(ROUND(100/B8*C8-100,1)&gt;999,999,-999)))</f>
        <v>23.5</v>
      </c>
      <c r="E8" s="27">
        <f>IFERROR(100/'Skjema total MA'!C8*C8,0)</f>
        <v>8.5188482248066357</v>
      </c>
      <c r="F8" s="290"/>
      <c r="G8" s="291"/>
      <c r="H8" s="166"/>
      <c r="I8" s="176"/>
      <c r="J8" s="234">
        <f t="shared" si="0"/>
        <v>84114.971999999994</v>
      </c>
      <c r="K8" s="292">
        <f t="shared" si="0"/>
        <v>103911.597044781</v>
      </c>
      <c r="L8" s="166">
        <f t="shared" ref="L8:L9" si="2">IF(J8=0, "    ---- ", IF(ABS(ROUND(100/J8*K8-100,1))&lt;999,ROUND(100/J8*K8-100,1),IF(ROUND(100/J8*K8-100,1)&gt;999,999,-999)))</f>
        <v>23.5</v>
      </c>
      <c r="M8" s="27">
        <f>IFERROR(100/'Skjema total MA'!I8*K8,0)</f>
        <v>8.5188482248066357</v>
      </c>
    </row>
    <row r="9" spans="1:14" ht="15.75" x14ac:dyDescent="0.2">
      <c r="A9" s="21" t="s">
        <v>24</v>
      </c>
      <c r="B9" s="286">
        <v>13841.239</v>
      </c>
      <c r="C9" s="287">
        <v>46689.144923813103</v>
      </c>
      <c r="D9" s="166">
        <f t="shared" si="1"/>
        <v>237.3</v>
      </c>
      <c r="E9" s="27">
        <f>IFERROR(100/'Skjema total MA'!C9*C9,0)</f>
        <v>10.694704290326746</v>
      </c>
      <c r="F9" s="290"/>
      <c r="G9" s="291"/>
      <c r="H9" s="166"/>
      <c r="I9" s="176"/>
      <c r="J9" s="234">
        <f t="shared" si="0"/>
        <v>13841.239</v>
      </c>
      <c r="K9" s="292">
        <f t="shared" si="0"/>
        <v>46689.144923813103</v>
      </c>
      <c r="L9" s="166">
        <f t="shared" si="2"/>
        <v>237.3</v>
      </c>
      <c r="M9" s="27">
        <f>IFERROR(100/'Skjema total MA'!I9*K9,0)</f>
        <v>10.694704290326746</v>
      </c>
    </row>
    <row r="10" spans="1:14" ht="15.75" x14ac:dyDescent="0.2">
      <c r="A10" s="13" t="s">
        <v>348</v>
      </c>
      <c r="B10" s="313">
        <v>4195840.5250000004</v>
      </c>
      <c r="C10" s="314">
        <v>4660073.2677699998</v>
      </c>
      <c r="D10" s="171">
        <f t="shared" si="1"/>
        <v>11.1</v>
      </c>
      <c r="E10" s="11">
        <f>IFERROR(100/'Skjema total MA'!C10*C10,0)</f>
        <v>31.607166457985677</v>
      </c>
      <c r="F10" s="313">
        <v>10719004.029999999</v>
      </c>
      <c r="G10" s="314">
        <v>13795369.107000001</v>
      </c>
      <c r="H10" s="171">
        <f t="shared" ref="H10:H12" si="3">IF(F10=0, "    ---- ", IF(ABS(ROUND(100/F10*G10-100,1))&lt;999,ROUND(100/F10*G10-100,1),IF(ROUND(100/F10*G10-100,1)&gt;999,999,-999)))</f>
        <v>28.7</v>
      </c>
      <c r="I10" s="160">
        <f>IFERROR(100/'Skjema total MA'!F10*G10,0)</f>
        <v>18.265661465132123</v>
      </c>
      <c r="J10" s="311">
        <f t="shared" si="0"/>
        <v>14914844.555</v>
      </c>
      <c r="K10" s="312">
        <f t="shared" si="0"/>
        <v>18455442.374770001</v>
      </c>
      <c r="L10" s="425">
        <f t="shared" ref="L10:L12" si="4">IF(J10=0, "    ---- ", IF(ABS(ROUND(100/J10*K10-100,1))&lt;999,ROUND(100/J10*K10-100,1),IF(ROUND(100/J10*K10-100,1)&gt;999,999,-999)))</f>
        <v>23.7</v>
      </c>
      <c r="M10" s="11">
        <f>IFERROR(100/'Skjema total MA'!I10*K10,0)</f>
        <v>20.444718961895081</v>
      </c>
    </row>
    <row r="11" spans="1:14" s="43" customFormat="1" ht="15.75" x14ac:dyDescent="0.2">
      <c r="A11" s="13" t="s">
        <v>349</v>
      </c>
      <c r="B11" s="313"/>
      <c r="C11" s="314"/>
      <c r="D11" s="171"/>
      <c r="E11" s="11"/>
      <c r="F11" s="313">
        <v>11921.37</v>
      </c>
      <c r="G11" s="314">
        <v>7356.1630400000004</v>
      </c>
      <c r="H11" s="171">
        <f t="shared" si="3"/>
        <v>-38.299999999999997</v>
      </c>
      <c r="I11" s="160">
        <f>IFERROR(100/'Skjema total MA'!F11*G11,0)</f>
        <v>13.791395094560674</v>
      </c>
      <c r="J11" s="311">
        <f t="shared" si="0"/>
        <v>11921.37</v>
      </c>
      <c r="K11" s="312">
        <f t="shared" si="0"/>
        <v>7356.1630400000004</v>
      </c>
      <c r="L11" s="425">
        <f t="shared" si="4"/>
        <v>-38.299999999999997</v>
      </c>
      <c r="M11" s="11">
        <f>IFERROR(100/'Skjema total MA'!I11*K11,0)</f>
        <v>9.4319712313661803</v>
      </c>
      <c r="N11" s="143"/>
    </row>
    <row r="12" spans="1:14" s="43" customFormat="1" ht="15.75" x14ac:dyDescent="0.2">
      <c r="A12" s="41" t="s">
        <v>350</v>
      </c>
      <c r="B12" s="315"/>
      <c r="C12" s="316"/>
      <c r="D12" s="169"/>
      <c r="E12" s="36"/>
      <c r="F12" s="315">
        <v>4855.1589999999997</v>
      </c>
      <c r="G12" s="316">
        <v>30956.169180000001</v>
      </c>
      <c r="H12" s="169">
        <f t="shared" si="3"/>
        <v>537.6</v>
      </c>
      <c r="I12" s="169">
        <f>IFERROR(100/'Skjema total MA'!F12*G12,0)</f>
        <v>61.415848464733408</v>
      </c>
      <c r="J12" s="317">
        <f t="shared" si="0"/>
        <v>4855.1589999999997</v>
      </c>
      <c r="K12" s="318">
        <f t="shared" si="0"/>
        <v>30956.169180000001</v>
      </c>
      <c r="L12" s="426">
        <f t="shared" si="4"/>
        <v>537.6</v>
      </c>
      <c r="M12" s="36">
        <f>IFERROR(100/'Skjema total MA'!I12*K12,0)</f>
        <v>61.415848464733408</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v>1678.633</v>
      </c>
      <c r="C22" s="313">
        <v>5053.4370200000003</v>
      </c>
      <c r="D22" s="352">
        <f t="shared" ref="D22:D37" si="5">IF(B22=0, "    ---- ", IF(ABS(ROUND(100/B22*C22-100,1))&lt;999,ROUND(100/B22*C22-100,1),IF(ROUND(100/B22*C22-100,1)&gt;999,999,-999)))</f>
        <v>201</v>
      </c>
      <c r="E22" s="11">
        <f>IFERROR(100/'Skjema total MA'!C22*C22,0)</f>
        <v>0.61449851198779681</v>
      </c>
      <c r="F22" s="321">
        <v>81375.941000000006</v>
      </c>
      <c r="G22" s="321">
        <v>69910.687999999995</v>
      </c>
      <c r="H22" s="352">
        <f t="shared" ref="H22:H35" si="6">IF(F22=0, "    ---- ", IF(ABS(ROUND(100/F22*G22-100,1))&lt;999,ROUND(100/F22*G22-100,1),IF(ROUND(100/F22*G22-100,1)&gt;999,999,-999)))</f>
        <v>-14.1</v>
      </c>
      <c r="I22" s="11">
        <f>IFERROR(100/'Skjema total MA'!F22*G22,0)</f>
        <v>30.045755063684105</v>
      </c>
      <c r="J22" s="319">
        <f t="shared" ref="J22:K35" si="7">SUM(B22,F22)</f>
        <v>83054.574000000008</v>
      </c>
      <c r="K22" s="319">
        <f t="shared" si="7"/>
        <v>74964.125019999992</v>
      </c>
      <c r="L22" s="424">
        <f t="shared" ref="L22:L35" si="8">IF(J22=0, "    ---- ", IF(ABS(ROUND(100/J22*K22-100,1))&lt;999,ROUND(100/J22*K22-100,1),IF(ROUND(100/J22*K22-100,1)&gt;999,999,-999)))</f>
        <v>-9.6999999999999993</v>
      </c>
      <c r="M22" s="24">
        <f>IFERROR(100/'Skjema total MA'!I22*K22,0)</f>
        <v>7.1052782528239797</v>
      </c>
    </row>
    <row r="23" spans="1:14" ht="15.75" x14ac:dyDescent="0.2">
      <c r="A23" s="507" t="s">
        <v>351</v>
      </c>
      <c r="B23" s="286">
        <v>252.32400000000001</v>
      </c>
      <c r="C23" s="286">
        <v>280.59239687223101</v>
      </c>
      <c r="D23" s="166">
        <f t="shared" si="5"/>
        <v>11.2</v>
      </c>
      <c r="E23" s="11">
        <f>IFERROR(100/'Skjema total MA'!C23*C23,0)</f>
        <v>4.7731152474656598E-2</v>
      </c>
      <c r="F23" s="294">
        <v>11490.362999999999</v>
      </c>
      <c r="G23" s="294">
        <v>6254.4106000000002</v>
      </c>
      <c r="H23" s="166">
        <f t="shared" si="6"/>
        <v>-45.6</v>
      </c>
      <c r="I23" s="414">
        <f>IFERROR(100/'Skjema total MA'!F23*G23,0)</f>
        <v>50.289036842912623</v>
      </c>
      <c r="J23" s="294">
        <f t="shared" ref="J23:J26" si="9">SUM(B23,F23)</f>
        <v>11742.687</v>
      </c>
      <c r="K23" s="294">
        <f t="shared" ref="K23:K26" si="10">SUM(C23,G23)</f>
        <v>6535.0029968722311</v>
      </c>
      <c r="L23" s="166">
        <f t="shared" si="8"/>
        <v>-44.3</v>
      </c>
      <c r="M23" s="23">
        <f>IFERROR(100/'Skjema total MA'!I23*K23,0)</f>
        <v>1.0886282613247056</v>
      </c>
    </row>
    <row r="24" spans="1:14" ht="15.75" x14ac:dyDescent="0.2">
      <c r="A24" s="507" t="s">
        <v>352</v>
      </c>
      <c r="B24" s="286">
        <v>1426.309</v>
      </c>
      <c r="C24" s="286">
        <v>1538.9956231277699</v>
      </c>
      <c r="D24" s="166">
        <f t="shared" si="5"/>
        <v>7.9</v>
      </c>
      <c r="E24" s="11">
        <f>IFERROR(100/'Skjema total MA'!C24*C24,0)</f>
        <v>68.381782674644711</v>
      </c>
      <c r="F24" s="294"/>
      <c r="G24" s="294"/>
      <c r="H24" s="166"/>
      <c r="I24" s="414"/>
      <c r="J24" s="294">
        <f t="shared" si="9"/>
        <v>1426.309</v>
      </c>
      <c r="K24" s="294">
        <f t="shared" si="10"/>
        <v>1538.9956231277699</v>
      </c>
      <c r="L24" s="166">
        <f t="shared" si="8"/>
        <v>7.9</v>
      </c>
      <c r="M24" s="23">
        <f>IFERROR(100/'Skjema total MA'!I24*K24,0)</f>
        <v>62.393577494823205</v>
      </c>
    </row>
    <row r="25" spans="1:14" ht="15.75" x14ac:dyDescent="0.2">
      <c r="A25" s="507" t="s">
        <v>353</v>
      </c>
      <c r="B25" s="286"/>
      <c r="C25" s="286"/>
      <c r="D25" s="166"/>
      <c r="E25" s="11"/>
      <c r="F25" s="294">
        <v>64.373000000000005</v>
      </c>
      <c r="G25" s="294">
        <v>314.45400000000001</v>
      </c>
      <c r="H25" s="166">
        <f t="shared" si="6"/>
        <v>388.5</v>
      </c>
      <c r="I25" s="414">
        <f>IFERROR(100/'Skjema total MA'!F25*G25,0)</f>
        <v>7.5372181335294801</v>
      </c>
      <c r="J25" s="294">
        <f t="shared" si="9"/>
        <v>64.373000000000005</v>
      </c>
      <c r="K25" s="294">
        <f t="shared" si="10"/>
        <v>314.45400000000001</v>
      </c>
      <c r="L25" s="166">
        <f t="shared" si="8"/>
        <v>388.5</v>
      </c>
      <c r="M25" s="23">
        <f>IFERROR(100/'Skjema total MA'!I25*K25,0)</f>
        <v>4.0489521239822528</v>
      </c>
    </row>
    <row r="26" spans="1:14" ht="15.75" x14ac:dyDescent="0.2">
      <c r="A26" s="507" t="s">
        <v>354</v>
      </c>
      <c r="B26" s="286"/>
      <c r="C26" s="286"/>
      <c r="D26" s="166"/>
      <c r="E26" s="11"/>
      <c r="F26" s="294">
        <v>69821.205000000002</v>
      </c>
      <c r="G26" s="294">
        <v>63341.823400000001</v>
      </c>
      <c r="H26" s="166">
        <f t="shared" si="6"/>
        <v>-9.3000000000000007</v>
      </c>
      <c r="I26" s="414">
        <f>IFERROR(100/'Skjema total MA'!F26*G26,0)</f>
        <v>29.344507609680285</v>
      </c>
      <c r="J26" s="294">
        <f t="shared" si="9"/>
        <v>69821.205000000002</v>
      </c>
      <c r="K26" s="294">
        <f t="shared" si="10"/>
        <v>63341.823400000001</v>
      </c>
      <c r="L26" s="166">
        <f t="shared" si="8"/>
        <v>-9.3000000000000007</v>
      </c>
      <c r="M26" s="23">
        <f>IFERROR(100/'Skjema total MA'!I26*K26,0)</f>
        <v>29.344507609680285</v>
      </c>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v>67676.72</v>
      </c>
      <c r="C28" s="292">
        <v>88724.447499998001</v>
      </c>
      <c r="D28" s="166">
        <f t="shared" si="5"/>
        <v>31.1</v>
      </c>
      <c r="E28" s="11">
        <f>IFERROR(100/'Skjema total MA'!C28*C28,0)</f>
        <v>9.3442669359396948</v>
      </c>
      <c r="F28" s="234"/>
      <c r="G28" s="292"/>
      <c r="H28" s="166"/>
      <c r="I28" s="27"/>
      <c r="J28" s="44">
        <f t="shared" si="7"/>
        <v>67676.72</v>
      </c>
      <c r="K28" s="44">
        <f t="shared" si="7"/>
        <v>88724.447499998001</v>
      </c>
      <c r="L28" s="259">
        <f t="shared" si="8"/>
        <v>31.1</v>
      </c>
      <c r="M28" s="23">
        <f>IFERROR(100/'Skjema total MA'!I28*K28,0)</f>
        <v>9.3442669359396948</v>
      </c>
    </row>
    <row r="29" spans="1:14" s="3" customFormat="1" ht="15.75" x14ac:dyDescent="0.2">
      <c r="A29" s="13" t="s">
        <v>348</v>
      </c>
      <c r="B29" s="236">
        <v>8206992.2609999999</v>
      </c>
      <c r="C29" s="236">
        <v>7648107.4816399999</v>
      </c>
      <c r="D29" s="171">
        <f t="shared" si="5"/>
        <v>-6.8</v>
      </c>
      <c r="E29" s="11">
        <f>IFERROR(100/'Skjema total MA'!C29*C29,0)</f>
        <v>17.33132648936731</v>
      </c>
      <c r="F29" s="311">
        <v>6516379.0250000004</v>
      </c>
      <c r="G29" s="311">
        <v>8512464.9239000008</v>
      </c>
      <c r="H29" s="171">
        <f t="shared" si="6"/>
        <v>30.6</v>
      </c>
      <c r="I29" s="11">
        <f>IFERROR(100/'Skjema total MA'!F29*G29,0)</f>
        <v>34.304007854327516</v>
      </c>
      <c r="J29" s="236">
        <f t="shared" si="7"/>
        <v>14723371.286</v>
      </c>
      <c r="K29" s="236">
        <f t="shared" si="7"/>
        <v>16160572.405540001</v>
      </c>
      <c r="L29" s="425">
        <f t="shared" si="8"/>
        <v>9.8000000000000007</v>
      </c>
      <c r="M29" s="24">
        <f>IFERROR(100/'Skjema total MA'!I29*K29,0)</f>
        <v>23.44028315812821</v>
      </c>
      <c r="N29" s="148"/>
    </row>
    <row r="30" spans="1:14" s="3" customFormat="1" ht="15.75" x14ac:dyDescent="0.2">
      <c r="A30" s="507" t="s">
        <v>351</v>
      </c>
      <c r="B30" s="286">
        <v>1233634.1980000001</v>
      </c>
      <c r="C30" s="286">
        <v>1153443.30894509</v>
      </c>
      <c r="D30" s="166">
        <f t="shared" si="5"/>
        <v>-6.5</v>
      </c>
      <c r="E30" s="11">
        <f>IFERROR(100/'Skjema total MA'!C30*C30,0)</f>
        <v>6.6129363237909757</v>
      </c>
      <c r="F30" s="294">
        <v>542833.05888000096</v>
      </c>
      <c r="G30" s="294">
        <v>1081325.0989900001</v>
      </c>
      <c r="H30" s="166">
        <f t="shared" si="6"/>
        <v>99.2</v>
      </c>
      <c r="I30" s="414">
        <f>IFERROR(100/'Skjema total MA'!F30*G30,0)</f>
        <v>30.887756164408742</v>
      </c>
      <c r="J30" s="294">
        <f t="shared" ref="J30:J33" si="11">SUM(B30,F30)</f>
        <v>1776467.2568800012</v>
      </c>
      <c r="K30" s="294">
        <f t="shared" ref="K30:K33" si="12">SUM(C30,G30)</f>
        <v>2234768.4079350904</v>
      </c>
      <c r="L30" s="166">
        <f t="shared" si="8"/>
        <v>25.8</v>
      </c>
      <c r="M30" s="23">
        <f>IFERROR(100/'Skjema total MA'!I30*K30,0)</f>
        <v>10.670693601336026</v>
      </c>
      <c r="N30" s="148"/>
    </row>
    <row r="31" spans="1:14" s="3" customFormat="1" ht="15.75" x14ac:dyDescent="0.2">
      <c r="A31" s="507" t="s">
        <v>352</v>
      </c>
      <c r="B31" s="286">
        <v>6973358.0630000001</v>
      </c>
      <c r="C31" s="286">
        <v>6326415.9106949102</v>
      </c>
      <c r="D31" s="166">
        <f t="shared" si="5"/>
        <v>-9.3000000000000007</v>
      </c>
      <c r="E31" s="11">
        <f>IFERROR(100/'Skjema total MA'!C31*C31,0)</f>
        <v>26.447059976609331</v>
      </c>
      <c r="F31" s="294">
        <v>1582001.4222599999</v>
      </c>
      <c r="G31" s="294">
        <v>2358185.7833599998</v>
      </c>
      <c r="H31" s="166">
        <f t="shared" si="6"/>
        <v>49.1</v>
      </c>
      <c r="I31" s="414">
        <f>IFERROR(100/'Skjema total MA'!F31*G31,0)</f>
        <v>30.869937411486742</v>
      </c>
      <c r="J31" s="294">
        <f t="shared" si="11"/>
        <v>8555359.4852600005</v>
      </c>
      <c r="K31" s="294">
        <f t="shared" si="12"/>
        <v>8684601.6940549091</v>
      </c>
      <c r="L31" s="166">
        <f t="shared" si="8"/>
        <v>1.5</v>
      </c>
      <c r="M31" s="23">
        <f>IFERROR(100/'Skjema total MA'!I31*K31,0)</f>
        <v>27.51761259902775</v>
      </c>
      <c r="N31" s="148"/>
    </row>
    <row r="32" spans="1:14" ht="15.75" x14ac:dyDescent="0.2">
      <c r="A32" s="507" t="s">
        <v>353</v>
      </c>
      <c r="B32" s="286"/>
      <c r="C32" s="286"/>
      <c r="D32" s="166"/>
      <c r="E32" s="11"/>
      <c r="F32" s="294">
        <v>2013931.2950500001</v>
      </c>
      <c r="G32" s="294">
        <v>2112343.4504</v>
      </c>
      <c r="H32" s="166">
        <f t="shared" si="6"/>
        <v>4.9000000000000004</v>
      </c>
      <c r="I32" s="414">
        <f>IFERROR(100/'Skjema total MA'!F32*G32,0)</f>
        <v>38.34378021573044</v>
      </c>
      <c r="J32" s="294">
        <f t="shared" si="11"/>
        <v>2013931.2950500001</v>
      </c>
      <c r="K32" s="294">
        <f t="shared" si="12"/>
        <v>2112343.4504</v>
      </c>
      <c r="L32" s="166">
        <f t="shared" si="8"/>
        <v>4.9000000000000004</v>
      </c>
      <c r="M32" s="23">
        <f>IFERROR(100/'Skjema total MA'!I32*K32,0)</f>
        <v>26.358027945697444</v>
      </c>
    </row>
    <row r="33" spans="1:14" ht="15.75" x14ac:dyDescent="0.2">
      <c r="A33" s="507" t="s">
        <v>354</v>
      </c>
      <c r="B33" s="286"/>
      <c r="C33" s="286"/>
      <c r="D33" s="166"/>
      <c r="E33" s="11"/>
      <c r="F33" s="294">
        <v>2377613.2488099998</v>
      </c>
      <c r="G33" s="294">
        <v>2960610.5911500002</v>
      </c>
      <c r="H33" s="166">
        <f t="shared" si="6"/>
        <v>24.5</v>
      </c>
      <c r="I33" s="414">
        <f>IFERROR(100/'Skjema total MA'!F33*G33,0)</f>
        <v>36.25577728475556</v>
      </c>
      <c r="J33" s="294">
        <f t="shared" si="11"/>
        <v>2377613.2488099998</v>
      </c>
      <c r="K33" s="294">
        <f t="shared" si="12"/>
        <v>2960610.5911500002</v>
      </c>
      <c r="L33" s="166">
        <f t="shared" si="8"/>
        <v>24.5</v>
      </c>
      <c r="M33" s="23">
        <f>IFERROR(100/'Skjema total MA'!I33*K33,0)</f>
        <v>36.25577728475556</v>
      </c>
    </row>
    <row r="34" spans="1:14" ht="15.75" x14ac:dyDescent="0.2">
      <c r="A34" s="13" t="s">
        <v>349</v>
      </c>
      <c r="B34" s="236">
        <v>1657.192</v>
      </c>
      <c r="C34" s="312">
        <v>4220.9260000000004</v>
      </c>
      <c r="D34" s="171">
        <f t="shared" si="5"/>
        <v>154.69999999999999</v>
      </c>
      <c r="E34" s="11">
        <f>IFERROR(100/'Skjema total MA'!C34*C34,0)</f>
        <v>48.583816206537676</v>
      </c>
      <c r="F34" s="311">
        <v>3433.17</v>
      </c>
      <c r="G34" s="312">
        <v>10149.624739999999</v>
      </c>
      <c r="H34" s="171">
        <f t="shared" si="6"/>
        <v>195.6</v>
      </c>
      <c r="I34" s="11">
        <f>IFERROR(100/'Skjema total MA'!F34*G34,0)</f>
        <v>103.89432286182327</v>
      </c>
      <c r="J34" s="236">
        <f t="shared" si="7"/>
        <v>5090.3620000000001</v>
      </c>
      <c r="K34" s="236">
        <f t="shared" si="7"/>
        <v>14370.550739999999</v>
      </c>
      <c r="L34" s="425">
        <f t="shared" si="8"/>
        <v>182.3</v>
      </c>
      <c r="M34" s="24">
        <f>IFERROR(100/'Skjema total MA'!I34*K34,0)</f>
        <v>77.859171114922418</v>
      </c>
    </row>
    <row r="35" spans="1:14" ht="15.75" x14ac:dyDescent="0.2">
      <c r="A35" s="13" t="s">
        <v>350</v>
      </c>
      <c r="B35" s="236"/>
      <c r="C35" s="312"/>
      <c r="D35" s="171"/>
      <c r="E35" s="11"/>
      <c r="F35" s="311">
        <v>3931.808</v>
      </c>
      <c r="G35" s="312">
        <v>16796.94498</v>
      </c>
      <c r="H35" s="171">
        <f t="shared" si="6"/>
        <v>327.2</v>
      </c>
      <c r="I35" s="11">
        <f>IFERROR(100/'Skjema total MA'!F35*G35,0)</f>
        <v>40.979462572605627</v>
      </c>
      <c r="J35" s="236">
        <f t="shared" si="7"/>
        <v>3931.808</v>
      </c>
      <c r="K35" s="236">
        <f t="shared" si="7"/>
        <v>16796.94498</v>
      </c>
      <c r="L35" s="425">
        <f t="shared" si="8"/>
        <v>327.2</v>
      </c>
      <c r="M35" s="24">
        <f>IFERROR(100/'Skjema total MA'!I35*K35,0)</f>
        <v>88.086516482168989</v>
      </c>
    </row>
    <row r="36" spans="1:14" ht="15.75" x14ac:dyDescent="0.2">
      <c r="A36" s="12" t="s">
        <v>277</v>
      </c>
      <c r="B36" s="236">
        <v>35.026000000000003</v>
      </c>
      <c r="C36" s="312">
        <v>33.872</v>
      </c>
      <c r="D36" s="171">
        <f t="shared" si="5"/>
        <v>-3.3</v>
      </c>
      <c r="E36" s="11">
        <f>IFERROR(100/'Skjema total MA'!C36*C36,0)</f>
        <v>9.4384627388038069</v>
      </c>
      <c r="F36" s="322"/>
      <c r="G36" s="323"/>
      <c r="H36" s="171"/>
      <c r="I36" s="431"/>
      <c r="J36" s="236">
        <f t="shared" ref="J36:J37" si="13">SUM(B36,F36)</f>
        <v>35.026000000000003</v>
      </c>
      <c r="K36" s="236">
        <f t="shared" ref="K36:K37" si="14">SUM(C36,G36)</f>
        <v>33.872</v>
      </c>
      <c r="L36" s="425"/>
      <c r="M36" s="24">
        <f>IFERROR(100/'Skjema total MA'!I36*K36,0)</f>
        <v>9.4384627388038069</v>
      </c>
    </row>
    <row r="37" spans="1:14" ht="15.75" x14ac:dyDescent="0.2">
      <c r="A37" s="12" t="s">
        <v>356</v>
      </c>
      <c r="B37" s="236">
        <v>440707.86300000001</v>
      </c>
      <c r="C37" s="312">
        <v>419780.43646</v>
      </c>
      <c r="D37" s="171">
        <f t="shared" si="5"/>
        <v>-4.7</v>
      </c>
      <c r="E37" s="11">
        <f>IFERROR(100/'Skjema total MA'!C37*C37,0)</f>
        <v>14.69782692061453</v>
      </c>
      <c r="F37" s="322"/>
      <c r="G37" s="324"/>
      <c r="H37" s="171"/>
      <c r="I37" s="431"/>
      <c r="J37" s="236">
        <f t="shared" si="13"/>
        <v>440707.86300000001</v>
      </c>
      <c r="K37" s="236">
        <f t="shared" si="14"/>
        <v>419780.43646</v>
      </c>
      <c r="L37" s="425"/>
      <c r="M37" s="24">
        <f>IFERROR(100/'Skjema total MA'!I37*K37,0)</f>
        <v>14.69782692061453</v>
      </c>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665493.598</v>
      </c>
      <c r="C47" s="314">
        <v>670854.49939999997</v>
      </c>
      <c r="D47" s="424">
        <f t="shared" ref="D47:D57" si="15">IF(B47=0, "    ---- ", IF(ABS(ROUND(100/B47*C47-100,1))&lt;999,ROUND(100/B47*C47-100,1),IF(ROUND(100/B47*C47-100,1)&gt;999,999,-999)))</f>
        <v>0.8</v>
      </c>
      <c r="E47" s="11">
        <f>IFERROR(100/'Skjema total MA'!C47*C47,0)</f>
        <v>17.952670399246369</v>
      </c>
      <c r="F47" s="145"/>
      <c r="G47" s="33"/>
      <c r="H47" s="159"/>
      <c r="I47" s="159"/>
      <c r="J47" s="37"/>
      <c r="K47" s="37"/>
      <c r="L47" s="159"/>
      <c r="M47" s="159"/>
      <c r="N47" s="148"/>
    </row>
    <row r="48" spans="1:14" s="3" customFormat="1" ht="15.75" x14ac:dyDescent="0.2">
      <c r="A48" s="38" t="s">
        <v>359</v>
      </c>
      <c r="B48" s="286">
        <v>171583.196</v>
      </c>
      <c r="C48" s="287">
        <v>189116.70300000001</v>
      </c>
      <c r="D48" s="259">
        <f t="shared" si="15"/>
        <v>10.199999999999999</v>
      </c>
      <c r="E48" s="27">
        <f>IFERROR(100/'Skjema total MA'!C48*C48,0)</f>
        <v>9.3660451458421274</v>
      </c>
      <c r="F48" s="145"/>
      <c r="G48" s="33"/>
      <c r="H48" s="145"/>
      <c r="I48" s="145"/>
      <c r="J48" s="33"/>
      <c r="K48" s="33"/>
      <c r="L48" s="159"/>
      <c r="M48" s="159"/>
      <c r="N48" s="148"/>
    </row>
    <row r="49" spans="1:14" s="3" customFormat="1" ht="15.75" x14ac:dyDescent="0.2">
      <c r="A49" s="38" t="s">
        <v>360</v>
      </c>
      <c r="B49" s="44">
        <v>493910.402</v>
      </c>
      <c r="C49" s="292">
        <v>481737.79639999999</v>
      </c>
      <c r="D49" s="259">
        <f>IF(B49=0, "    ---- ", IF(ABS(ROUND(100/B49*C49-100,1))&lt;999,ROUND(100/B49*C49-100,1),IF(ROUND(100/B49*C49-100,1)&gt;999,999,-999)))</f>
        <v>-2.5</v>
      </c>
      <c r="E49" s="27">
        <f>IFERROR(100/'Skjema total MA'!C49*C49,0)</f>
        <v>28.046795275733079</v>
      </c>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2231.4639999999999</v>
      </c>
      <c r="C53" s="314">
        <v>2295.6889999999999</v>
      </c>
      <c r="D53" s="425">
        <f t="shared" si="15"/>
        <v>2.9</v>
      </c>
      <c r="E53" s="11">
        <f>IFERROR(100/'Skjema total MA'!C53*C53,0)</f>
        <v>2.3257156872954354</v>
      </c>
      <c r="F53" s="145"/>
      <c r="G53" s="33"/>
      <c r="H53" s="145"/>
      <c r="I53" s="145"/>
      <c r="J53" s="33"/>
      <c r="K53" s="33"/>
      <c r="L53" s="159"/>
      <c r="M53" s="159"/>
      <c r="N53" s="148"/>
    </row>
    <row r="54" spans="1:14" s="3" customFormat="1" ht="15.75" x14ac:dyDescent="0.2">
      <c r="A54" s="38" t="s">
        <v>359</v>
      </c>
      <c r="B54" s="286">
        <v>2231.4639999999999</v>
      </c>
      <c r="C54" s="287">
        <v>2295.6889999999999</v>
      </c>
      <c r="D54" s="259">
        <f t="shared" si="15"/>
        <v>2.9</v>
      </c>
      <c r="E54" s="27">
        <f>IFERROR(100/'Skjema total MA'!C54*C54,0)</f>
        <v>2.3482204046529827</v>
      </c>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v>15.598000000000001</v>
      </c>
      <c r="C56" s="314">
        <v>0</v>
      </c>
      <c r="D56" s="425">
        <f t="shared" si="15"/>
        <v>-100</v>
      </c>
      <c r="E56" s="11">
        <f>IFERROR(100/'Skjema total MA'!C56*C56,0)</f>
        <v>0</v>
      </c>
      <c r="F56" s="145"/>
      <c r="G56" s="33"/>
      <c r="H56" s="145"/>
      <c r="I56" s="145"/>
      <c r="J56" s="33"/>
      <c r="K56" s="33"/>
      <c r="L56" s="159"/>
      <c r="M56" s="159"/>
      <c r="N56" s="148"/>
    </row>
    <row r="57" spans="1:14" s="3" customFormat="1" ht="15.75" x14ac:dyDescent="0.2">
      <c r="A57" s="38" t="s">
        <v>359</v>
      </c>
      <c r="B57" s="286">
        <v>15.598000000000001</v>
      </c>
      <c r="C57" s="287">
        <v>0</v>
      </c>
      <c r="D57" s="259">
        <f t="shared" si="15"/>
        <v>-100</v>
      </c>
      <c r="E57" s="27">
        <f>IFERROR(100/'Skjema total MA'!C57*C57,0)</f>
        <v>0</v>
      </c>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v>1066813.9580000001</v>
      </c>
      <c r="C66" s="355">
        <v>1485753.28636</v>
      </c>
      <c r="D66" s="352">
        <f t="shared" ref="D66:D111" si="16">IF(B66=0, "    ---- ", IF(ABS(ROUND(100/B66*C66-100,1))&lt;999,ROUND(100/B66*C66-100,1),IF(ROUND(100/B66*C66-100,1)&gt;999,999,-999)))</f>
        <v>39.299999999999997</v>
      </c>
      <c r="E66" s="11">
        <f>IFERROR(100/'Skjema total MA'!C66*C66,0)</f>
        <v>47.555975650625257</v>
      </c>
      <c r="F66" s="354">
        <v>2827793.0659999996</v>
      </c>
      <c r="G66" s="354">
        <v>4021216.9633900002</v>
      </c>
      <c r="H66" s="352">
        <f t="shared" ref="H66:H111" si="17">IF(F66=0, "    ---- ", IF(ABS(ROUND(100/F66*G66-100,1))&lt;999,ROUND(100/F66*G66-100,1),IF(ROUND(100/F66*G66-100,1)&gt;999,999,-999)))</f>
        <v>42.2</v>
      </c>
      <c r="I66" s="11">
        <f>IFERROR(100/'Skjema total MA'!F66*G66,0)</f>
        <v>33.234887132809355</v>
      </c>
      <c r="J66" s="312">
        <f t="shared" ref="J66:K86" si="18">SUM(B66,F66)</f>
        <v>3894607.0239999997</v>
      </c>
      <c r="K66" s="319">
        <f t="shared" si="18"/>
        <v>5506970.2497500004</v>
      </c>
      <c r="L66" s="425">
        <f t="shared" ref="L66:L111" si="19">IF(J66=0, "    ---- ", IF(ABS(ROUND(100/J66*K66-100,1))&lt;999,ROUND(100/J66*K66-100,1),IF(ROUND(100/J66*K66-100,1)&gt;999,999,-999)))</f>
        <v>41.4</v>
      </c>
      <c r="M66" s="11">
        <f>IFERROR(100/'Skjema total MA'!I66*K66,0)</f>
        <v>36.173890782204879</v>
      </c>
    </row>
    <row r="67" spans="1:14" x14ac:dyDescent="0.2">
      <c r="A67" s="416" t="s">
        <v>9</v>
      </c>
      <c r="B67" s="44">
        <v>687758.86100000003</v>
      </c>
      <c r="C67" s="145">
        <v>1021336.99356</v>
      </c>
      <c r="D67" s="166">
        <f t="shared" si="16"/>
        <v>48.5</v>
      </c>
      <c r="E67" s="27">
        <f>IFERROR(100/'Skjema total MA'!C67*C67,0)</f>
        <v>44.834060655107244</v>
      </c>
      <c r="F67" s="234"/>
      <c r="G67" s="145"/>
      <c r="H67" s="166"/>
      <c r="I67" s="27"/>
      <c r="J67" s="292">
        <f t="shared" si="18"/>
        <v>687758.86100000003</v>
      </c>
      <c r="K67" s="44">
        <f t="shared" si="18"/>
        <v>1021336.99356</v>
      </c>
      <c r="L67" s="259">
        <f t="shared" si="19"/>
        <v>48.5</v>
      </c>
      <c r="M67" s="27">
        <f>IFERROR(100/'Skjema total MA'!I67*K67,0)</f>
        <v>44.834060655107244</v>
      </c>
    </row>
    <row r="68" spans="1:14" x14ac:dyDescent="0.2">
      <c r="A68" s="21" t="s">
        <v>10</v>
      </c>
      <c r="B68" s="296"/>
      <c r="C68" s="297"/>
      <c r="D68" s="166"/>
      <c r="E68" s="27"/>
      <c r="F68" s="296">
        <v>2513420.7629999998</v>
      </c>
      <c r="G68" s="297">
        <v>3511160.5793900001</v>
      </c>
      <c r="H68" s="166">
        <f t="shared" si="17"/>
        <v>39.700000000000003</v>
      </c>
      <c r="I68" s="27">
        <f>IFERROR(100/'Skjema total MA'!F68*G68,0)</f>
        <v>30.523670073545365</v>
      </c>
      <c r="J68" s="292">
        <f t="shared" si="18"/>
        <v>2513420.7629999998</v>
      </c>
      <c r="K68" s="44">
        <f t="shared" si="18"/>
        <v>3511160.5793900001</v>
      </c>
      <c r="L68" s="259">
        <f t="shared" si="19"/>
        <v>39.700000000000003</v>
      </c>
      <c r="M68" s="27">
        <f>IFERROR(100/'Skjema total MA'!I68*K68,0)</f>
        <v>30.495188041442816</v>
      </c>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v>44214.080000000002</v>
      </c>
      <c r="C75" s="145">
        <v>61852.793749999997</v>
      </c>
      <c r="D75" s="166">
        <f t="shared" si="16"/>
        <v>39.9</v>
      </c>
      <c r="E75" s="27">
        <f>IFERROR(100/'Skjema total MA'!C75*C75,0)</f>
        <v>36.809053467410777</v>
      </c>
      <c r="F75" s="234">
        <v>314372.30300000001</v>
      </c>
      <c r="G75" s="145">
        <v>510056.38400000002</v>
      </c>
      <c r="H75" s="166">
        <f t="shared" si="17"/>
        <v>62.2</v>
      </c>
      <c r="I75" s="27">
        <f>IFERROR(100/'Skjema total MA'!F75*G75,0)</f>
        <v>85.535395372525926</v>
      </c>
      <c r="J75" s="292">
        <f t="shared" si="18"/>
        <v>358586.38300000003</v>
      </c>
      <c r="K75" s="44">
        <f t="shared" si="18"/>
        <v>571909.17775000003</v>
      </c>
      <c r="L75" s="259">
        <f t="shared" si="19"/>
        <v>59.5</v>
      </c>
      <c r="M75" s="27">
        <f>IFERROR(100/'Skjema total MA'!I75*K75,0)</f>
        <v>74.823217131873307</v>
      </c>
      <c r="N75" s="148"/>
    </row>
    <row r="76" spans="1:14" s="3" customFormat="1" x14ac:dyDescent="0.2">
      <c r="A76" s="21" t="s">
        <v>334</v>
      </c>
      <c r="B76" s="234">
        <v>334841.01699999999</v>
      </c>
      <c r="C76" s="145">
        <v>402563.49904999998</v>
      </c>
      <c r="D76" s="166">
        <f t="shared" ref="D76" si="20">IF(B76=0, "    ---- ", IF(ABS(ROUND(100/B76*C76-100,1))&lt;999,ROUND(100/B76*C76-100,1),IF(ROUND(100/B76*C76-100,1)&gt;999,999,-999)))</f>
        <v>20.2</v>
      </c>
      <c r="E76" s="27">
        <f>IFERROR(100/'Skjema total MA'!C77*C76,0)</f>
        <v>18.179271877211441</v>
      </c>
      <c r="F76" s="234"/>
      <c r="G76" s="145"/>
      <c r="H76" s="166"/>
      <c r="I76" s="27"/>
      <c r="J76" s="292">
        <f t="shared" ref="J76" si="21">SUM(B76,F76)</f>
        <v>334841.01699999999</v>
      </c>
      <c r="K76" s="44">
        <f t="shared" ref="K76" si="22">SUM(C76,G76)</f>
        <v>402563.49904999998</v>
      </c>
      <c r="L76" s="259">
        <f t="shared" ref="L76" si="23">IF(J76=0, "    ---- ", IF(ABS(ROUND(100/J76*K76-100,1))&lt;999,ROUND(100/J76*K76-100,1),IF(ROUND(100/J76*K76-100,1)&gt;999,999,-999)))</f>
        <v>20.2</v>
      </c>
      <c r="M76" s="27">
        <f>IFERROR(100/'Skjema total MA'!I77*K76,0)</f>
        <v>2.9354828681109395</v>
      </c>
      <c r="N76" s="148"/>
    </row>
    <row r="77" spans="1:14" ht="15.75" x14ac:dyDescent="0.2">
      <c r="A77" s="21" t="s">
        <v>365</v>
      </c>
      <c r="B77" s="234">
        <v>621546.43500000006</v>
      </c>
      <c r="C77" s="234">
        <v>978582.58256000001</v>
      </c>
      <c r="D77" s="166">
        <f t="shared" si="16"/>
        <v>57.4</v>
      </c>
      <c r="E77" s="27">
        <f>IFERROR(100/'Skjema total MA'!C77*C77,0)</f>
        <v>44.191584345436077</v>
      </c>
      <c r="F77" s="234">
        <v>2513420.7629999998</v>
      </c>
      <c r="G77" s="145">
        <v>3511160.5793900001</v>
      </c>
      <c r="H77" s="166">
        <f t="shared" si="17"/>
        <v>39.700000000000003</v>
      </c>
      <c r="I77" s="27">
        <f>IFERROR(100/'Skjema total MA'!F77*G77,0)</f>
        <v>30.533697834821226</v>
      </c>
      <c r="J77" s="292">
        <f t="shared" si="18"/>
        <v>3134967.1979999999</v>
      </c>
      <c r="K77" s="44">
        <f t="shared" si="18"/>
        <v>4489743.1619499996</v>
      </c>
      <c r="L77" s="259">
        <f t="shared" si="19"/>
        <v>43.2</v>
      </c>
      <c r="M77" s="27">
        <f>IFERROR(100/'Skjema total MA'!I77*K77,0)</f>
        <v>32.739093746016721</v>
      </c>
    </row>
    <row r="78" spans="1:14" x14ac:dyDescent="0.2">
      <c r="A78" s="21" t="s">
        <v>9</v>
      </c>
      <c r="B78" s="234">
        <v>621546.43500000006</v>
      </c>
      <c r="C78" s="145">
        <v>978582.58256000001</v>
      </c>
      <c r="D78" s="166">
        <f t="shared" si="16"/>
        <v>57.4</v>
      </c>
      <c r="E78" s="27">
        <f>IFERROR(100/'Skjema total MA'!C78*C78,0)</f>
        <v>44.407034823829363</v>
      </c>
      <c r="F78" s="234"/>
      <c r="G78" s="145"/>
      <c r="H78" s="166"/>
      <c r="I78" s="27"/>
      <c r="J78" s="292">
        <f t="shared" si="18"/>
        <v>621546.43500000006</v>
      </c>
      <c r="K78" s="44">
        <f t="shared" si="18"/>
        <v>978582.58256000001</v>
      </c>
      <c r="L78" s="259">
        <f t="shared" si="19"/>
        <v>57.4</v>
      </c>
      <c r="M78" s="27">
        <f>IFERROR(100/'Skjema total MA'!I78*K78,0)</f>
        <v>44.407034823829363</v>
      </c>
    </row>
    <row r="79" spans="1:14" x14ac:dyDescent="0.2">
      <c r="A79" s="38" t="s">
        <v>399</v>
      </c>
      <c r="B79" s="296"/>
      <c r="C79" s="297"/>
      <c r="D79" s="166"/>
      <c r="E79" s="27"/>
      <c r="F79" s="296">
        <v>2513420.7629999998</v>
      </c>
      <c r="G79" s="297">
        <v>3511160.5793900001</v>
      </c>
      <c r="H79" s="166">
        <f t="shared" si="17"/>
        <v>39.700000000000003</v>
      </c>
      <c r="I79" s="27">
        <f>IFERROR(100/'Skjema total MA'!F79*G79,0)</f>
        <v>30.533697834821226</v>
      </c>
      <c r="J79" s="292">
        <f t="shared" si="18"/>
        <v>2513420.7629999998</v>
      </c>
      <c r="K79" s="44">
        <f t="shared" si="18"/>
        <v>3511160.5793900001</v>
      </c>
      <c r="L79" s="259">
        <f t="shared" si="19"/>
        <v>39.700000000000003</v>
      </c>
      <c r="M79" s="27">
        <f>IFERROR(100/'Skjema total MA'!I79*K79,0)</f>
        <v>30.505197094313584</v>
      </c>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v>66212.426000000007</v>
      </c>
      <c r="C86" s="145">
        <v>42754.411</v>
      </c>
      <c r="D86" s="166">
        <f t="shared" si="16"/>
        <v>-35.4</v>
      </c>
      <c r="E86" s="27">
        <f>IFERROR(100/'Skjema total MA'!C86*C86,0)</f>
        <v>57.486794393492708</v>
      </c>
      <c r="F86" s="234"/>
      <c r="G86" s="145"/>
      <c r="H86" s="166"/>
      <c r="I86" s="27"/>
      <c r="J86" s="292">
        <f t="shared" si="18"/>
        <v>66212.426000000007</v>
      </c>
      <c r="K86" s="44">
        <f t="shared" si="18"/>
        <v>42754.411</v>
      </c>
      <c r="L86" s="259">
        <f t="shared" si="19"/>
        <v>-35.4</v>
      </c>
      <c r="M86" s="27">
        <f>IFERROR(100/'Skjema total MA'!I86*K86,0)</f>
        <v>54.707877528589982</v>
      </c>
    </row>
    <row r="87" spans="1:13" ht="15.75" x14ac:dyDescent="0.2">
      <c r="A87" s="13" t="s">
        <v>348</v>
      </c>
      <c r="B87" s="355">
        <v>171409219.58500001</v>
      </c>
      <c r="C87" s="355">
        <v>170785450.98250002</v>
      </c>
      <c r="D87" s="171">
        <f t="shared" si="16"/>
        <v>-0.4</v>
      </c>
      <c r="E87" s="11">
        <f>IFERROR(100/'Skjema total MA'!C87*C87,0)</f>
        <v>42.931837000757227</v>
      </c>
      <c r="F87" s="354">
        <v>136940324.51236001</v>
      </c>
      <c r="G87" s="354">
        <v>168943399.1451</v>
      </c>
      <c r="H87" s="171">
        <f t="shared" si="17"/>
        <v>23.4</v>
      </c>
      <c r="I87" s="11">
        <f>IFERROR(100/'Skjema total MA'!F87*G87,0)</f>
        <v>35.517378956343315</v>
      </c>
      <c r="J87" s="312">
        <f t="shared" ref="J87:K111" si="24">SUM(B87,F87)</f>
        <v>308349544.09736001</v>
      </c>
      <c r="K87" s="236">
        <f t="shared" si="24"/>
        <v>339728850.12760001</v>
      </c>
      <c r="L87" s="425">
        <f t="shared" si="19"/>
        <v>10.199999999999999</v>
      </c>
      <c r="M87" s="11">
        <f>IFERROR(100/'Skjema total MA'!I87*K87,0)</f>
        <v>38.894158954490926</v>
      </c>
    </row>
    <row r="88" spans="1:13" x14ac:dyDescent="0.2">
      <c r="A88" s="21" t="s">
        <v>9</v>
      </c>
      <c r="B88" s="234">
        <v>163897715.618</v>
      </c>
      <c r="C88" s="145">
        <v>161872002.56505001</v>
      </c>
      <c r="D88" s="166">
        <f t="shared" si="16"/>
        <v>-1.2</v>
      </c>
      <c r="E88" s="27">
        <f>IFERROR(100/'Skjema total MA'!C88*C88,0)</f>
        <v>42.316055732980679</v>
      </c>
      <c r="F88" s="234"/>
      <c r="G88" s="145"/>
      <c r="H88" s="166"/>
      <c r="I88" s="27"/>
      <c r="J88" s="292">
        <f t="shared" si="24"/>
        <v>163897715.618</v>
      </c>
      <c r="K88" s="44">
        <f t="shared" si="24"/>
        <v>161872002.56505001</v>
      </c>
      <c r="L88" s="259">
        <f t="shared" si="19"/>
        <v>-1.2</v>
      </c>
      <c r="M88" s="27">
        <f>IFERROR(100/'Skjema total MA'!I88*K88,0)</f>
        <v>42.316055732980679</v>
      </c>
    </row>
    <row r="89" spans="1:13" x14ac:dyDescent="0.2">
      <c r="A89" s="21" t="s">
        <v>10</v>
      </c>
      <c r="B89" s="234">
        <v>49080.656999999999</v>
      </c>
      <c r="C89" s="145">
        <v>48330.8033</v>
      </c>
      <c r="D89" s="166">
        <f t="shared" si="16"/>
        <v>-1.5</v>
      </c>
      <c r="E89" s="27">
        <f>IFERROR(100/'Skjema total MA'!C89*C89,0)</f>
        <v>2.1630374248476465</v>
      </c>
      <c r="F89" s="234">
        <v>133664920.544</v>
      </c>
      <c r="G89" s="145">
        <v>164630641.38666999</v>
      </c>
      <c r="H89" s="166">
        <f t="shared" si="17"/>
        <v>23.2</v>
      </c>
      <c r="I89" s="27">
        <f>IFERROR(100/'Skjema total MA'!F89*G89,0)</f>
        <v>35.069584179404821</v>
      </c>
      <c r="J89" s="292">
        <f t="shared" si="24"/>
        <v>133714001.20100001</v>
      </c>
      <c r="K89" s="44">
        <f t="shared" si="24"/>
        <v>164678972.18996999</v>
      </c>
      <c r="L89" s="259">
        <f t="shared" si="19"/>
        <v>23.2</v>
      </c>
      <c r="M89" s="27">
        <f>IFERROR(100/'Skjema total MA'!I89*K89,0)</f>
        <v>34.913700723168247</v>
      </c>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v>981726.45299999998</v>
      </c>
      <c r="C96" s="145">
        <v>1516918.61583</v>
      </c>
      <c r="D96" s="166">
        <f t="shared" si="16"/>
        <v>54.5</v>
      </c>
      <c r="E96" s="27">
        <f>IFERROR(100/'Skjema total MA'!C96*C96,0)</f>
        <v>37.559934347552471</v>
      </c>
      <c r="F96" s="234">
        <v>3275403.9683599998</v>
      </c>
      <c r="G96" s="145">
        <v>4312757.7584300004</v>
      </c>
      <c r="H96" s="166">
        <f t="shared" si="17"/>
        <v>31.7</v>
      </c>
      <c r="I96" s="27">
        <f>IFERROR(100/'Skjema total MA'!F96*G96,0)</f>
        <v>69.291487806051109</v>
      </c>
      <c r="J96" s="292">
        <f t="shared" si="24"/>
        <v>4257130.42136</v>
      </c>
      <c r="K96" s="44">
        <f t="shared" si="24"/>
        <v>5829676.3742600009</v>
      </c>
      <c r="L96" s="259">
        <f t="shared" si="19"/>
        <v>36.9</v>
      </c>
      <c r="M96" s="27">
        <f>IFERROR(100/'Skjema total MA'!I96*K96,0)</f>
        <v>56.804278471660915</v>
      </c>
    </row>
    <row r="97" spans="1:13" x14ac:dyDescent="0.2">
      <c r="A97" s="21" t="s">
        <v>332</v>
      </c>
      <c r="B97" s="234">
        <v>6480696.8569999998</v>
      </c>
      <c r="C97" s="145">
        <v>7348198.9983200002</v>
      </c>
      <c r="D97" s="166">
        <f t="shared" ref="D97" si="25">IF(B97=0, "    ---- ", IF(ABS(ROUND(100/B97*C97-100,1))&lt;999,ROUND(100/B97*C97-100,1),IF(ROUND(100/B97*C97-100,1)&gt;999,999,-999)))</f>
        <v>13.4</v>
      </c>
      <c r="E97" s="27">
        <f>IFERROR(100/'Skjema total MA'!C98*C97,0)</f>
        <v>1.9318759282025055</v>
      </c>
      <c r="F97" s="234"/>
      <c r="G97" s="145"/>
      <c r="H97" s="166"/>
      <c r="I97" s="27"/>
      <c r="J97" s="292">
        <f t="shared" ref="J97" si="26">SUM(B97,F97)</f>
        <v>6480696.8569999998</v>
      </c>
      <c r="K97" s="44">
        <f t="shared" ref="K97" si="27">SUM(C97,G97)</f>
        <v>7348198.9983200002</v>
      </c>
      <c r="L97" s="259">
        <f t="shared" ref="L97" si="28">IF(J97=0, "    ---- ", IF(ABS(ROUND(100/J97*K97-100,1))&lt;999,ROUND(100/J97*K97-100,1),IF(ROUND(100/J97*K97-100,1)&gt;999,999,-999)))</f>
        <v>13.4</v>
      </c>
      <c r="M97" s="27">
        <f>IFERROR(100/'Skjema total MA'!I98*K97,0)</f>
        <v>0.8648889453848857</v>
      </c>
    </row>
    <row r="98" spans="1:13" ht="15.75" x14ac:dyDescent="0.2">
      <c r="A98" s="21" t="s">
        <v>365</v>
      </c>
      <c r="B98" s="234">
        <v>160599369.99400002</v>
      </c>
      <c r="C98" s="234">
        <v>158664423.85034999</v>
      </c>
      <c r="D98" s="166">
        <f t="shared" si="16"/>
        <v>-1.2</v>
      </c>
      <c r="E98" s="27">
        <f>IFERROR(100/'Skjema total MA'!C98*C98,0)</f>
        <v>41.713620054205059</v>
      </c>
      <c r="F98" s="296">
        <v>133664920.544</v>
      </c>
      <c r="G98" s="296">
        <v>164630641.38666999</v>
      </c>
      <c r="H98" s="166">
        <f t="shared" si="17"/>
        <v>23.2</v>
      </c>
      <c r="I98" s="27">
        <f>IFERROR(100/'Skjema total MA'!F98*G98,0)</f>
        <v>35.084090072181048</v>
      </c>
      <c r="J98" s="292">
        <f t="shared" si="24"/>
        <v>294264290.53799999</v>
      </c>
      <c r="K98" s="44">
        <f t="shared" si="24"/>
        <v>323295065.23702002</v>
      </c>
      <c r="L98" s="259">
        <f t="shared" si="19"/>
        <v>9.9</v>
      </c>
      <c r="M98" s="27">
        <f>IFERROR(100/'Skjema total MA'!I98*K98,0)</f>
        <v>38.052089782123701</v>
      </c>
    </row>
    <row r="99" spans="1:13" x14ac:dyDescent="0.2">
      <c r="A99" s="21" t="s">
        <v>9</v>
      </c>
      <c r="B99" s="296">
        <v>160550289.33700001</v>
      </c>
      <c r="C99" s="297">
        <v>158616093.04705</v>
      </c>
      <c r="D99" s="166">
        <f t="shared" si="16"/>
        <v>-1.2</v>
      </c>
      <c r="E99" s="27">
        <f>IFERROR(100/'Skjema total MA'!C99*C99,0)</f>
        <v>41.947326074025575</v>
      </c>
      <c r="F99" s="234"/>
      <c r="G99" s="145"/>
      <c r="H99" s="166"/>
      <c r="I99" s="27"/>
      <c r="J99" s="292">
        <f t="shared" si="24"/>
        <v>160550289.33700001</v>
      </c>
      <c r="K99" s="44">
        <f t="shared" si="24"/>
        <v>158616093.04705</v>
      </c>
      <c r="L99" s="259">
        <f t="shared" si="19"/>
        <v>-1.2</v>
      </c>
      <c r="M99" s="27">
        <f>IFERROR(100/'Skjema total MA'!I99*K99,0)</f>
        <v>41.947326074025575</v>
      </c>
    </row>
    <row r="100" spans="1:13" x14ac:dyDescent="0.2">
      <c r="A100" s="38" t="s">
        <v>399</v>
      </c>
      <c r="B100" s="296">
        <v>49080.656999999999</v>
      </c>
      <c r="C100" s="297">
        <v>48330.8033</v>
      </c>
      <c r="D100" s="166">
        <f t="shared" si="16"/>
        <v>-1.5</v>
      </c>
      <c r="E100" s="27">
        <f>IFERROR(100/'Skjema total MA'!C100*C100,0)</f>
        <v>2.1630374248476465</v>
      </c>
      <c r="F100" s="234">
        <v>133664920.544</v>
      </c>
      <c r="G100" s="234">
        <v>164630641.38666999</v>
      </c>
      <c r="H100" s="166">
        <f t="shared" si="17"/>
        <v>23.2</v>
      </c>
      <c r="I100" s="27">
        <f>IFERROR(100/'Skjema total MA'!F100*G100,0)</f>
        <v>35.084090072181048</v>
      </c>
      <c r="J100" s="292">
        <f t="shared" si="24"/>
        <v>133714001.20100001</v>
      </c>
      <c r="K100" s="44">
        <f t="shared" si="24"/>
        <v>164678972.18996999</v>
      </c>
      <c r="L100" s="259">
        <f t="shared" si="19"/>
        <v>23.2</v>
      </c>
      <c r="M100" s="27">
        <f>IFERROR(100/'Skjema total MA'!I100*K100,0)</f>
        <v>34.928073698200052</v>
      </c>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v>3347426.281</v>
      </c>
      <c r="C107" s="145">
        <v>3255909.5180000002</v>
      </c>
      <c r="D107" s="166">
        <f t="shared" si="16"/>
        <v>-2.7</v>
      </c>
      <c r="E107" s="27">
        <f>IFERROR(100/'Skjema total MA'!C107*C107,0)</f>
        <v>74.009084228818807</v>
      </c>
      <c r="F107" s="234"/>
      <c r="G107" s="145"/>
      <c r="H107" s="166"/>
      <c r="I107" s="27"/>
      <c r="J107" s="292">
        <f t="shared" si="24"/>
        <v>3347426.281</v>
      </c>
      <c r="K107" s="44">
        <f t="shared" si="24"/>
        <v>3255909.5180000002</v>
      </c>
      <c r="L107" s="259">
        <f t="shared" si="19"/>
        <v>-2.7</v>
      </c>
      <c r="M107" s="27">
        <f>IFERROR(100/'Skjema total MA'!I107*K107,0)</f>
        <v>70.881838721244662</v>
      </c>
    </row>
    <row r="108" spans="1:13" ht="15.75" x14ac:dyDescent="0.2">
      <c r="A108" s="21" t="s">
        <v>367</v>
      </c>
      <c r="B108" s="234">
        <v>143564113.315</v>
      </c>
      <c r="C108" s="234">
        <v>140726535.23620999</v>
      </c>
      <c r="D108" s="166">
        <f t="shared" si="16"/>
        <v>-2</v>
      </c>
      <c r="E108" s="27">
        <f>IFERROR(100/'Skjema total MA'!C108*C108,0)</f>
        <v>42.883970006882507</v>
      </c>
      <c r="F108" s="234">
        <v>19273033.022999998</v>
      </c>
      <c r="G108" s="234">
        <v>19249592.885469999</v>
      </c>
      <c r="H108" s="166">
        <f t="shared" si="17"/>
        <v>-0.1</v>
      </c>
      <c r="I108" s="27">
        <f>IFERROR(100/'Skjema total MA'!F108*G108,0)</f>
        <v>95.095225404322875</v>
      </c>
      <c r="J108" s="292">
        <f t="shared" si="24"/>
        <v>162837146.338</v>
      </c>
      <c r="K108" s="44">
        <f t="shared" si="24"/>
        <v>159976128.12167999</v>
      </c>
      <c r="L108" s="259">
        <f t="shared" si="19"/>
        <v>-1.8</v>
      </c>
      <c r="M108" s="27">
        <f>IFERROR(100/'Skjema total MA'!I108*K108,0)</f>
        <v>45.917512957611628</v>
      </c>
    </row>
    <row r="109" spans="1:13" ht="15.75" x14ac:dyDescent="0.2">
      <c r="A109" s="38" t="s">
        <v>407</v>
      </c>
      <c r="B109" s="234">
        <v>376778.81800000003</v>
      </c>
      <c r="C109" s="234">
        <v>452967.94400000002</v>
      </c>
      <c r="D109" s="166">
        <f t="shared" si="16"/>
        <v>20.2</v>
      </c>
      <c r="E109" s="27">
        <f>IFERROR(100/'Skjema total MA'!C109*C109,0)</f>
        <v>21.570929163010199</v>
      </c>
      <c r="F109" s="234">
        <v>42775648.344999999</v>
      </c>
      <c r="G109" s="234">
        <v>53411105.125189804</v>
      </c>
      <c r="H109" s="166">
        <f t="shared" si="17"/>
        <v>24.9</v>
      </c>
      <c r="I109" s="27">
        <f>IFERROR(100/'Skjema total MA'!F109*G109,0)</f>
        <v>30.960570382680007</v>
      </c>
      <c r="J109" s="292">
        <f t="shared" si="24"/>
        <v>43152427.163000003</v>
      </c>
      <c r="K109" s="44">
        <f t="shared" si="24"/>
        <v>53864073.069189802</v>
      </c>
      <c r="L109" s="259">
        <f t="shared" si="19"/>
        <v>24.8</v>
      </c>
      <c r="M109" s="27">
        <f>IFERROR(100/'Skjema total MA'!I109*K109,0)</f>
        <v>30.847650474887772</v>
      </c>
    </row>
    <row r="110" spans="1:13" ht="15.75" x14ac:dyDescent="0.2">
      <c r="A110" s="21" t="s">
        <v>368</v>
      </c>
      <c r="B110" s="234">
        <v>405270.41100000002</v>
      </c>
      <c r="C110" s="234">
        <v>789380.30766000005</v>
      </c>
      <c r="D110" s="166">
        <f t="shared" si="16"/>
        <v>94.8</v>
      </c>
      <c r="E110" s="27">
        <f>IFERROR(100/'Skjema total MA'!C110*C110,0)</f>
        <v>46.451282626629215</v>
      </c>
      <c r="F110" s="234"/>
      <c r="G110" s="234"/>
      <c r="H110" s="166"/>
      <c r="I110" s="27"/>
      <c r="J110" s="292">
        <f t="shared" si="24"/>
        <v>405270.41100000002</v>
      </c>
      <c r="K110" s="44">
        <f t="shared" si="24"/>
        <v>789380.30766000005</v>
      </c>
      <c r="L110" s="259">
        <f t="shared" si="19"/>
        <v>94.8</v>
      </c>
      <c r="M110" s="27">
        <f>IFERROR(100/'Skjema total MA'!I110*K110,0)</f>
        <v>46.451282626629215</v>
      </c>
    </row>
    <row r="111" spans="1:13" ht="15.75" x14ac:dyDescent="0.2">
      <c r="A111" s="13" t="s">
        <v>349</v>
      </c>
      <c r="B111" s="311">
        <v>196392.82399999999</v>
      </c>
      <c r="C111" s="159">
        <v>67899.459000000003</v>
      </c>
      <c r="D111" s="171">
        <f t="shared" si="16"/>
        <v>-65.400000000000006</v>
      </c>
      <c r="E111" s="11">
        <f>IFERROR(100/'Skjema total MA'!C111*C111,0)</f>
        <v>44.703511346558422</v>
      </c>
      <c r="F111" s="311">
        <v>1462324.11</v>
      </c>
      <c r="G111" s="159">
        <v>3106281.9249999998</v>
      </c>
      <c r="H111" s="171">
        <f t="shared" si="17"/>
        <v>112.4</v>
      </c>
      <c r="I111" s="11">
        <f>IFERROR(100/'Skjema total MA'!F111*G111,0)</f>
        <v>25.295769798964187</v>
      </c>
      <c r="J111" s="312">
        <f t="shared" si="24"/>
        <v>1658716.9340000001</v>
      </c>
      <c r="K111" s="236">
        <f t="shared" si="24"/>
        <v>3174181.3839999996</v>
      </c>
      <c r="L111" s="425">
        <f t="shared" si="19"/>
        <v>91.4</v>
      </c>
      <c r="M111" s="11">
        <f>IFERROR(100/'Skjema total MA'!I111*K111,0)</f>
        <v>25.532889645266273</v>
      </c>
    </row>
    <row r="112" spans="1:13" x14ac:dyDescent="0.2">
      <c r="A112" s="21" t="s">
        <v>9</v>
      </c>
      <c r="B112" s="234">
        <v>4779.7849999999999</v>
      </c>
      <c r="C112" s="145">
        <v>13692.709000000001</v>
      </c>
      <c r="D112" s="166">
        <f t="shared" ref="D112:D124" si="29">IF(B112=0, "    ---- ", IF(ABS(ROUND(100/B112*C112-100,1))&lt;999,ROUND(100/B112*C112-100,1),IF(ROUND(100/B112*C112-100,1)&gt;999,999,-999)))</f>
        <v>186.5</v>
      </c>
      <c r="E112" s="27">
        <f>IFERROR(100/'Skjema total MA'!C112*C112,0)</f>
        <v>14.871949123363436</v>
      </c>
      <c r="F112" s="234">
        <v>178.94800000000001</v>
      </c>
      <c r="G112" s="145">
        <v>1378.0809999999999</v>
      </c>
      <c r="H112" s="166">
        <f t="shared" ref="H112:H125" si="30">IF(F112=0, "    ---- ", IF(ABS(ROUND(100/F112*G112-100,1))&lt;999,ROUND(100/F112*G112-100,1),IF(ROUND(100/F112*G112-100,1)&gt;999,999,-999)))</f>
        <v>670.1</v>
      </c>
      <c r="I112" s="27">
        <f>IFERROR(100/'Skjema total MA'!F112*G112,0)</f>
        <v>100</v>
      </c>
      <c r="J112" s="292">
        <f t="shared" ref="J112:K125" si="31">SUM(B112,F112)</f>
        <v>4958.7330000000002</v>
      </c>
      <c r="K112" s="44">
        <f t="shared" si="31"/>
        <v>15070.79</v>
      </c>
      <c r="L112" s="259">
        <f t="shared" ref="L112:L125" si="32">IF(J112=0, "    ---- ", IF(ABS(ROUND(100/J112*K112-100,1))&lt;999,ROUND(100/J112*K112-100,1),IF(ROUND(100/J112*K112-100,1)&gt;999,999,-999)))</f>
        <v>203.9</v>
      </c>
      <c r="M112" s="27">
        <f>IFERROR(100/'Skjema total MA'!I112*K112,0)</f>
        <v>16.127324923094243</v>
      </c>
    </row>
    <row r="113" spans="1:14" x14ac:dyDescent="0.2">
      <c r="A113" s="21" t="s">
        <v>10</v>
      </c>
      <c r="B113" s="234"/>
      <c r="C113" s="145"/>
      <c r="D113" s="166"/>
      <c r="E113" s="27"/>
      <c r="F113" s="234">
        <v>1462145.162</v>
      </c>
      <c r="G113" s="145">
        <v>3104903.844</v>
      </c>
      <c r="H113" s="166">
        <f t="shared" si="30"/>
        <v>112.4</v>
      </c>
      <c r="I113" s="27">
        <f>IFERROR(100/'Skjema total MA'!F113*G113,0)</f>
        <v>25.287385327109458</v>
      </c>
      <c r="J113" s="292">
        <f t="shared" si="31"/>
        <v>1462145.162</v>
      </c>
      <c r="K113" s="44">
        <f t="shared" si="31"/>
        <v>3104903.844</v>
      </c>
      <c r="L113" s="259">
        <f t="shared" si="32"/>
        <v>112.4</v>
      </c>
      <c r="M113" s="27">
        <f>IFERROR(100/'Skjema total MA'!I113*K113,0)</f>
        <v>25.287168769466515</v>
      </c>
    </row>
    <row r="114" spans="1:14" x14ac:dyDescent="0.2">
      <c r="A114" s="21" t="s">
        <v>26</v>
      </c>
      <c r="B114" s="234">
        <v>191613.03899999999</v>
      </c>
      <c r="C114" s="145">
        <v>54206.75</v>
      </c>
      <c r="D114" s="166">
        <f t="shared" si="29"/>
        <v>-71.7</v>
      </c>
      <c r="E114" s="27">
        <f>IFERROR(100/'Skjema total MA'!C114*C114,0)</f>
        <v>95.166918444694147</v>
      </c>
      <c r="F114" s="234"/>
      <c r="G114" s="145"/>
      <c r="H114" s="166"/>
      <c r="I114" s="27"/>
      <c r="J114" s="292">
        <f t="shared" si="31"/>
        <v>191613.03899999999</v>
      </c>
      <c r="K114" s="44">
        <f t="shared" si="31"/>
        <v>54206.75</v>
      </c>
      <c r="L114" s="259">
        <f t="shared" si="32"/>
        <v>-71.7</v>
      </c>
      <c r="M114" s="27">
        <f>IFERROR(100/'Skjema total MA'!I114*K114,0)</f>
        <v>95.166918444694147</v>
      </c>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v>747.78</v>
      </c>
      <c r="C116" s="234">
        <v>6670.402</v>
      </c>
      <c r="D116" s="166">
        <f t="shared" si="29"/>
        <v>792</v>
      </c>
      <c r="E116" s="27">
        <f>IFERROR(100/'Skjema total MA'!C116*C116,0)</f>
        <v>25.828840921817982</v>
      </c>
      <c r="F116" s="234">
        <v>178.94800000000001</v>
      </c>
      <c r="G116" s="234">
        <v>1378.0809999999999</v>
      </c>
      <c r="H116" s="166">
        <f t="shared" si="30"/>
        <v>670.1</v>
      </c>
      <c r="I116" s="27">
        <f>IFERROR(100/'Skjema total MA'!F116*G116,0)</f>
        <v>100</v>
      </c>
      <c r="J116" s="292">
        <f t="shared" si="31"/>
        <v>926.72799999999995</v>
      </c>
      <c r="K116" s="44">
        <f t="shared" si="31"/>
        <v>8048.4830000000002</v>
      </c>
      <c r="L116" s="259">
        <f t="shared" si="32"/>
        <v>768.5</v>
      </c>
      <c r="M116" s="27">
        <f>IFERROR(100/'Skjema total MA'!I116*K116,0)</f>
        <v>29.586222470115313</v>
      </c>
    </row>
    <row r="117" spans="1:14" ht="15.75" x14ac:dyDescent="0.2">
      <c r="A117" s="38" t="s">
        <v>407</v>
      </c>
      <c r="B117" s="234"/>
      <c r="C117" s="234"/>
      <c r="D117" s="166"/>
      <c r="E117" s="27"/>
      <c r="F117" s="234">
        <v>88406.607000000004</v>
      </c>
      <c r="G117" s="234">
        <v>797435.90176000004</v>
      </c>
      <c r="H117" s="166">
        <f t="shared" si="30"/>
        <v>802</v>
      </c>
      <c r="I117" s="27">
        <f>IFERROR(100/'Skjema total MA'!F117*G117,0)</f>
        <v>12.28531796748679</v>
      </c>
      <c r="J117" s="292">
        <f t="shared" si="31"/>
        <v>88406.607000000004</v>
      </c>
      <c r="K117" s="44">
        <f t="shared" si="31"/>
        <v>797435.90176000004</v>
      </c>
      <c r="L117" s="259">
        <f t="shared" si="32"/>
        <v>802</v>
      </c>
      <c r="M117" s="27">
        <f>IFERROR(100/'Skjema total MA'!I117*K117,0)</f>
        <v>12.285118951703465</v>
      </c>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v>66301.087</v>
      </c>
      <c r="C119" s="159">
        <v>60904.051999999996</v>
      </c>
      <c r="D119" s="171">
        <f t="shared" si="29"/>
        <v>-8.1</v>
      </c>
      <c r="E119" s="11">
        <f>IFERROR(100/'Skjema total MA'!C119*C119,0)</f>
        <v>43.154501277131615</v>
      </c>
      <c r="F119" s="311">
        <v>3247699.3169999998</v>
      </c>
      <c r="G119" s="159">
        <v>3373916.767</v>
      </c>
      <c r="H119" s="171">
        <f t="shared" si="30"/>
        <v>3.9</v>
      </c>
      <c r="I119" s="11">
        <f>IFERROR(100/'Skjema total MA'!F119*G119,0)</f>
        <v>25.970730538430011</v>
      </c>
      <c r="J119" s="312">
        <f t="shared" si="31"/>
        <v>3314000.4039999996</v>
      </c>
      <c r="K119" s="236">
        <f t="shared" si="31"/>
        <v>3434820.8190000001</v>
      </c>
      <c r="L119" s="425">
        <f t="shared" si="32"/>
        <v>3.6</v>
      </c>
      <c r="M119" s="11">
        <f>IFERROR(100/'Skjema total MA'!I119*K119,0)</f>
        <v>26.155400322078453</v>
      </c>
    </row>
    <row r="120" spans="1:14" x14ac:dyDescent="0.2">
      <c r="A120" s="21" t="s">
        <v>9</v>
      </c>
      <c r="B120" s="234">
        <v>6004.76</v>
      </c>
      <c r="C120" s="145">
        <v>19486.577000000001</v>
      </c>
      <c r="D120" s="166">
        <f t="shared" si="29"/>
        <v>224.5</v>
      </c>
      <c r="E120" s="27">
        <f>IFERROR(100/'Skjema total MA'!C120*C120,0)</f>
        <v>28.260805639820713</v>
      </c>
      <c r="F120" s="234"/>
      <c r="G120" s="145"/>
      <c r="H120" s="166"/>
      <c r="I120" s="27"/>
      <c r="J120" s="292">
        <f t="shared" si="31"/>
        <v>6004.76</v>
      </c>
      <c r="K120" s="44">
        <f t="shared" si="31"/>
        <v>19486.577000000001</v>
      </c>
      <c r="L120" s="259">
        <f t="shared" si="32"/>
        <v>224.5</v>
      </c>
      <c r="M120" s="27">
        <f>IFERROR(100/'Skjema total MA'!I120*K120,0)</f>
        <v>28.260805639820713</v>
      </c>
    </row>
    <row r="121" spans="1:14" x14ac:dyDescent="0.2">
      <c r="A121" s="21" t="s">
        <v>10</v>
      </c>
      <c r="B121" s="234"/>
      <c r="C121" s="145"/>
      <c r="D121" s="166"/>
      <c r="E121" s="27"/>
      <c r="F121" s="234">
        <v>3247699.3169999998</v>
      </c>
      <c r="G121" s="145">
        <v>3373916.767</v>
      </c>
      <c r="H121" s="166">
        <f t="shared" si="30"/>
        <v>3.9</v>
      </c>
      <c r="I121" s="27">
        <f>IFERROR(100/'Skjema total MA'!F121*G121,0)</f>
        <v>25.970730538430011</v>
      </c>
      <c r="J121" s="292">
        <f t="shared" si="31"/>
        <v>3247699.3169999998</v>
      </c>
      <c r="K121" s="44">
        <f t="shared" si="31"/>
        <v>3373916.767</v>
      </c>
      <c r="L121" s="259">
        <f t="shared" si="32"/>
        <v>3.9</v>
      </c>
      <c r="M121" s="27">
        <f>IFERROR(100/'Skjema total MA'!I121*K121,0)</f>
        <v>25.957098870233271</v>
      </c>
    </row>
    <row r="122" spans="1:14" x14ac:dyDescent="0.2">
      <c r="A122" s="21" t="s">
        <v>26</v>
      </c>
      <c r="B122" s="234">
        <v>60296.326999999997</v>
      </c>
      <c r="C122" s="145">
        <v>41417.474999999999</v>
      </c>
      <c r="D122" s="166">
        <f t="shared" si="29"/>
        <v>-31.3</v>
      </c>
      <c r="E122" s="27">
        <f>IFERROR(100/'Skjema total MA'!C122*C122,0)</f>
        <v>63.372990234645428</v>
      </c>
      <c r="F122" s="234"/>
      <c r="G122" s="145"/>
      <c r="H122" s="166"/>
      <c r="I122" s="27"/>
      <c r="J122" s="292">
        <f t="shared" si="31"/>
        <v>60296.326999999997</v>
      </c>
      <c r="K122" s="44">
        <f t="shared" si="31"/>
        <v>41417.474999999999</v>
      </c>
      <c r="L122" s="259">
        <f t="shared" si="32"/>
        <v>-31.3</v>
      </c>
      <c r="M122" s="27">
        <f>IFERROR(100/'Skjema total MA'!I122*K122,0)</f>
        <v>63.372990234645428</v>
      </c>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v>507.60899999999998</v>
      </c>
      <c r="C124" s="234">
        <v>6699.1139999999996</v>
      </c>
      <c r="D124" s="166">
        <f t="shared" si="29"/>
        <v>999</v>
      </c>
      <c r="E124" s="27">
        <f>IFERROR(100/'Skjema total MA'!C124*C124,0)</f>
        <v>39.783055094228821</v>
      </c>
      <c r="F124" s="234">
        <v>3363.8870000000002</v>
      </c>
      <c r="G124" s="234">
        <v>3968.998</v>
      </c>
      <c r="H124" s="166">
        <f t="shared" si="30"/>
        <v>18</v>
      </c>
      <c r="I124" s="27">
        <f>IFERROR(100/'Skjema total MA'!F124*G124,0)</f>
        <v>100</v>
      </c>
      <c r="J124" s="292">
        <f t="shared" si="31"/>
        <v>3871.4960000000001</v>
      </c>
      <c r="K124" s="44">
        <f t="shared" si="31"/>
        <v>10668.111999999999</v>
      </c>
      <c r="L124" s="259">
        <f t="shared" si="32"/>
        <v>175.6</v>
      </c>
      <c r="M124" s="27">
        <f>IFERROR(100/'Skjema total MA'!I124*K124,0)</f>
        <v>51.269005088015668</v>
      </c>
    </row>
    <row r="125" spans="1:14" ht="15.75" x14ac:dyDescent="0.2">
      <c r="A125" s="38" t="s">
        <v>407</v>
      </c>
      <c r="B125" s="234"/>
      <c r="C125" s="234"/>
      <c r="D125" s="166"/>
      <c r="E125" s="27"/>
      <c r="F125" s="234">
        <v>201080.79699999999</v>
      </c>
      <c r="G125" s="234">
        <v>1162759.29168</v>
      </c>
      <c r="H125" s="166">
        <f t="shared" si="30"/>
        <v>478.3</v>
      </c>
      <c r="I125" s="27">
        <f>IFERROR(100/'Skjema total MA'!F125*G125,0)</f>
        <v>17.531197606186655</v>
      </c>
      <c r="J125" s="292">
        <f t="shared" si="31"/>
        <v>201080.79699999999</v>
      </c>
      <c r="K125" s="44">
        <f t="shared" si="31"/>
        <v>1162759.29168</v>
      </c>
      <c r="L125" s="259">
        <f t="shared" si="32"/>
        <v>478.3</v>
      </c>
      <c r="M125" s="27">
        <f>IFERROR(100/'Skjema total MA'!I125*K125,0)</f>
        <v>17.531036760256864</v>
      </c>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v>201985.60200000001</v>
      </c>
      <c r="C134" s="312">
        <v>276227.7095</v>
      </c>
      <c r="D134" s="352">
        <f t="shared" ref="D134:D136" si="33">IF(B134=0, "    ---- ", IF(ABS(ROUND(100/B134*C134-100,1))&lt;999,ROUND(100/B134*C134-100,1),IF(ROUND(100/B134*C134-100,1)&gt;999,999,-999)))</f>
        <v>36.799999999999997</v>
      </c>
      <c r="E134" s="11">
        <f>IFERROR(100/'Skjema total MA'!C134*C134,0)</f>
        <v>3.1070417076613897</v>
      </c>
      <c r="F134" s="319"/>
      <c r="G134" s="320"/>
      <c r="H134" s="428"/>
      <c r="I134" s="24"/>
      <c r="J134" s="321">
        <f t="shared" ref="J134:K136" si="34">SUM(B134,F134)</f>
        <v>201985.60200000001</v>
      </c>
      <c r="K134" s="321">
        <f t="shared" si="34"/>
        <v>276227.7095</v>
      </c>
      <c r="L134" s="424">
        <f t="shared" ref="L134:L136" si="35">IF(J134=0, "    ---- ", IF(ABS(ROUND(100/J134*K134-100,1))&lt;999,ROUND(100/J134*K134-100,1),IF(ROUND(100/J134*K134-100,1)&gt;999,999,-999)))</f>
        <v>36.799999999999997</v>
      </c>
      <c r="M134" s="11">
        <f>IFERROR(100/'Skjema total MA'!I134*K134,0)</f>
        <v>3.1005722063989709</v>
      </c>
      <c r="N134" s="148"/>
    </row>
    <row r="135" spans="1:14" s="3" customFormat="1" ht="15.75" x14ac:dyDescent="0.2">
      <c r="A135" s="13" t="s">
        <v>375</v>
      </c>
      <c r="B135" s="236">
        <v>16326442.922</v>
      </c>
      <c r="C135" s="312">
        <v>17961405.996929999</v>
      </c>
      <c r="D135" s="171">
        <f t="shared" si="33"/>
        <v>10</v>
      </c>
      <c r="E135" s="11">
        <f>IFERROR(100/'Skjema total MA'!C135*C135,0)</f>
        <v>2.3277623619242096</v>
      </c>
      <c r="F135" s="236"/>
      <c r="G135" s="312"/>
      <c r="H135" s="429"/>
      <c r="I135" s="24"/>
      <c r="J135" s="311">
        <f t="shared" si="34"/>
        <v>16326442.922</v>
      </c>
      <c r="K135" s="311">
        <f t="shared" si="34"/>
        <v>17961405.996929999</v>
      </c>
      <c r="L135" s="425">
        <f t="shared" si="35"/>
        <v>10</v>
      </c>
      <c r="M135" s="11">
        <f>IFERROR(100/'Skjema total MA'!I135*K135,0)</f>
        <v>2.319918049686692</v>
      </c>
      <c r="N135" s="148"/>
    </row>
    <row r="136" spans="1:14" s="3" customFormat="1" ht="15.75" x14ac:dyDescent="0.2">
      <c r="A136" s="13" t="s">
        <v>372</v>
      </c>
      <c r="B136" s="236">
        <v>3131923.139</v>
      </c>
      <c r="C136" s="312">
        <v>808045.60100000002</v>
      </c>
      <c r="D136" s="171">
        <f t="shared" si="33"/>
        <v>-74.2</v>
      </c>
      <c r="E136" s="11">
        <f>IFERROR(100/'Skjema total MA'!C136*C136,0)</f>
        <v>89.868790373520852</v>
      </c>
      <c r="F136" s="236"/>
      <c r="G136" s="312"/>
      <c r="H136" s="429"/>
      <c r="I136" s="24"/>
      <c r="J136" s="311">
        <f t="shared" si="34"/>
        <v>3131923.139</v>
      </c>
      <c r="K136" s="311">
        <f t="shared" si="34"/>
        <v>808045.60100000002</v>
      </c>
      <c r="L136" s="425">
        <f t="shared" si="35"/>
        <v>-74.2</v>
      </c>
      <c r="M136" s="11">
        <f>IFERROR(100/'Skjema total MA'!I136*K136,0)</f>
        <v>89.868790373520852</v>
      </c>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22" priority="132">
      <formula>kvartal &lt; 4</formula>
    </cfRule>
  </conditionalFormatting>
  <conditionalFormatting sqref="B115">
    <cfRule type="expression" dxfId="321" priority="76">
      <formula>kvartal &lt; 4</formula>
    </cfRule>
  </conditionalFormatting>
  <conditionalFormatting sqref="C115">
    <cfRule type="expression" dxfId="320" priority="75">
      <formula>kvartal &lt; 4</formula>
    </cfRule>
  </conditionalFormatting>
  <conditionalFormatting sqref="B123">
    <cfRule type="expression" dxfId="319" priority="74">
      <formula>kvartal &lt; 4</formula>
    </cfRule>
  </conditionalFormatting>
  <conditionalFormatting sqref="C123">
    <cfRule type="expression" dxfId="318" priority="73">
      <formula>kvartal &lt; 4</formula>
    </cfRule>
  </conditionalFormatting>
  <conditionalFormatting sqref="F115">
    <cfRule type="expression" dxfId="317" priority="58">
      <formula>kvartal &lt; 4</formula>
    </cfRule>
  </conditionalFormatting>
  <conditionalFormatting sqref="G115">
    <cfRule type="expression" dxfId="316" priority="57">
      <formula>kvartal &lt; 4</formula>
    </cfRule>
  </conditionalFormatting>
  <conditionalFormatting sqref="F123:G123">
    <cfRule type="expression" dxfId="315" priority="56">
      <formula>kvartal &lt; 4</formula>
    </cfRule>
  </conditionalFormatting>
  <conditionalFormatting sqref="J115:K115">
    <cfRule type="expression" dxfId="314" priority="32">
      <formula>kvartal &lt; 4</formula>
    </cfRule>
  </conditionalFormatting>
  <conditionalFormatting sqref="J123:K123">
    <cfRule type="expression" dxfId="313" priority="31">
      <formula>kvartal &lt; 4</formula>
    </cfRule>
  </conditionalFormatting>
  <conditionalFormatting sqref="A50:A52">
    <cfRule type="expression" dxfId="312" priority="12">
      <formula>kvartal &lt; 4</formula>
    </cfRule>
  </conditionalFormatting>
  <conditionalFormatting sqref="A69:A74">
    <cfRule type="expression" dxfId="311" priority="10">
      <formula>kvartal &lt; 4</formula>
    </cfRule>
  </conditionalFormatting>
  <conditionalFormatting sqref="A80:A85">
    <cfRule type="expression" dxfId="310" priority="9">
      <formula>kvartal &lt; 4</formula>
    </cfRule>
  </conditionalFormatting>
  <conditionalFormatting sqref="A90:A95">
    <cfRule type="expression" dxfId="309" priority="6">
      <formula>kvartal &lt; 4</formula>
    </cfRule>
  </conditionalFormatting>
  <conditionalFormatting sqref="A101:A106">
    <cfRule type="expression" dxfId="308" priority="5">
      <formula>kvartal &lt; 4</formula>
    </cfRule>
  </conditionalFormatting>
  <conditionalFormatting sqref="A115">
    <cfRule type="expression" dxfId="307" priority="4">
      <formula>kvartal &lt; 4</formula>
    </cfRule>
  </conditionalFormatting>
  <conditionalFormatting sqref="A123">
    <cfRule type="expression" dxfId="306" priority="3">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95</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425"/>
      <c r="M8" s="27"/>
    </row>
    <row r="9" spans="1:14" ht="15.75" x14ac:dyDescent="0.2">
      <c r="A9" s="21" t="s">
        <v>24</v>
      </c>
      <c r="B9" s="286"/>
      <c r="C9" s="287"/>
      <c r="D9" s="166"/>
      <c r="E9" s="27"/>
      <c r="F9" s="290"/>
      <c r="G9" s="291"/>
      <c r="H9" s="166"/>
      <c r="I9" s="176"/>
      <c r="J9" s="234"/>
      <c r="K9" s="292"/>
      <c r="L9" s="425"/>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171"/>
      <c r="E38" s="24"/>
      <c r="F38" s="322"/>
      <c r="G38" s="323"/>
      <c r="H38" s="171"/>
      <c r="I38" s="431"/>
      <c r="J38" s="236"/>
      <c r="K38" s="236"/>
      <c r="L38" s="425"/>
      <c r="M38" s="24"/>
    </row>
    <row r="39" spans="1:14" ht="15.75" x14ac:dyDescent="0.2">
      <c r="A39" s="18" t="s">
        <v>358</v>
      </c>
      <c r="B39" s="281"/>
      <c r="C39" s="318"/>
      <c r="D39" s="169"/>
      <c r="E39" s="36"/>
      <c r="F39" s="325"/>
      <c r="G39" s="326"/>
      <c r="H39" s="169"/>
      <c r="I39" s="36"/>
      <c r="J39" s="236"/>
      <c r="K39" s="236"/>
      <c r="L39" s="426"/>
      <c r="M39" s="36"/>
    </row>
    <row r="40" spans="1:14" ht="15.75" x14ac:dyDescent="0.25">
      <c r="A40" s="47"/>
      <c r="B40" s="258"/>
      <c r="C40" s="258"/>
      <c r="D40" s="722"/>
      <c r="E40" s="722"/>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319</v>
      </c>
      <c r="C47" s="314">
        <v>1972</v>
      </c>
      <c r="D47" s="424">
        <f t="shared" ref="D47:D48" si="0">IF(B47=0, "    ---- ", IF(ABS(ROUND(100/B47*C47-100,1))&lt;999,ROUND(100/B47*C47-100,1),IF(ROUND(100/B47*C47-100,1)&gt;999,999,-999)))</f>
        <v>518.20000000000005</v>
      </c>
      <c r="E47" s="11">
        <f>IFERROR(100/'Skjema total MA'!C47*C47,0)</f>
        <v>5.2772495465078249E-2</v>
      </c>
      <c r="F47" s="145"/>
      <c r="G47" s="33"/>
      <c r="H47" s="159"/>
      <c r="I47" s="159"/>
      <c r="J47" s="37"/>
      <c r="K47" s="37"/>
      <c r="L47" s="159"/>
      <c r="M47" s="159"/>
      <c r="N47" s="148"/>
    </row>
    <row r="48" spans="1:14" s="3" customFormat="1" ht="15.75" x14ac:dyDescent="0.2">
      <c r="A48" s="38" t="s">
        <v>359</v>
      </c>
      <c r="B48" s="286">
        <v>319</v>
      </c>
      <c r="C48" s="287">
        <v>1972</v>
      </c>
      <c r="D48" s="259">
        <f t="shared" si="0"/>
        <v>518.20000000000005</v>
      </c>
      <c r="E48" s="27">
        <f>IFERROR(100/'Skjema total MA'!C48*C48,0)</f>
        <v>9.7663721578313864E-2</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05" priority="132">
      <formula>kvartal &lt; 4</formula>
    </cfRule>
  </conditionalFormatting>
  <conditionalFormatting sqref="B115">
    <cfRule type="expression" dxfId="304" priority="76">
      <formula>kvartal &lt; 4</formula>
    </cfRule>
  </conditionalFormatting>
  <conditionalFormatting sqref="C115">
    <cfRule type="expression" dxfId="303" priority="75">
      <formula>kvartal &lt; 4</formula>
    </cfRule>
  </conditionalFormatting>
  <conditionalFormatting sqref="B123">
    <cfRule type="expression" dxfId="302" priority="74">
      <formula>kvartal &lt; 4</formula>
    </cfRule>
  </conditionalFormatting>
  <conditionalFormatting sqref="C123">
    <cfRule type="expression" dxfId="301" priority="73">
      <formula>kvartal &lt; 4</formula>
    </cfRule>
  </conditionalFormatting>
  <conditionalFormatting sqref="F115">
    <cfRule type="expression" dxfId="300" priority="58">
      <formula>kvartal &lt; 4</formula>
    </cfRule>
  </conditionalFormatting>
  <conditionalFormatting sqref="G115">
    <cfRule type="expression" dxfId="299" priority="57">
      <formula>kvartal &lt; 4</formula>
    </cfRule>
  </conditionalFormatting>
  <conditionalFormatting sqref="F123:G123">
    <cfRule type="expression" dxfId="298" priority="56">
      <formula>kvartal &lt; 4</formula>
    </cfRule>
  </conditionalFormatting>
  <conditionalFormatting sqref="J115:K115">
    <cfRule type="expression" dxfId="297" priority="32">
      <formula>kvartal &lt; 4</formula>
    </cfRule>
  </conditionalFormatting>
  <conditionalFormatting sqref="J123:K123">
    <cfRule type="expression" dxfId="296" priority="31">
      <formula>kvartal &lt; 4</formula>
    </cfRule>
  </conditionalFormatting>
  <conditionalFormatting sqref="A50:A52">
    <cfRule type="expression" dxfId="295" priority="12">
      <formula>kvartal &lt; 4</formula>
    </cfRule>
  </conditionalFormatting>
  <conditionalFormatting sqref="A69:A74">
    <cfRule type="expression" dxfId="294" priority="10">
      <formula>kvartal &lt; 4</formula>
    </cfRule>
  </conditionalFormatting>
  <conditionalFormatting sqref="A80:A85">
    <cfRule type="expression" dxfId="293" priority="9">
      <formula>kvartal &lt; 4</formula>
    </cfRule>
  </conditionalFormatting>
  <conditionalFormatting sqref="A90:A95">
    <cfRule type="expression" dxfId="292" priority="6">
      <formula>kvartal &lt; 4</formula>
    </cfRule>
  </conditionalFormatting>
  <conditionalFormatting sqref="A101:A106">
    <cfRule type="expression" dxfId="291" priority="5">
      <formula>kvartal &lt; 4</formula>
    </cfRule>
  </conditionalFormatting>
  <conditionalFormatting sqref="A115">
    <cfRule type="expression" dxfId="290" priority="4">
      <formula>kvartal &lt; 4</formula>
    </cfRule>
  </conditionalFormatting>
  <conditionalFormatting sqref="A123">
    <cfRule type="expression" dxfId="289"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96</v>
      </c>
      <c r="D1" s="26"/>
      <c r="E1" s="26"/>
      <c r="F1" s="26"/>
      <c r="G1" s="26"/>
      <c r="H1" s="26"/>
      <c r="I1" s="26"/>
      <c r="J1" s="26"/>
      <c r="K1" s="26"/>
      <c r="L1" s="26"/>
      <c r="M1" s="26"/>
    </row>
    <row r="2" spans="1:14" ht="15.75" x14ac:dyDescent="0.25">
      <c r="A2" s="165" t="s">
        <v>28</v>
      </c>
      <c r="B2" s="718"/>
      <c r="C2" s="718"/>
      <c r="D2" s="718"/>
      <c r="E2" s="302"/>
      <c r="F2" s="718"/>
      <c r="G2" s="718"/>
      <c r="H2" s="718"/>
      <c r="I2" s="302"/>
      <c r="J2" s="718"/>
      <c r="K2" s="718"/>
      <c r="L2" s="718"/>
      <c r="M2" s="302"/>
    </row>
    <row r="3" spans="1:14" ht="15.75" x14ac:dyDescent="0.25">
      <c r="A3" s="163"/>
      <c r="B3" s="302"/>
      <c r="C3" s="302"/>
      <c r="D3" s="302"/>
      <c r="E3" s="302"/>
      <c r="F3" s="302"/>
      <c r="G3" s="302"/>
      <c r="H3" s="302"/>
      <c r="I3" s="302"/>
      <c r="J3" s="302"/>
      <c r="K3" s="302"/>
      <c r="L3" s="302"/>
      <c r="M3" s="302"/>
    </row>
    <row r="4" spans="1:14" x14ac:dyDescent="0.2">
      <c r="A4" s="144"/>
      <c r="B4" s="719" t="s">
        <v>0</v>
      </c>
      <c r="C4" s="720"/>
      <c r="D4" s="720"/>
      <c r="E4" s="304"/>
      <c r="F4" s="719" t="s">
        <v>1</v>
      </c>
      <c r="G4" s="720"/>
      <c r="H4" s="720"/>
      <c r="I4" s="307"/>
      <c r="J4" s="719" t="s">
        <v>2</v>
      </c>
      <c r="K4" s="720"/>
      <c r="L4" s="720"/>
      <c r="M4" s="307"/>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c r="C7" s="310"/>
      <c r="D7" s="352"/>
      <c r="E7" s="11"/>
      <c r="F7" s="309"/>
      <c r="G7" s="310"/>
      <c r="H7" s="352"/>
      <c r="I7" s="160"/>
      <c r="J7" s="311"/>
      <c r="K7" s="312"/>
      <c r="L7" s="424"/>
      <c r="M7" s="11"/>
    </row>
    <row r="8" spans="1:14" ht="15.75" x14ac:dyDescent="0.2">
      <c r="A8" s="21" t="s">
        <v>25</v>
      </c>
      <c r="B8" s="286"/>
      <c r="C8" s="287"/>
      <c r="D8" s="166"/>
      <c r="E8" s="27"/>
      <c r="F8" s="290"/>
      <c r="G8" s="291"/>
      <c r="H8" s="166"/>
      <c r="I8" s="176"/>
      <c r="J8" s="234"/>
      <c r="K8" s="292"/>
      <c r="L8" s="259"/>
      <c r="M8" s="27"/>
    </row>
    <row r="9" spans="1:14" ht="15.75" x14ac:dyDescent="0.2">
      <c r="A9" s="21" t="s">
        <v>24</v>
      </c>
      <c r="B9" s="286"/>
      <c r="C9" s="287"/>
      <c r="D9" s="166"/>
      <c r="E9" s="27"/>
      <c r="F9" s="290"/>
      <c r="G9" s="291"/>
      <c r="H9" s="166"/>
      <c r="I9" s="176"/>
      <c r="J9" s="234"/>
      <c r="K9" s="292"/>
      <c r="L9" s="259"/>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302"/>
      <c r="F18" s="721"/>
      <c r="G18" s="721"/>
      <c r="H18" s="721"/>
      <c r="I18" s="302"/>
      <c r="J18" s="721"/>
      <c r="K18" s="721"/>
      <c r="L18" s="721"/>
      <c r="M18" s="302"/>
    </row>
    <row r="19" spans="1:14" x14ac:dyDescent="0.2">
      <c r="A19" s="144"/>
      <c r="B19" s="719" t="s">
        <v>0</v>
      </c>
      <c r="C19" s="720"/>
      <c r="D19" s="720"/>
      <c r="E19" s="304"/>
      <c r="F19" s="719" t="s">
        <v>1</v>
      </c>
      <c r="G19" s="720"/>
      <c r="H19" s="720"/>
      <c r="I19" s="307"/>
      <c r="J19" s="719" t="s">
        <v>2</v>
      </c>
      <c r="K19" s="720"/>
      <c r="L19" s="720"/>
      <c r="M19" s="307"/>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429"/>
      <c r="E38" s="24"/>
      <c r="F38" s="322"/>
      <c r="G38" s="323"/>
      <c r="H38" s="171"/>
      <c r="I38" s="431"/>
      <c r="J38" s="236"/>
      <c r="K38" s="236"/>
      <c r="L38" s="425"/>
      <c r="M38" s="24"/>
    </row>
    <row r="39" spans="1:14" ht="15.75" x14ac:dyDescent="0.2">
      <c r="A39" s="18" t="s">
        <v>358</v>
      </c>
      <c r="B39" s="281"/>
      <c r="C39" s="318"/>
      <c r="D39" s="430"/>
      <c r="E39" s="36"/>
      <c r="F39" s="325"/>
      <c r="G39" s="326"/>
      <c r="H39" s="169"/>
      <c r="I39" s="36"/>
      <c r="J39" s="236"/>
      <c r="K39" s="236"/>
      <c r="L39" s="426"/>
      <c r="M39" s="36"/>
    </row>
    <row r="40" spans="1:14" ht="15.75" x14ac:dyDescent="0.25">
      <c r="A40" s="47"/>
      <c r="B40" s="258"/>
      <c r="C40" s="258"/>
      <c r="D40" s="722"/>
      <c r="E40" s="723"/>
      <c r="F40" s="722"/>
      <c r="G40" s="722"/>
      <c r="H40" s="722"/>
      <c r="I40" s="722"/>
      <c r="J40" s="722"/>
      <c r="K40" s="722"/>
      <c r="L40" s="722"/>
      <c r="M40" s="305"/>
    </row>
    <row r="41" spans="1:14" x14ac:dyDescent="0.2">
      <c r="A41" s="155"/>
    </row>
    <row r="42" spans="1:14" ht="15.75" x14ac:dyDescent="0.25">
      <c r="A42" s="147" t="s">
        <v>266</v>
      </c>
      <c r="B42" s="718"/>
      <c r="C42" s="718"/>
      <c r="D42" s="718"/>
      <c r="E42" s="302"/>
      <c r="F42" s="723"/>
      <c r="G42" s="723"/>
      <c r="H42" s="723"/>
      <c r="I42" s="305"/>
      <c r="J42" s="723"/>
      <c r="K42" s="723"/>
      <c r="L42" s="723"/>
      <c r="M42" s="305"/>
    </row>
    <row r="43" spans="1:14" ht="15.75" x14ac:dyDescent="0.25">
      <c r="A43" s="163"/>
      <c r="B43" s="306"/>
      <c r="C43" s="306"/>
      <c r="D43" s="306"/>
      <c r="E43" s="306"/>
      <c r="F43" s="305"/>
      <c r="G43" s="305"/>
      <c r="H43" s="305"/>
      <c r="I43" s="305"/>
      <c r="J43" s="305"/>
      <c r="K43" s="305"/>
      <c r="L43" s="305"/>
      <c r="M43" s="305"/>
    </row>
    <row r="44" spans="1:14" ht="15.75" x14ac:dyDescent="0.25">
      <c r="A44" s="249"/>
      <c r="B44" s="719" t="s">
        <v>0</v>
      </c>
      <c r="C44" s="720"/>
      <c r="D44" s="720"/>
      <c r="E44" s="244"/>
      <c r="F44" s="305"/>
      <c r="G44" s="305"/>
      <c r="H44" s="305"/>
      <c r="I44" s="305"/>
      <c r="J44" s="305"/>
      <c r="K44" s="305"/>
      <c r="L44" s="305"/>
      <c r="M44" s="30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546669.5</v>
      </c>
      <c r="C47" s="314">
        <v>685373.375</v>
      </c>
      <c r="D47" s="424">
        <f t="shared" ref="D47:D57" si="0">IF(B47=0, "    ---- ", IF(ABS(ROUND(100/B47*C47-100,1))&lt;999,ROUND(100/B47*C47-100,1),IF(ROUND(100/B47*C47-100,1)&gt;999,999,-999)))</f>
        <v>25.4</v>
      </c>
      <c r="E47" s="11">
        <f>IFERROR(100/'Skjema total MA'!C47*C47,0)</f>
        <v>18.341208582187054</v>
      </c>
      <c r="F47" s="145"/>
      <c r="G47" s="33"/>
      <c r="H47" s="159"/>
      <c r="I47" s="159"/>
      <c r="J47" s="37"/>
      <c r="K47" s="37"/>
      <c r="L47" s="159"/>
      <c r="M47" s="159"/>
      <c r="N47" s="148"/>
    </row>
    <row r="48" spans="1:14" s="3" customFormat="1" ht="15.75" x14ac:dyDescent="0.2">
      <c r="A48" s="38" t="s">
        <v>359</v>
      </c>
      <c r="B48" s="286">
        <v>99027.6</v>
      </c>
      <c r="C48" s="287">
        <v>131986.13800000001</v>
      </c>
      <c r="D48" s="259">
        <f t="shared" si="0"/>
        <v>33.299999999999997</v>
      </c>
      <c r="E48" s="27">
        <f>IFERROR(100/'Skjema total MA'!C48*C48,0)</f>
        <v>6.5366417007246005</v>
      </c>
      <c r="F48" s="145"/>
      <c r="G48" s="33"/>
      <c r="H48" s="145"/>
      <c r="I48" s="145"/>
      <c r="J48" s="33"/>
      <c r="K48" s="33"/>
      <c r="L48" s="159"/>
      <c r="M48" s="159"/>
      <c r="N48" s="148"/>
    </row>
    <row r="49" spans="1:14" s="3" customFormat="1" ht="15.75" x14ac:dyDescent="0.2">
      <c r="A49" s="38" t="s">
        <v>360</v>
      </c>
      <c r="B49" s="44">
        <v>447641.9</v>
      </c>
      <c r="C49" s="292">
        <v>553387.23699999996</v>
      </c>
      <c r="D49" s="259">
        <f>IF(B49=0, "    ---- ", IF(ABS(ROUND(100/B49*C49-100,1))&lt;999,ROUND(100/B49*C49-100,1),IF(ROUND(100/B49*C49-100,1)&gt;999,999,-999)))</f>
        <v>23.6</v>
      </c>
      <c r="E49" s="27">
        <f>IFERROR(100/'Skjema total MA'!C49*C49,0)</f>
        <v>32.218228796511717</v>
      </c>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v>23767.3</v>
      </c>
      <c r="C53" s="314">
        <v>29964.6</v>
      </c>
      <c r="D53" s="425">
        <f t="shared" si="0"/>
        <v>26.1</v>
      </c>
      <c r="E53" s="11">
        <f>IFERROR(100/'Skjema total MA'!C53*C53,0)</f>
        <v>30.3565248966793</v>
      </c>
      <c r="F53" s="145"/>
      <c r="G53" s="33"/>
      <c r="H53" s="145"/>
      <c r="I53" s="145"/>
      <c r="J53" s="33"/>
      <c r="K53" s="33"/>
      <c r="L53" s="159"/>
      <c r="M53" s="159"/>
      <c r="N53" s="148"/>
    </row>
    <row r="54" spans="1:14" s="3" customFormat="1" ht="15.75" x14ac:dyDescent="0.2">
      <c r="A54" s="38" t="s">
        <v>359</v>
      </c>
      <c r="B54" s="286">
        <v>23767.3</v>
      </c>
      <c r="C54" s="287">
        <v>29964.6</v>
      </c>
      <c r="D54" s="259">
        <f t="shared" si="0"/>
        <v>26.1</v>
      </c>
      <c r="E54" s="27">
        <f>IFERROR(100/'Skjema total MA'!C54*C54,0)</f>
        <v>30.650268889760227</v>
      </c>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v>15278.3</v>
      </c>
      <c r="C56" s="314">
        <v>8930.2800000000007</v>
      </c>
      <c r="D56" s="425">
        <f t="shared" si="0"/>
        <v>-41.5</v>
      </c>
      <c r="E56" s="11">
        <f>IFERROR(100/'Skjema total MA'!C56*C56,0)</f>
        <v>14.997025543248121</v>
      </c>
      <c r="F56" s="145"/>
      <c r="G56" s="33"/>
      <c r="H56" s="145"/>
      <c r="I56" s="145"/>
      <c r="J56" s="33"/>
      <c r="K56" s="33"/>
      <c r="L56" s="159"/>
      <c r="M56" s="159"/>
      <c r="N56" s="148"/>
    </row>
    <row r="57" spans="1:14" s="3" customFormat="1" ht="15.75" x14ac:dyDescent="0.2">
      <c r="A57" s="38" t="s">
        <v>359</v>
      </c>
      <c r="B57" s="286">
        <v>15278.3</v>
      </c>
      <c r="C57" s="287">
        <v>8930.2800000000007</v>
      </c>
      <c r="D57" s="259">
        <f t="shared" si="0"/>
        <v>-41.5</v>
      </c>
      <c r="E57" s="27">
        <f>IFERROR(100/'Skjema total MA'!C57*C57,0)</f>
        <v>14.997025543248121</v>
      </c>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302"/>
      <c r="F62" s="721"/>
      <c r="G62" s="721"/>
      <c r="H62" s="721"/>
      <c r="I62" s="302"/>
      <c r="J62" s="721"/>
      <c r="K62" s="721"/>
      <c r="L62" s="721"/>
      <c r="M62" s="302"/>
    </row>
    <row r="63" spans="1:14" x14ac:dyDescent="0.2">
      <c r="A63" s="144"/>
      <c r="B63" s="719" t="s">
        <v>0</v>
      </c>
      <c r="C63" s="720"/>
      <c r="D63" s="724"/>
      <c r="E63" s="303"/>
      <c r="F63" s="720" t="s">
        <v>1</v>
      </c>
      <c r="G63" s="720"/>
      <c r="H63" s="720"/>
      <c r="I63" s="307"/>
      <c r="J63" s="719" t="s">
        <v>2</v>
      </c>
      <c r="K63" s="720"/>
      <c r="L63" s="720"/>
      <c r="M63" s="307"/>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3" x14ac:dyDescent="0.2">
      <c r="A97" s="21" t="s">
        <v>332</v>
      </c>
      <c r="B97" s="234"/>
      <c r="C97" s="145"/>
      <c r="D97" s="166"/>
      <c r="E97" s="27"/>
      <c r="F97" s="234"/>
      <c r="G97" s="145"/>
      <c r="H97" s="166"/>
      <c r="I97" s="27"/>
      <c r="J97" s="292"/>
      <c r="K97" s="44"/>
      <c r="L97" s="259"/>
      <c r="M97" s="27"/>
    </row>
    <row r="98" spans="1:13" ht="15.75" x14ac:dyDescent="0.2">
      <c r="A98" s="21" t="s">
        <v>365</v>
      </c>
      <c r="B98" s="234"/>
      <c r="C98" s="234"/>
      <c r="D98" s="166"/>
      <c r="E98" s="27"/>
      <c r="F98" s="296"/>
      <c r="G98" s="296"/>
      <c r="H98" s="166"/>
      <c r="I98" s="27"/>
      <c r="J98" s="292"/>
      <c r="K98" s="44"/>
      <c r="L98" s="259"/>
      <c r="M98" s="27"/>
    </row>
    <row r="99" spans="1:13" x14ac:dyDescent="0.2">
      <c r="A99" s="21" t="s">
        <v>9</v>
      </c>
      <c r="B99" s="296"/>
      <c r="C99" s="297"/>
      <c r="D99" s="166"/>
      <c r="E99" s="27"/>
      <c r="F99" s="234"/>
      <c r="G99" s="145"/>
      <c r="H99" s="166"/>
      <c r="I99" s="27"/>
      <c r="J99" s="292"/>
      <c r="K99" s="44"/>
      <c r="L99" s="259"/>
      <c r="M99" s="27"/>
    </row>
    <row r="100" spans="1:13" x14ac:dyDescent="0.2">
      <c r="A100" s="38" t="s">
        <v>399</v>
      </c>
      <c r="B100" s="296"/>
      <c r="C100" s="297"/>
      <c r="D100" s="166"/>
      <c r="E100" s="27"/>
      <c r="F100" s="234"/>
      <c r="G100" s="234"/>
      <c r="H100" s="166"/>
      <c r="I100" s="27"/>
      <c r="J100" s="292"/>
      <c r="K100" s="44"/>
      <c r="L100" s="259"/>
      <c r="M100" s="27"/>
    </row>
    <row r="101" spans="1:13" ht="15.75" x14ac:dyDescent="0.2">
      <c r="A101" s="299" t="s">
        <v>363</v>
      </c>
      <c r="B101" s="298"/>
      <c r="C101" s="298"/>
      <c r="D101" s="166"/>
      <c r="E101" s="23"/>
      <c r="F101" s="298"/>
      <c r="G101" s="298"/>
      <c r="H101" s="166"/>
      <c r="I101" s="23"/>
      <c r="J101" s="298"/>
      <c r="K101" s="298"/>
      <c r="L101" s="166"/>
      <c r="M101" s="23"/>
    </row>
    <row r="102" spans="1:13" x14ac:dyDescent="0.2">
      <c r="A102" s="299" t="s">
        <v>12</v>
      </c>
      <c r="B102" s="298"/>
      <c r="C102" s="298"/>
      <c r="D102" s="166"/>
      <c r="E102" s="23"/>
      <c r="F102" s="298"/>
      <c r="G102" s="298"/>
      <c r="H102" s="166"/>
      <c r="I102" s="23"/>
      <c r="J102" s="298"/>
      <c r="K102" s="298"/>
      <c r="L102" s="166"/>
      <c r="M102" s="23"/>
    </row>
    <row r="103" spans="1:13" x14ac:dyDescent="0.2">
      <c r="A103" s="299" t="s">
        <v>13</v>
      </c>
      <c r="B103" s="298"/>
      <c r="C103" s="298"/>
      <c r="D103" s="166"/>
      <c r="E103" s="23"/>
      <c r="F103" s="298"/>
      <c r="G103" s="298"/>
      <c r="H103" s="166"/>
      <c r="I103" s="23"/>
      <c r="J103" s="298"/>
      <c r="K103" s="298"/>
      <c r="L103" s="166"/>
      <c r="M103" s="23"/>
    </row>
    <row r="104" spans="1:13" ht="15.75" x14ac:dyDescent="0.2">
      <c r="A104" s="299" t="s">
        <v>364</v>
      </c>
      <c r="B104" s="298"/>
      <c r="C104" s="298"/>
      <c r="D104" s="166"/>
      <c r="E104" s="23"/>
      <c r="F104" s="298"/>
      <c r="G104" s="298"/>
      <c r="H104" s="166"/>
      <c r="I104" s="23"/>
      <c r="J104" s="298"/>
      <c r="K104" s="298"/>
      <c r="L104" s="166"/>
      <c r="M104" s="23"/>
    </row>
    <row r="105" spans="1:13" x14ac:dyDescent="0.2">
      <c r="A105" s="299" t="s">
        <v>12</v>
      </c>
      <c r="B105" s="298"/>
      <c r="C105" s="298"/>
      <c r="D105" s="166"/>
      <c r="E105" s="23"/>
      <c r="F105" s="298"/>
      <c r="G105" s="298"/>
      <c r="H105" s="166"/>
      <c r="I105" s="23"/>
      <c r="J105" s="298"/>
      <c r="K105" s="298"/>
      <c r="L105" s="166"/>
      <c r="M105" s="23"/>
    </row>
    <row r="106" spans="1:13" x14ac:dyDescent="0.2">
      <c r="A106" s="299" t="s">
        <v>13</v>
      </c>
      <c r="B106" s="298"/>
      <c r="C106" s="298"/>
      <c r="D106" s="166"/>
      <c r="E106" s="23"/>
      <c r="F106" s="298"/>
      <c r="G106" s="298"/>
      <c r="H106" s="166"/>
      <c r="I106" s="23"/>
      <c r="J106" s="298"/>
      <c r="K106" s="298"/>
      <c r="L106" s="166"/>
      <c r="M106" s="23"/>
    </row>
    <row r="107" spans="1:13" ht="15.75" x14ac:dyDescent="0.2">
      <c r="A107" s="21" t="s">
        <v>366</v>
      </c>
      <c r="B107" s="234"/>
      <c r="C107" s="145"/>
      <c r="D107" s="166"/>
      <c r="E107" s="27"/>
      <c r="F107" s="234"/>
      <c r="G107" s="145"/>
      <c r="H107" s="166"/>
      <c r="I107" s="27"/>
      <c r="J107" s="292"/>
      <c r="K107" s="44"/>
      <c r="L107" s="259"/>
      <c r="M107" s="27"/>
    </row>
    <row r="108" spans="1:13" ht="15.75" x14ac:dyDescent="0.2">
      <c r="A108" s="21" t="s">
        <v>367</v>
      </c>
      <c r="B108" s="234"/>
      <c r="C108" s="234"/>
      <c r="D108" s="166"/>
      <c r="E108" s="27"/>
      <c r="F108" s="234"/>
      <c r="G108" s="234"/>
      <c r="H108" s="166"/>
      <c r="I108" s="27"/>
      <c r="J108" s="292"/>
      <c r="K108" s="44"/>
      <c r="L108" s="259"/>
      <c r="M108" s="27"/>
    </row>
    <row r="109" spans="1:13" ht="15.75" x14ac:dyDescent="0.2">
      <c r="A109" s="38" t="s">
        <v>407</v>
      </c>
      <c r="B109" s="234"/>
      <c r="C109" s="234"/>
      <c r="D109" s="166"/>
      <c r="E109" s="27"/>
      <c r="F109" s="234"/>
      <c r="G109" s="234"/>
      <c r="H109" s="166"/>
      <c r="I109" s="27"/>
      <c r="J109" s="292"/>
      <c r="K109" s="44"/>
      <c r="L109" s="259"/>
      <c r="M109" s="27"/>
    </row>
    <row r="110" spans="1:13" ht="15.75" x14ac:dyDescent="0.2">
      <c r="A110" s="21" t="s">
        <v>368</v>
      </c>
      <c r="B110" s="234"/>
      <c r="C110" s="234"/>
      <c r="D110" s="166"/>
      <c r="E110" s="27"/>
      <c r="F110" s="234"/>
      <c r="G110" s="234"/>
      <c r="H110" s="166"/>
      <c r="I110" s="27"/>
      <c r="J110" s="292"/>
      <c r="K110" s="44"/>
      <c r="L110" s="259"/>
      <c r="M110" s="27"/>
    </row>
    <row r="111" spans="1:13" ht="15.75" x14ac:dyDescent="0.2">
      <c r="A111" s="13" t="s">
        <v>349</v>
      </c>
      <c r="B111" s="311"/>
      <c r="C111" s="159"/>
      <c r="D111" s="171"/>
      <c r="E111" s="11"/>
      <c r="F111" s="311"/>
      <c r="G111" s="159"/>
      <c r="H111" s="171"/>
      <c r="I111" s="11"/>
      <c r="J111" s="312"/>
      <c r="K111" s="236"/>
      <c r="L111" s="425"/>
      <c r="M111" s="11"/>
    </row>
    <row r="112" spans="1:13"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302"/>
      <c r="F130" s="721"/>
      <c r="G130" s="721"/>
      <c r="H130" s="721"/>
      <c r="I130" s="302"/>
      <c r="J130" s="721"/>
      <c r="K130" s="721"/>
      <c r="L130" s="721"/>
      <c r="M130" s="302"/>
    </row>
    <row r="131" spans="1:14" s="3" customFormat="1" x14ac:dyDescent="0.2">
      <c r="A131" s="144"/>
      <c r="B131" s="719" t="s">
        <v>0</v>
      </c>
      <c r="C131" s="720"/>
      <c r="D131" s="720"/>
      <c r="E131" s="304"/>
      <c r="F131" s="719" t="s">
        <v>1</v>
      </c>
      <c r="G131" s="720"/>
      <c r="H131" s="720"/>
      <c r="I131" s="307"/>
      <c r="J131" s="719" t="s">
        <v>2</v>
      </c>
      <c r="K131" s="720"/>
      <c r="L131" s="720"/>
      <c r="M131" s="307"/>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88" priority="117">
      <formula>kvartal &lt; 4</formula>
    </cfRule>
  </conditionalFormatting>
  <conditionalFormatting sqref="B115">
    <cfRule type="expression" dxfId="287" priority="61">
      <formula>kvartal &lt; 4</formula>
    </cfRule>
  </conditionalFormatting>
  <conditionalFormatting sqref="C115">
    <cfRule type="expression" dxfId="286" priority="60">
      <formula>kvartal &lt; 4</formula>
    </cfRule>
  </conditionalFormatting>
  <conditionalFormatting sqref="B123">
    <cfRule type="expression" dxfId="285" priority="59">
      <formula>kvartal &lt; 4</formula>
    </cfRule>
  </conditionalFormatting>
  <conditionalFormatting sqref="C123">
    <cfRule type="expression" dxfId="284" priority="58">
      <formula>kvartal &lt; 4</formula>
    </cfRule>
  </conditionalFormatting>
  <conditionalFormatting sqref="F115">
    <cfRule type="expression" dxfId="283" priority="43">
      <formula>kvartal &lt; 4</formula>
    </cfRule>
  </conditionalFormatting>
  <conditionalFormatting sqref="G115">
    <cfRule type="expression" dxfId="282" priority="42">
      <formula>kvartal &lt; 4</formula>
    </cfRule>
  </conditionalFormatting>
  <conditionalFormatting sqref="F123:G123">
    <cfRule type="expression" dxfId="281" priority="41">
      <formula>kvartal &lt; 4</formula>
    </cfRule>
  </conditionalFormatting>
  <conditionalFormatting sqref="J115:K115">
    <cfRule type="expression" dxfId="280" priority="17">
      <formula>kvartal &lt; 4</formula>
    </cfRule>
  </conditionalFormatting>
  <conditionalFormatting sqref="J123:K123">
    <cfRule type="expression" dxfId="279" priority="16">
      <formula>kvartal &lt; 4</formula>
    </cfRule>
  </conditionalFormatting>
  <conditionalFormatting sqref="A50:A52">
    <cfRule type="expression" dxfId="278" priority="12">
      <formula>kvartal &lt; 4</formula>
    </cfRule>
  </conditionalFormatting>
  <conditionalFormatting sqref="A69:A74">
    <cfRule type="expression" dxfId="277" priority="10">
      <formula>kvartal &lt; 4</formula>
    </cfRule>
  </conditionalFormatting>
  <conditionalFormatting sqref="A80:A85">
    <cfRule type="expression" dxfId="276" priority="9">
      <formula>kvartal &lt; 4</formula>
    </cfRule>
  </conditionalFormatting>
  <conditionalFormatting sqref="A90:A95">
    <cfRule type="expression" dxfId="275" priority="6">
      <formula>kvartal &lt; 4</formula>
    </cfRule>
  </conditionalFormatting>
  <conditionalFormatting sqref="A101:A106">
    <cfRule type="expression" dxfId="274" priority="5">
      <formula>kvartal &lt; 4</formula>
    </cfRule>
  </conditionalFormatting>
  <conditionalFormatting sqref="A115">
    <cfRule type="expression" dxfId="273" priority="4">
      <formula>kvartal &lt; 4</formula>
    </cfRule>
  </conditionalFormatting>
  <conditionalFormatting sqref="A123">
    <cfRule type="expression" dxfId="272"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382</v>
      </c>
      <c r="D1" s="26"/>
      <c r="E1" s="26"/>
      <c r="F1" s="26"/>
      <c r="G1" s="26"/>
      <c r="H1" s="26"/>
      <c r="I1" s="26"/>
      <c r="J1" s="26"/>
      <c r="K1" s="26"/>
      <c r="L1" s="26"/>
      <c r="M1" s="26"/>
    </row>
    <row r="2" spans="1:14" ht="15.75" x14ac:dyDescent="0.25">
      <c r="A2" s="165" t="s">
        <v>28</v>
      </c>
      <c r="B2" s="718"/>
      <c r="C2" s="718"/>
      <c r="D2" s="718"/>
      <c r="E2" s="524"/>
      <c r="F2" s="718"/>
      <c r="G2" s="718"/>
      <c r="H2" s="718"/>
      <c r="I2" s="524"/>
      <c r="J2" s="718"/>
      <c r="K2" s="718"/>
      <c r="L2" s="718"/>
      <c r="M2" s="524"/>
    </row>
    <row r="3" spans="1:14" ht="15.75" x14ac:dyDescent="0.25">
      <c r="A3" s="163"/>
      <c r="B3" s="524"/>
      <c r="C3" s="524"/>
      <c r="D3" s="524"/>
      <c r="E3" s="524"/>
      <c r="F3" s="524"/>
      <c r="G3" s="524"/>
      <c r="H3" s="524"/>
      <c r="I3" s="524"/>
      <c r="J3" s="524"/>
      <c r="K3" s="524"/>
      <c r="L3" s="524"/>
      <c r="M3" s="524"/>
    </row>
    <row r="4" spans="1:14" x14ac:dyDescent="0.2">
      <c r="A4" s="144"/>
      <c r="B4" s="719" t="s">
        <v>0</v>
      </c>
      <c r="C4" s="720"/>
      <c r="D4" s="720"/>
      <c r="E4" s="521"/>
      <c r="F4" s="719" t="s">
        <v>1</v>
      </c>
      <c r="G4" s="720"/>
      <c r="H4" s="720"/>
      <c r="I4" s="522"/>
      <c r="J4" s="719" t="s">
        <v>2</v>
      </c>
      <c r="K4" s="720"/>
      <c r="L4" s="720"/>
      <c r="M4" s="522"/>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1571</v>
      </c>
      <c r="C7" s="310">
        <v>1428</v>
      </c>
      <c r="D7" s="352">
        <f>IF(B7=0, "    ---- ", IF(ABS(ROUND(100/B7*C7-100,1))&lt;999,ROUND(100/B7*C7-100,1),IF(ROUND(100/B7*C7-100,1)&gt;999,999,-999)))</f>
        <v>-9.1</v>
      </c>
      <c r="E7" s="11">
        <f>IFERROR(100/'Skjema total MA'!C7*C7,0)</f>
        <v>7.5587423257256842E-2</v>
      </c>
      <c r="F7" s="309"/>
      <c r="G7" s="310"/>
      <c r="H7" s="352"/>
      <c r="I7" s="160"/>
      <c r="J7" s="311">
        <f t="shared" ref="J7:K8" si="0">SUM(B7,F7)</f>
        <v>1571</v>
      </c>
      <c r="K7" s="312">
        <f t="shared" si="0"/>
        <v>1428</v>
      </c>
      <c r="L7" s="424">
        <f>IF(J7=0, "    ---- ", IF(ABS(ROUND(100/J7*K7-100,1))&lt;999,ROUND(100/J7*K7-100,1),IF(ROUND(100/J7*K7-100,1)&gt;999,999,-999)))</f>
        <v>-9.1</v>
      </c>
      <c r="M7" s="11">
        <f>IFERROR(100/'Skjema total MA'!I7*K7,0)</f>
        <v>3.1097142168695781E-2</v>
      </c>
    </row>
    <row r="8" spans="1:14" ht="15.75" x14ac:dyDescent="0.2">
      <c r="A8" s="21" t="s">
        <v>25</v>
      </c>
      <c r="B8" s="286">
        <v>1571</v>
      </c>
      <c r="C8" s="287">
        <v>1428</v>
      </c>
      <c r="D8" s="166">
        <f t="shared" ref="D8" si="1">IF(B8=0, "    ---- ", IF(ABS(ROUND(100/B8*C8-100,1))&lt;999,ROUND(100/B8*C8-100,1),IF(ROUND(100/B8*C8-100,1)&gt;999,999,-999)))</f>
        <v>-9.1</v>
      </c>
      <c r="E8" s="27">
        <f>IFERROR(100/'Skjema total MA'!C8*C8,0)</f>
        <v>0.11706985178739358</v>
      </c>
      <c r="F8" s="290"/>
      <c r="G8" s="291"/>
      <c r="H8" s="166"/>
      <c r="I8" s="176"/>
      <c r="J8" s="234">
        <f t="shared" si="0"/>
        <v>1571</v>
      </c>
      <c r="K8" s="292">
        <f t="shared" si="0"/>
        <v>1428</v>
      </c>
      <c r="L8" s="166">
        <f t="shared" ref="L8" si="2">IF(J8=0, "    ---- ", IF(ABS(ROUND(100/J8*K8-100,1))&lt;999,ROUND(100/J8*K8-100,1),IF(ROUND(100/J8*K8-100,1)&gt;999,999,-999)))</f>
        <v>-9.1</v>
      </c>
      <c r="M8" s="27">
        <f>IFERROR(100/'Skjema total MA'!I8*K8,0)</f>
        <v>0.11706985178739358</v>
      </c>
    </row>
    <row r="9" spans="1:14" ht="15.75" x14ac:dyDescent="0.2">
      <c r="A9" s="21" t="s">
        <v>24</v>
      </c>
      <c r="B9" s="286"/>
      <c r="C9" s="287"/>
      <c r="D9" s="166"/>
      <c r="E9" s="27"/>
      <c r="F9" s="290"/>
      <c r="G9" s="291"/>
      <c r="H9" s="166"/>
      <c r="I9" s="176"/>
      <c r="J9" s="234"/>
      <c r="K9" s="292"/>
      <c r="L9" s="166"/>
      <c r="M9" s="27"/>
    </row>
    <row r="10" spans="1:14" ht="15.75" x14ac:dyDescent="0.2">
      <c r="A10" s="13" t="s">
        <v>348</v>
      </c>
      <c r="B10" s="313"/>
      <c r="C10" s="314"/>
      <c r="D10" s="171"/>
      <c r="E10" s="11"/>
      <c r="F10" s="313"/>
      <c r="G10" s="314"/>
      <c r="H10" s="171"/>
      <c r="I10" s="160"/>
      <c r="J10" s="311"/>
      <c r="K10" s="312"/>
      <c r="L10" s="425"/>
      <c r="M10" s="11"/>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524"/>
      <c r="F18" s="721"/>
      <c r="G18" s="721"/>
      <c r="H18" s="721"/>
      <c r="I18" s="524"/>
      <c r="J18" s="721"/>
      <c r="K18" s="721"/>
      <c r="L18" s="721"/>
      <c r="M18" s="524"/>
    </row>
    <row r="19" spans="1:14" x14ac:dyDescent="0.2">
      <c r="A19" s="144"/>
      <c r="B19" s="719" t="s">
        <v>0</v>
      </c>
      <c r="C19" s="720"/>
      <c r="D19" s="720"/>
      <c r="E19" s="521"/>
      <c r="F19" s="719" t="s">
        <v>1</v>
      </c>
      <c r="G19" s="720"/>
      <c r="H19" s="720"/>
      <c r="I19" s="522"/>
      <c r="J19" s="719" t="s">
        <v>2</v>
      </c>
      <c r="K19" s="720"/>
      <c r="L19" s="720"/>
      <c r="M19" s="522"/>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c r="D22" s="352"/>
      <c r="E22" s="11"/>
      <c r="F22" s="321"/>
      <c r="G22" s="321"/>
      <c r="H22" s="352"/>
      <c r="I22" s="11"/>
      <c r="J22" s="319"/>
      <c r="K22" s="319"/>
      <c r="L22" s="424"/>
      <c r="M22" s="24"/>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c r="D28" s="166"/>
      <c r="E28" s="11"/>
      <c r="F28" s="234"/>
      <c r="G28" s="292"/>
      <c r="H28" s="166"/>
      <c r="I28" s="27"/>
      <c r="J28" s="44"/>
      <c r="K28" s="44"/>
      <c r="L28" s="259"/>
      <c r="M28" s="23"/>
    </row>
    <row r="29" spans="1:14" s="3" customFormat="1" ht="15.75" x14ac:dyDescent="0.2">
      <c r="A29" s="13" t="s">
        <v>348</v>
      </c>
      <c r="B29" s="236"/>
      <c r="C29" s="236"/>
      <c r="D29" s="171"/>
      <c r="E29" s="11"/>
      <c r="F29" s="311"/>
      <c r="G29" s="311"/>
      <c r="H29" s="171"/>
      <c r="I29" s="11"/>
      <c r="J29" s="236"/>
      <c r="K29" s="236"/>
      <c r="L29" s="425"/>
      <c r="M29" s="24"/>
      <c r="N29" s="148"/>
    </row>
    <row r="30" spans="1:14" s="3" customFormat="1" ht="15.75" x14ac:dyDescent="0.2">
      <c r="A30" s="507" t="s">
        <v>351</v>
      </c>
      <c r="B30" s="286"/>
      <c r="C30" s="286"/>
      <c r="D30" s="166"/>
      <c r="E30" s="11"/>
      <c r="F30" s="294"/>
      <c r="G30" s="294"/>
      <c r="H30" s="166"/>
      <c r="I30" s="414"/>
      <c r="J30" s="294"/>
      <c r="K30" s="294"/>
      <c r="L30" s="166"/>
      <c r="M30" s="23"/>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429"/>
      <c r="E38" s="24"/>
      <c r="F38" s="322"/>
      <c r="G38" s="323"/>
      <c r="H38" s="171"/>
      <c r="I38" s="431"/>
      <c r="J38" s="236"/>
      <c r="K38" s="236"/>
      <c r="L38" s="425"/>
      <c r="M38" s="24"/>
    </row>
    <row r="39" spans="1:14" ht="15.75" x14ac:dyDescent="0.2">
      <c r="A39" s="18" t="s">
        <v>358</v>
      </c>
      <c r="B39" s="281"/>
      <c r="C39" s="318"/>
      <c r="D39" s="430"/>
      <c r="E39" s="36"/>
      <c r="F39" s="325"/>
      <c r="G39" s="326"/>
      <c r="H39" s="169"/>
      <c r="I39" s="36"/>
      <c r="J39" s="236"/>
      <c r="K39" s="236"/>
      <c r="L39" s="426"/>
      <c r="M39" s="36"/>
    </row>
    <row r="40" spans="1:14" ht="15.75" x14ac:dyDescent="0.25">
      <c r="A40" s="47"/>
      <c r="B40" s="258"/>
      <c r="C40" s="258"/>
      <c r="D40" s="722"/>
      <c r="E40" s="723"/>
      <c r="F40" s="722"/>
      <c r="G40" s="722"/>
      <c r="H40" s="722"/>
      <c r="I40" s="722"/>
      <c r="J40" s="722"/>
      <c r="K40" s="722"/>
      <c r="L40" s="722"/>
      <c r="M40" s="525"/>
    </row>
    <row r="41" spans="1:14" x14ac:dyDescent="0.2">
      <c r="A41" s="155"/>
    </row>
    <row r="42" spans="1:14" ht="15.75" x14ac:dyDescent="0.25">
      <c r="A42" s="147" t="s">
        <v>266</v>
      </c>
      <c r="B42" s="718"/>
      <c r="C42" s="718"/>
      <c r="D42" s="718"/>
      <c r="E42" s="524"/>
      <c r="F42" s="723"/>
      <c r="G42" s="723"/>
      <c r="H42" s="723"/>
      <c r="I42" s="525"/>
      <c r="J42" s="723"/>
      <c r="K42" s="723"/>
      <c r="L42" s="723"/>
      <c r="M42" s="525"/>
    </row>
    <row r="43" spans="1:14" ht="15.75" x14ac:dyDescent="0.25">
      <c r="A43" s="163"/>
      <c r="B43" s="523"/>
      <c r="C43" s="523"/>
      <c r="D43" s="523"/>
      <c r="E43" s="523"/>
      <c r="F43" s="525"/>
      <c r="G43" s="525"/>
      <c r="H43" s="525"/>
      <c r="I43" s="525"/>
      <c r="J43" s="525"/>
      <c r="K43" s="525"/>
      <c r="L43" s="525"/>
      <c r="M43" s="525"/>
    </row>
    <row r="44" spans="1:14" ht="15.75" x14ac:dyDescent="0.25">
      <c r="A44" s="249"/>
      <c r="B44" s="719" t="s">
        <v>0</v>
      </c>
      <c r="C44" s="720"/>
      <c r="D44" s="720"/>
      <c r="E44" s="244"/>
      <c r="F44" s="525"/>
      <c r="G44" s="525"/>
      <c r="H44" s="525"/>
      <c r="I44" s="525"/>
      <c r="J44" s="525"/>
      <c r="K44" s="525"/>
      <c r="L44" s="525"/>
      <c r="M44" s="525"/>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v>543</v>
      </c>
      <c r="C47" s="314">
        <v>575</v>
      </c>
      <c r="D47" s="424">
        <f t="shared" ref="D47:D48" si="3">IF(B47=0, "    ---- ", IF(ABS(ROUND(100/B47*C47-100,1))&lt;999,ROUND(100/B47*C47-100,1),IF(ROUND(100/B47*C47-100,1)&gt;999,999,-999)))</f>
        <v>5.9</v>
      </c>
      <c r="E47" s="11">
        <f>IFERROR(100/'Skjema total MA'!C47*C47,0)</f>
        <v>1.5387517693924945E-2</v>
      </c>
      <c r="F47" s="145"/>
      <c r="G47" s="33"/>
      <c r="H47" s="159"/>
      <c r="I47" s="159"/>
      <c r="J47" s="37"/>
      <c r="K47" s="37"/>
      <c r="L47" s="159"/>
      <c r="M47" s="159"/>
      <c r="N47" s="148"/>
    </row>
    <row r="48" spans="1:14" s="3" customFormat="1" ht="15.75" x14ac:dyDescent="0.2">
      <c r="A48" s="38" t="s">
        <v>359</v>
      </c>
      <c r="B48" s="286">
        <v>543</v>
      </c>
      <c r="C48" s="287">
        <v>575</v>
      </c>
      <c r="D48" s="259">
        <f t="shared" si="3"/>
        <v>5.9</v>
      </c>
      <c r="E48" s="27">
        <f>IFERROR(100/'Skjema total MA'!C48*C48,0)</f>
        <v>2.8476997924711193E-2</v>
      </c>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524"/>
      <c r="F62" s="721"/>
      <c r="G62" s="721"/>
      <c r="H62" s="721"/>
      <c r="I62" s="524"/>
      <c r="J62" s="721"/>
      <c r="K62" s="721"/>
      <c r="L62" s="721"/>
      <c r="M62" s="524"/>
    </row>
    <row r="63" spans="1:14" x14ac:dyDescent="0.2">
      <c r="A63" s="144"/>
      <c r="B63" s="719" t="s">
        <v>0</v>
      </c>
      <c r="C63" s="720"/>
      <c r="D63" s="724"/>
      <c r="E63" s="520"/>
      <c r="F63" s="720" t="s">
        <v>1</v>
      </c>
      <c r="G63" s="720"/>
      <c r="H63" s="720"/>
      <c r="I63" s="522"/>
      <c r="J63" s="719" t="s">
        <v>2</v>
      </c>
      <c r="K63" s="720"/>
      <c r="L63" s="720"/>
      <c r="M63" s="522"/>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7"/>
      <c r="F75" s="234"/>
      <c r="G75" s="145"/>
      <c r="H75" s="166"/>
      <c r="I75" s="27"/>
      <c r="J75" s="292"/>
      <c r="K75" s="44"/>
      <c r="L75" s="259"/>
      <c r="M75" s="27"/>
      <c r="N75" s="148"/>
    </row>
    <row r="76" spans="1:14" s="3" customFormat="1" x14ac:dyDescent="0.2">
      <c r="A76" s="21" t="s">
        <v>334</v>
      </c>
      <c r="B76" s="234"/>
      <c r="C76" s="145"/>
      <c r="D76" s="166"/>
      <c r="E76" s="27"/>
      <c r="F76" s="234"/>
      <c r="G76" s="145"/>
      <c r="H76" s="166"/>
      <c r="I76" s="27"/>
      <c r="J76" s="292"/>
      <c r="K76" s="44"/>
      <c r="L76" s="259"/>
      <c r="M76" s="27"/>
      <c r="N76" s="148"/>
    </row>
    <row r="77" spans="1:14" ht="15.75" x14ac:dyDescent="0.2">
      <c r="A77" s="21" t="s">
        <v>365</v>
      </c>
      <c r="B77" s="234"/>
      <c r="C77" s="234"/>
      <c r="D77" s="166"/>
      <c r="E77" s="27"/>
      <c r="F77" s="234"/>
      <c r="G77" s="145"/>
      <c r="H77" s="166"/>
      <c r="I77" s="27"/>
      <c r="J77" s="292"/>
      <c r="K77" s="44"/>
      <c r="L77" s="259"/>
      <c r="M77" s="27"/>
    </row>
    <row r="78" spans="1:14" x14ac:dyDescent="0.2">
      <c r="A78" s="21" t="s">
        <v>9</v>
      </c>
      <c r="B78" s="234"/>
      <c r="C78" s="145"/>
      <c r="D78" s="166"/>
      <c r="E78" s="27"/>
      <c r="F78" s="234"/>
      <c r="G78" s="145"/>
      <c r="H78" s="166"/>
      <c r="I78" s="27"/>
      <c r="J78" s="292"/>
      <c r="K78" s="44"/>
      <c r="L78" s="259"/>
      <c r="M78" s="27"/>
    </row>
    <row r="79" spans="1:14" x14ac:dyDescent="0.2">
      <c r="A79" s="38" t="s">
        <v>399</v>
      </c>
      <c r="B79" s="296"/>
      <c r="C79" s="297"/>
      <c r="D79" s="166"/>
      <c r="E79" s="27"/>
      <c r="F79" s="296"/>
      <c r="G79" s="297"/>
      <c r="H79" s="166"/>
      <c r="I79" s="27"/>
      <c r="J79" s="292"/>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5" x14ac:dyDescent="0.2">
      <c r="A97" s="21" t="s">
        <v>332</v>
      </c>
      <c r="B97" s="234"/>
      <c r="C97" s="145"/>
      <c r="D97" s="166"/>
      <c r="E97" s="27"/>
      <c r="F97" s="234"/>
      <c r="G97" s="145"/>
      <c r="H97" s="166"/>
      <c r="I97" s="27"/>
      <c r="J97" s="292"/>
      <c r="K97" s="44"/>
      <c r="L97" s="259"/>
      <c r="M97" s="27"/>
    </row>
    <row r="98" spans="1:15" ht="15.75" x14ac:dyDescent="0.2">
      <c r="A98" s="21" t="s">
        <v>365</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399</v>
      </c>
      <c r="B100" s="296"/>
      <c r="C100" s="297"/>
      <c r="D100" s="166"/>
      <c r="E100" s="27"/>
      <c r="F100" s="234"/>
      <c r="G100" s="234"/>
      <c r="H100" s="166"/>
      <c r="I100" s="27"/>
      <c r="J100" s="292"/>
      <c r="K100" s="44"/>
      <c r="L100" s="259"/>
      <c r="M100" s="27"/>
    </row>
    <row r="101" spans="1:15" ht="15.75" x14ac:dyDescent="0.2">
      <c r="A101" s="299" t="s">
        <v>363</v>
      </c>
      <c r="B101" s="298"/>
      <c r="C101" s="298"/>
      <c r="D101" s="166"/>
      <c r="E101" s="23"/>
      <c r="F101" s="298"/>
      <c r="G101" s="298"/>
      <c r="H101" s="166"/>
      <c r="I101" s="23"/>
      <c r="J101" s="298"/>
      <c r="K101" s="298"/>
      <c r="L101" s="166"/>
      <c r="M101" s="23"/>
    </row>
    <row r="102" spans="1:15" x14ac:dyDescent="0.2">
      <c r="A102" s="299" t="s">
        <v>12</v>
      </c>
      <c r="B102" s="298"/>
      <c r="C102" s="298"/>
      <c r="D102" s="166"/>
      <c r="E102" s="23"/>
      <c r="F102" s="298"/>
      <c r="G102" s="298"/>
      <c r="H102" s="166"/>
      <c r="I102" s="23"/>
      <c r="J102" s="298"/>
      <c r="K102" s="298"/>
      <c r="L102" s="166"/>
      <c r="M102" s="23"/>
    </row>
    <row r="103" spans="1:15" x14ac:dyDescent="0.2">
      <c r="A103" s="299" t="s">
        <v>13</v>
      </c>
      <c r="B103" s="298"/>
      <c r="C103" s="298"/>
      <c r="D103" s="166"/>
      <c r="E103" s="23"/>
      <c r="F103" s="298"/>
      <c r="G103" s="298"/>
      <c r="H103" s="166"/>
      <c r="I103" s="23"/>
      <c r="J103" s="298"/>
      <c r="K103" s="298"/>
      <c r="L103" s="166"/>
      <c r="M103" s="23"/>
    </row>
    <row r="104" spans="1:15" ht="15.75" x14ac:dyDescent="0.2">
      <c r="A104" s="299" t="s">
        <v>364</v>
      </c>
      <c r="B104" s="298"/>
      <c r="C104" s="298"/>
      <c r="D104" s="166"/>
      <c r="E104" s="23"/>
      <c r="F104" s="298"/>
      <c r="G104" s="298"/>
      <c r="H104" s="166"/>
      <c r="I104" s="23"/>
      <c r="J104" s="298"/>
      <c r="K104" s="298"/>
      <c r="L104" s="166"/>
      <c r="M104" s="23"/>
    </row>
    <row r="105" spans="1:15" x14ac:dyDescent="0.2">
      <c r="A105" s="299" t="s">
        <v>12</v>
      </c>
      <c r="B105" s="298"/>
      <c r="C105" s="298"/>
      <c r="D105" s="166"/>
      <c r="E105" s="23"/>
      <c r="F105" s="298"/>
      <c r="G105" s="298"/>
      <c r="H105" s="166"/>
      <c r="I105" s="23"/>
      <c r="J105" s="298"/>
      <c r="K105" s="298"/>
      <c r="L105" s="166"/>
      <c r="M105" s="23"/>
    </row>
    <row r="106" spans="1:15" x14ac:dyDescent="0.2">
      <c r="A106" s="299" t="s">
        <v>13</v>
      </c>
      <c r="B106" s="298"/>
      <c r="C106" s="298"/>
      <c r="D106" s="166"/>
      <c r="E106" s="23"/>
      <c r="F106" s="298"/>
      <c r="G106" s="298"/>
      <c r="H106" s="166"/>
      <c r="I106" s="23"/>
      <c r="J106" s="298"/>
      <c r="K106" s="298"/>
      <c r="L106" s="166"/>
      <c r="M106" s="23"/>
    </row>
    <row r="107" spans="1:15" ht="15.75" x14ac:dyDescent="0.2">
      <c r="A107" s="21" t="s">
        <v>366</v>
      </c>
      <c r="B107" s="234"/>
      <c r="C107" s="145"/>
      <c r="D107" s="166"/>
      <c r="E107" s="27"/>
      <c r="F107" s="234"/>
      <c r="G107" s="145"/>
      <c r="H107" s="166"/>
      <c r="I107" s="27"/>
      <c r="J107" s="292"/>
      <c r="K107" s="44"/>
      <c r="L107" s="259"/>
      <c r="M107" s="27"/>
    </row>
    <row r="108" spans="1:15" ht="15.75" x14ac:dyDescent="0.2">
      <c r="A108" s="21" t="s">
        <v>367</v>
      </c>
      <c r="B108" s="234"/>
      <c r="C108" s="234"/>
      <c r="D108" s="166"/>
      <c r="E108" s="27"/>
      <c r="F108" s="234"/>
      <c r="G108" s="234"/>
      <c r="H108" s="166"/>
      <c r="I108" s="27"/>
      <c r="J108" s="292"/>
      <c r="K108" s="44"/>
      <c r="L108" s="259"/>
      <c r="M108" s="27"/>
    </row>
    <row r="109" spans="1:15" ht="15.75" x14ac:dyDescent="0.2">
      <c r="A109" s="38" t="s">
        <v>407</v>
      </c>
      <c r="B109" s="234"/>
      <c r="C109" s="234"/>
      <c r="D109" s="166"/>
      <c r="E109" s="27"/>
      <c r="F109" s="234"/>
      <c r="G109" s="234"/>
      <c r="H109" s="166"/>
      <c r="I109" s="27"/>
      <c r="J109" s="292"/>
      <c r="K109" s="44"/>
      <c r="L109" s="259"/>
      <c r="M109" s="27"/>
      <c r="O109" s="3"/>
    </row>
    <row r="110" spans="1:15" ht="15.75" x14ac:dyDescent="0.2">
      <c r="A110" s="21" t="s">
        <v>368</v>
      </c>
      <c r="B110" s="234"/>
      <c r="C110" s="234"/>
      <c r="D110" s="166"/>
      <c r="E110" s="27"/>
      <c r="F110" s="234"/>
      <c r="G110" s="234"/>
      <c r="H110" s="166"/>
      <c r="I110" s="27"/>
      <c r="J110" s="292"/>
      <c r="K110" s="44"/>
      <c r="L110" s="259"/>
      <c r="M110" s="27"/>
    </row>
    <row r="111" spans="1:15" ht="15.75" x14ac:dyDescent="0.2">
      <c r="A111" s="13" t="s">
        <v>349</v>
      </c>
      <c r="B111" s="311"/>
      <c r="C111" s="159"/>
      <c r="D111" s="171"/>
      <c r="E111" s="11"/>
      <c r="F111" s="311"/>
      <c r="G111" s="159"/>
      <c r="H111" s="171"/>
      <c r="I111" s="11"/>
      <c r="J111" s="312"/>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524"/>
      <c r="F130" s="721"/>
      <c r="G130" s="721"/>
      <c r="H130" s="721"/>
      <c r="I130" s="524"/>
      <c r="J130" s="721"/>
      <c r="K130" s="721"/>
      <c r="L130" s="721"/>
      <c r="M130" s="524"/>
    </row>
    <row r="131" spans="1:14" s="3" customFormat="1" x14ac:dyDescent="0.2">
      <c r="A131" s="144"/>
      <c r="B131" s="719" t="s">
        <v>0</v>
      </c>
      <c r="C131" s="720"/>
      <c r="D131" s="720"/>
      <c r="E131" s="521"/>
      <c r="F131" s="719" t="s">
        <v>1</v>
      </c>
      <c r="G131" s="720"/>
      <c r="H131" s="720"/>
      <c r="I131" s="522"/>
      <c r="J131" s="719" t="s">
        <v>2</v>
      </c>
      <c r="K131" s="720"/>
      <c r="L131" s="720"/>
      <c r="M131" s="522"/>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71" priority="59">
      <formula>kvartal &lt; 4</formula>
    </cfRule>
  </conditionalFormatting>
  <conditionalFormatting sqref="B115">
    <cfRule type="expression" dxfId="270" priority="42">
      <formula>kvartal &lt; 4</formula>
    </cfRule>
  </conditionalFormatting>
  <conditionalFormatting sqref="C115">
    <cfRule type="expression" dxfId="269" priority="41">
      <formula>kvartal &lt; 4</formula>
    </cfRule>
  </conditionalFormatting>
  <conditionalFormatting sqref="B123">
    <cfRule type="expression" dxfId="268" priority="40">
      <formula>kvartal &lt; 4</formula>
    </cfRule>
  </conditionalFormatting>
  <conditionalFormatting sqref="C123">
    <cfRule type="expression" dxfId="267" priority="39">
      <formula>kvartal &lt; 4</formula>
    </cfRule>
  </conditionalFormatting>
  <conditionalFormatting sqref="F115">
    <cfRule type="expression" dxfId="266" priority="28">
      <formula>kvartal &lt; 4</formula>
    </cfRule>
  </conditionalFormatting>
  <conditionalFormatting sqref="G115">
    <cfRule type="expression" dxfId="265" priority="27">
      <formula>kvartal &lt; 4</formula>
    </cfRule>
  </conditionalFormatting>
  <conditionalFormatting sqref="F123:G123">
    <cfRule type="expression" dxfId="264" priority="26">
      <formula>kvartal &lt; 4</formula>
    </cfRule>
  </conditionalFormatting>
  <conditionalFormatting sqref="J115:K115">
    <cfRule type="expression" dxfId="263" priority="9">
      <formula>kvartal &lt; 4</formula>
    </cfRule>
  </conditionalFormatting>
  <conditionalFormatting sqref="J123:K123">
    <cfRule type="expression" dxfId="262" priority="8">
      <formula>kvartal &lt; 4</formula>
    </cfRule>
  </conditionalFormatting>
  <conditionalFormatting sqref="A50:A52">
    <cfRule type="expression" dxfId="261" priority="7">
      <formula>kvartal &lt; 4</formula>
    </cfRule>
  </conditionalFormatting>
  <conditionalFormatting sqref="A69:A74">
    <cfRule type="expression" dxfId="260" priority="6">
      <formula>kvartal &lt; 4</formula>
    </cfRule>
  </conditionalFormatting>
  <conditionalFormatting sqref="A80:A85">
    <cfRule type="expression" dxfId="259" priority="5">
      <formula>kvartal &lt; 4</formula>
    </cfRule>
  </conditionalFormatting>
  <conditionalFormatting sqref="A90:A95">
    <cfRule type="expression" dxfId="258" priority="4">
      <formula>kvartal &lt; 4</formula>
    </cfRule>
  </conditionalFormatting>
  <conditionalFormatting sqref="A101:A106">
    <cfRule type="expression" dxfId="257" priority="3">
      <formula>kvartal &lt; 4</formula>
    </cfRule>
  </conditionalFormatting>
  <conditionalFormatting sqref="A115">
    <cfRule type="expression" dxfId="256" priority="2">
      <formula>kvartal &lt; 4</formula>
    </cfRule>
  </conditionalFormatting>
  <conditionalFormatting sqref="A123">
    <cfRule type="expression" dxfId="255" priority="1">
      <formula>kvartal &lt; 4</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O144"/>
  <sheetViews>
    <sheetView showGridLines="0" workbookViewId="0"/>
  </sheetViews>
  <sheetFormatPr baseColWidth="10" defaultColWidth="11.42578125" defaultRowHeight="12.75" x14ac:dyDescent="0.2"/>
  <cols>
    <col min="1" max="1" width="46.14062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2" t="s">
        <v>131</v>
      </c>
      <c r="B1" s="678"/>
      <c r="C1" s="250" t="s">
        <v>403</v>
      </c>
      <c r="D1" s="26"/>
      <c r="E1" s="26"/>
      <c r="F1" s="26"/>
      <c r="G1" s="26"/>
      <c r="H1" s="26"/>
      <c r="I1" s="26"/>
      <c r="J1" s="26"/>
      <c r="K1" s="26"/>
      <c r="L1" s="26"/>
      <c r="M1" s="26"/>
    </row>
    <row r="2" spans="1:14" ht="15.75" x14ac:dyDescent="0.25">
      <c r="A2" s="165" t="s">
        <v>28</v>
      </c>
      <c r="B2" s="718"/>
      <c r="C2" s="718"/>
      <c r="D2" s="718"/>
      <c r="E2" s="576"/>
      <c r="F2" s="718"/>
      <c r="G2" s="718"/>
      <c r="H2" s="718"/>
      <c r="I2" s="576"/>
      <c r="J2" s="718"/>
      <c r="K2" s="718"/>
      <c r="L2" s="718"/>
      <c r="M2" s="576"/>
    </row>
    <row r="3" spans="1:14" ht="15.75" x14ac:dyDescent="0.25">
      <c r="A3" s="163"/>
      <c r="B3" s="576"/>
      <c r="C3" s="576"/>
      <c r="D3" s="576"/>
      <c r="E3" s="576"/>
      <c r="F3" s="576"/>
      <c r="G3" s="576"/>
      <c r="H3" s="576"/>
      <c r="I3" s="576"/>
      <c r="J3" s="576"/>
      <c r="K3" s="576"/>
      <c r="L3" s="576"/>
      <c r="M3" s="576"/>
    </row>
    <row r="4" spans="1:14" x14ac:dyDescent="0.2">
      <c r="A4" s="144"/>
      <c r="B4" s="719" t="s">
        <v>0</v>
      </c>
      <c r="C4" s="720"/>
      <c r="D4" s="720"/>
      <c r="E4" s="574"/>
      <c r="F4" s="719" t="s">
        <v>1</v>
      </c>
      <c r="G4" s="720"/>
      <c r="H4" s="720"/>
      <c r="I4" s="575"/>
      <c r="J4" s="719" t="s">
        <v>2</v>
      </c>
      <c r="K4" s="720"/>
      <c r="L4" s="720"/>
      <c r="M4" s="575"/>
    </row>
    <row r="5" spans="1:14" x14ac:dyDescent="0.2">
      <c r="A5" s="158"/>
      <c r="B5" s="152" t="s">
        <v>432</v>
      </c>
      <c r="C5" s="152" t="s">
        <v>433</v>
      </c>
      <c r="D5" s="246" t="s">
        <v>3</v>
      </c>
      <c r="E5" s="308" t="s">
        <v>29</v>
      </c>
      <c r="F5" s="152" t="s">
        <v>432</v>
      </c>
      <c r="G5" s="152" t="s">
        <v>433</v>
      </c>
      <c r="H5" s="246" t="s">
        <v>3</v>
      </c>
      <c r="I5" s="162" t="s">
        <v>29</v>
      </c>
      <c r="J5" s="152" t="s">
        <v>432</v>
      </c>
      <c r="K5" s="152" t="s">
        <v>433</v>
      </c>
      <c r="L5" s="246" t="s">
        <v>3</v>
      </c>
      <c r="M5" s="162" t="s">
        <v>29</v>
      </c>
    </row>
    <row r="6" spans="1:14" x14ac:dyDescent="0.2">
      <c r="A6" s="679"/>
      <c r="B6" s="156"/>
      <c r="C6" s="156"/>
      <c r="D6" s="248" t="s">
        <v>4</v>
      </c>
      <c r="E6" s="156" t="s">
        <v>30</v>
      </c>
      <c r="F6" s="161"/>
      <c r="G6" s="161"/>
      <c r="H6" s="246" t="s">
        <v>4</v>
      </c>
      <c r="I6" s="156" t="s">
        <v>30</v>
      </c>
      <c r="J6" s="161"/>
      <c r="K6" s="161"/>
      <c r="L6" s="246" t="s">
        <v>4</v>
      </c>
      <c r="M6" s="156" t="s">
        <v>30</v>
      </c>
    </row>
    <row r="7" spans="1:14" ht="15.75" x14ac:dyDescent="0.2">
      <c r="A7" s="14" t="s">
        <v>23</v>
      </c>
      <c r="B7" s="309">
        <v>868</v>
      </c>
      <c r="C7" s="310">
        <v>1002</v>
      </c>
      <c r="D7" s="352">
        <f>IF(B7=0, "    ---- ", IF(ABS(ROUND(100/B7*C7-100,1))&lt;999,ROUND(100/B7*C7-100,1),IF(ROUND(100/B7*C7-100,1)&gt;999,999,-999)))</f>
        <v>15.4</v>
      </c>
      <c r="E7" s="11">
        <f>IFERROR(100/'Skjema total MA'!C7*C7,0)</f>
        <v>5.3038233966226436E-2</v>
      </c>
      <c r="F7" s="309"/>
      <c r="G7" s="310"/>
      <c r="H7" s="352"/>
      <c r="I7" s="160"/>
      <c r="J7" s="311">
        <f t="shared" ref="J7:K10" si="0">SUM(B7,F7)</f>
        <v>868</v>
      </c>
      <c r="K7" s="312">
        <f t="shared" si="0"/>
        <v>1002</v>
      </c>
      <c r="L7" s="424">
        <f>IF(J7=0, "    ---- ", IF(ABS(ROUND(100/J7*K7-100,1))&lt;999,ROUND(100/J7*K7-100,1),IF(ROUND(100/J7*K7-100,1)&gt;999,999,-999)))</f>
        <v>15.4</v>
      </c>
      <c r="M7" s="11">
        <f>IFERROR(100/'Skjema total MA'!I7*K7,0)</f>
        <v>2.182026362257225E-2</v>
      </c>
    </row>
    <row r="8" spans="1:14" ht="15.75" x14ac:dyDescent="0.2">
      <c r="A8" s="21" t="s">
        <v>25</v>
      </c>
      <c r="B8" s="286">
        <v>178</v>
      </c>
      <c r="C8" s="287">
        <v>669</v>
      </c>
      <c r="D8" s="166">
        <f t="shared" ref="D8:D10" si="1">IF(B8=0, "    ---- ", IF(ABS(ROUND(100/B8*C8-100,1))&lt;999,ROUND(100/B8*C8-100,1),IF(ROUND(100/B8*C8-100,1)&gt;999,999,-999)))</f>
        <v>275.8</v>
      </c>
      <c r="E8" s="27">
        <f>IFERROR(100/'Skjema total MA'!C8*C8,0)</f>
        <v>5.4845749891993208E-2</v>
      </c>
      <c r="F8" s="290"/>
      <c r="G8" s="291"/>
      <c r="H8" s="166"/>
      <c r="I8" s="176"/>
      <c r="J8" s="234">
        <f t="shared" si="0"/>
        <v>178</v>
      </c>
      <c r="K8" s="292">
        <f t="shared" si="0"/>
        <v>669</v>
      </c>
      <c r="L8" s="166">
        <f t="shared" ref="L8:L10" si="2">IF(J8=0, "    ---- ", IF(ABS(ROUND(100/J8*K8-100,1))&lt;999,ROUND(100/J8*K8-100,1),IF(ROUND(100/J8*K8-100,1)&gt;999,999,-999)))</f>
        <v>275.8</v>
      </c>
      <c r="M8" s="27">
        <f>IFERROR(100/'Skjema total MA'!I8*K8,0)</f>
        <v>5.4845749891993208E-2</v>
      </c>
    </row>
    <row r="9" spans="1:14" ht="15.75" x14ac:dyDescent="0.2">
      <c r="A9" s="21" t="s">
        <v>24</v>
      </c>
      <c r="B9" s="286">
        <v>128</v>
      </c>
      <c r="C9" s="287">
        <v>333</v>
      </c>
      <c r="D9" s="166">
        <f t="shared" si="1"/>
        <v>160.19999999999999</v>
      </c>
      <c r="E9" s="27">
        <f>IFERROR(100/'Skjema total MA'!C9*C9,0)</f>
        <v>7.6277613018832555E-2</v>
      </c>
      <c r="F9" s="290"/>
      <c r="G9" s="291"/>
      <c r="H9" s="166"/>
      <c r="I9" s="176"/>
      <c r="J9" s="234">
        <f t="shared" si="0"/>
        <v>128</v>
      </c>
      <c r="K9" s="292">
        <f t="shared" si="0"/>
        <v>333</v>
      </c>
      <c r="L9" s="166">
        <f t="shared" si="2"/>
        <v>160.19999999999999</v>
      </c>
      <c r="M9" s="27">
        <f>IFERROR(100/'Skjema total MA'!I9*K9,0)</f>
        <v>7.6277613018832555E-2</v>
      </c>
    </row>
    <row r="10" spans="1:14" ht="15.75" x14ac:dyDescent="0.2">
      <c r="A10" s="13" t="s">
        <v>348</v>
      </c>
      <c r="B10" s="313">
        <v>837</v>
      </c>
      <c r="C10" s="314">
        <v>5725</v>
      </c>
      <c r="D10" s="171">
        <f t="shared" si="1"/>
        <v>584</v>
      </c>
      <c r="E10" s="11">
        <f>IFERROR(100/'Skjema total MA'!C10*C10,0)</f>
        <v>3.8830082184214049E-2</v>
      </c>
      <c r="F10" s="313"/>
      <c r="G10" s="314"/>
      <c r="H10" s="171"/>
      <c r="I10" s="160"/>
      <c r="J10" s="311">
        <f t="shared" si="0"/>
        <v>837</v>
      </c>
      <c r="K10" s="312">
        <f t="shared" si="0"/>
        <v>5725</v>
      </c>
      <c r="L10" s="425">
        <f t="shared" si="2"/>
        <v>584</v>
      </c>
      <c r="M10" s="11">
        <f>IFERROR(100/'Skjema total MA'!I10*K10,0)</f>
        <v>6.3420867232562347E-3</v>
      </c>
    </row>
    <row r="11" spans="1:14" s="43" customFormat="1" ht="15.75" x14ac:dyDescent="0.2">
      <c r="A11" s="13" t="s">
        <v>349</v>
      </c>
      <c r="B11" s="313"/>
      <c r="C11" s="314"/>
      <c r="D11" s="171"/>
      <c r="E11" s="11"/>
      <c r="F11" s="313"/>
      <c r="G11" s="314"/>
      <c r="H11" s="171"/>
      <c r="I11" s="160"/>
      <c r="J11" s="311"/>
      <c r="K11" s="312"/>
      <c r="L11" s="425"/>
      <c r="M11" s="11"/>
      <c r="N11" s="143"/>
    </row>
    <row r="12" spans="1:14" s="43" customFormat="1" ht="15.75" x14ac:dyDescent="0.2">
      <c r="A12" s="41" t="s">
        <v>350</v>
      </c>
      <c r="B12" s="315"/>
      <c r="C12" s="316"/>
      <c r="D12" s="169"/>
      <c r="E12" s="36"/>
      <c r="F12" s="315"/>
      <c r="G12" s="316"/>
      <c r="H12" s="169"/>
      <c r="I12" s="169"/>
      <c r="J12" s="317"/>
      <c r="K12" s="318"/>
      <c r="L12" s="42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268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265</v>
      </c>
      <c r="B17" s="157"/>
      <c r="C17" s="157"/>
      <c r="D17" s="151"/>
      <c r="E17" s="151"/>
      <c r="F17" s="157"/>
      <c r="G17" s="157"/>
      <c r="H17" s="157"/>
      <c r="I17" s="157"/>
      <c r="J17" s="157"/>
      <c r="K17" s="157"/>
      <c r="L17" s="157"/>
      <c r="M17" s="157"/>
    </row>
    <row r="18" spans="1:14" ht="15.75" x14ac:dyDescent="0.25">
      <c r="B18" s="721"/>
      <c r="C18" s="721"/>
      <c r="D18" s="721"/>
      <c r="E18" s="576"/>
      <c r="F18" s="721"/>
      <c r="G18" s="721"/>
      <c r="H18" s="721"/>
      <c r="I18" s="576"/>
      <c r="J18" s="721"/>
      <c r="K18" s="721"/>
      <c r="L18" s="721"/>
      <c r="M18" s="576"/>
    </row>
    <row r="19" spans="1:14" x14ac:dyDescent="0.2">
      <c r="A19" s="144"/>
      <c r="B19" s="719" t="s">
        <v>0</v>
      </c>
      <c r="C19" s="720"/>
      <c r="D19" s="720"/>
      <c r="E19" s="574"/>
      <c r="F19" s="719" t="s">
        <v>1</v>
      </c>
      <c r="G19" s="720"/>
      <c r="H19" s="720"/>
      <c r="I19" s="575"/>
      <c r="J19" s="719" t="s">
        <v>2</v>
      </c>
      <c r="K19" s="720"/>
      <c r="L19" s="720"/>
      <c r="M19" s="575"/>
    </row>
    <row r="20" spans="1:14" x14ac:dyDescent="0.2">
      <c r="A20" s="140" t="s">
        <v>5</v>
      </c>
      <c r="B20" s="243" t="s">
        <v>432</v>
      </c>
      <c r="C20" s="243" t="s">
        <v>433</v>
      </c>
      <c r="D20" s="162" t="s">
        <v>3</v>
      </c>
      <c r="E20" s="308" t="s">
        <v>29</v>
      </c>
      <c r="F20" s="243" t="s">
        <v>432</v>
      </c>
      <c r="G20" s="243" t="s">
        <v>433</v>
      </c>
      <c r="H20" s="162" t="s">
        <v>3</v>
      </c>
      <c r="I20" s="162" t="s">
        <v>29</v>
      </c>
      <c r="J20" s="243" t="s">
        <v>432</v>
      </c>
      <c r="K20" s="243" t="s">
        <v>433</v>
      </c>
      <c r="L20" s="162" t="s">
        <v>3</v>
      </c>
      <c r="M20" s="162" t="s">
        <v>29</v>
      </c>
    </row>
    <row r="21" spans="1:14" x14ac:dyDescent="0.2">
      <c r="A21" s="680"/>
      <c r="B21" s="156"/>
      <c r="C21" s="156"/>
      <c r="D21" s="248" t="s">
        <v>4</v>
      </c>
      <c r="E21" s="156" t="s">
        <v>30</v>
      </c>
      <c r="F21" s="161"/>
      <c r="G21" s="161"/>
      <c r="H21" s="246" t="s">
        <v>4</v>
      </c>
      <c r="I21" s="156" t="s">
        <v>30</v>
      </c>
      <c r="J21" s="161"/>
      <c r="K21" s="161"/>
      <c r="L21" s="156" t="s">
        <v>4</v>
      </c>
      <c r="M21" s="156" t="s">
        <v>30</v>
      </c>
    </row>
    <row r="22" spans="1:14" ht="15.75" x14ac:dyDescent="0.2">
      <c r="A22" s="14" t="s">
        <v>23</v>
      </c>
      <c r="B22" s="313"/>
      <c r="C22" s="313">
        <v>556</v>
      </c>
      <c r="D22" s="352" t="str">
        <f t="shared" ref="D22:D30" si="3">IF(B22=0, "    ---- ", IF(ABS(ROUND(100/B22*C22-100,1))&lt;999,ROUND(100/B22*C22-100,1),IF(ROUND(100/B22*C22-100,1)&gt;999,999,-999)))</f>
        <v xml:space="preserve">    ---- </v>
      </c>
      <c r="E22" s="11">
        <f>IFERROR(100/'Skjema total MA'!C22*C22,0)</f>
        <v>6.7609662752899008E-2</v>
      </c>
      <c r="F22" s="321"/>
      <c r="G22" s="321"/>
      <c r="H22" s="352"/>
      <c r="I22" s="11"/>
      <c r="J22" s="319"/>
      <c r="K22" s="319">
        <f t="shared" ref="K22:K30" si="4">SUM(C22,G22)</f>
        <v>556</v>
      </c>
      <c r="L22" s="424" t="str">
        <f t="shared" ref="L22:L30" si="5">IF(J22=0, "    ---- ", IF(ABS(ROUND(100/J22*K22-100,1))&lt;999,ROUND(100/J22*K22-100,1),IF(ROUND(100/J22*K22-100,1)&gt;999,999,-999)))</f>
        <v xml:space="preserve">    ---- </v>
      </c>
      <c r="M22" s="24">
        <f>IFERROR(100/'Skjema total MA'!I22*K22,0)</f>
        <v>5.2699003790361763E-2</v>
      </c>
    </row>
    <row r="23" spans="1:14" ht="15.75" x14ac:dyDescent="0.2">
      <c r="A23" s="507" t="s">
        <v>351</v>
      </c>
      <c r="B23" s="286"/>
      <c r="C23" s="286"/>
      <c r="D23" s="166"/>
      <c r="E23" s="11"/>
      <c r="F23" s="294"/>
      <c r="G23" s="294"/>
      <c r="H23" s="166"/>
      <c r="I23" s="414"/>
      <c r="J23" s="294"/>
      <c r="K23" s="294"/>
      <c r="L23" s="166"/>
      <c r="M23" s="23"/>
    </row>
    <row r="24" spans="1:14" ht="15.75" x14ac:dyDescent="0.2">
      <c r="A24" s="507" t="s">
        <v>352</v>
      </c>
      <c r="B24" s="286"/>
      <c r="C24" s="286"/>
      <c r="D24" s="166"/>
      <c r="E24" s="11"/>
      <c r="F24" s="294"/>
      <c r="G24" s="294"/>
      <c r="H24" s="166"/>
      <c r="I24" s="414"/>
      <c r="J24" s="294"/>
      <c r="K24" s="294"/>
      <c r="L24" s="166"/>
      <c r="M24" s="23"/>
    </row>
    <row r="25" spans="1:14" ht="15.75" x14ac:dyDescent="0.2">
      <c r="A25" s="507" t="s">
        <v>353</v>
      </c>
      <c r="B25" s="286"/>
      <c r="C25" s="286"/>
      <c r="D25" s="166"/>
      <c r="E25" s="11"/>
      <c r="F25" s="294"/>
      <c r="G25" s="294"/>
      <c r="H25" s="166"/>
      <c r="I25" s="414"/>
      <c r="J25" s="294"/>
      <c r="K25" s="294"/>
      <c r="L25" s="166"/>
      <c r="M25" s="23"/>
    </row>
    <row r="26" spans="1:14" ht="15.75" x14ac:dyDescent="0.2">
      <c r="A26" s="507" t="s">
        <v>354</v>
      </c>
      <c r="B26" s="286"/>
      <c r="C26" s="286"/>
      <c r="D26" s="166"/>
      <c r="E26" s="11"/>
      <c r="F26" s="294"/>
      <c r="G26" s="294"/>
      <c r="H26" s="166"/>
      <c r="I26" s="414"/>
      <c r="J26" s="294"/>
      <c r="K26" s="294"/>
      <c r="L26" s="166"/>
      <c r="M26" s="23"/>
    </row>
    <row r="27" spans="1:14" x14ac:dyDescent="0.2">
      <c r="A27" s="507" t="s">
        <v>11</v>
      </c>
      <c r="B27" s="286"/>
      <c r="C27" s="286"/>
      <c r="D27" s="166"/>
      <c r="E27" s="11"/>
      <c r="F27" s="294"/>
      <c r="G27" s="294"/>
      <c r="H27" s="166"/>
      <c r="I27" s="414"/>
      <c r="J27" s="294"/>
      <c r="K27" s="294"/>
      <c r="L27" s="166"/>
      <c r="M27" s="23"/>
    </row>
    <row r="28" spans="1:14" ht="15.75" x14ac:dyDescent="0.2">
      <c r="A28" s="49" t="s">
        <v>269</v>
      </c>
      <c r="B28" s="44"/>
      <c r="C28" s="292">
        <v>556</v>
      </c>
      <c r="D28" s="166" t="str">
        <f t="shared" si="3"/>
        <v xml:space="preserve">    ---- </v>
      </c>
      <c r="E28" s="11">
        <f>IFERROR(100/'Skjema total MA'!C28*C28,0)</f>
        <v>5.8556717598975044E-2</v>
      </c>
      <c r="F28" s="234"/>
      <c r="G28" s="292"/>
      <c r="H28" s="166"/>
      <c r="I28" s="27"/>
      <c r="J28" s="44"/>
      <c r="K28" s="44">
        <f t="shared" si="4"/>
        <v>556</v>
      </c>
      <c r="L28" s="259" t="str">
        <f t="shared" si="5"/>
        <v xml:space="preserve">    ---- </v>
      </c>
      <c r="M28" s="23">
        <f>IFERROR(100/'Skjema total MA'!I28*K28,0)</f>
        <v>5.8556717598975044E-2</v>
      </c>
    </row>
    <row r="29" spans="1:14" s="3" customFormat="1" ht="15.75" x14ac:dyDescent="0.2">
      <c r="A29" s="13" t="s">
        <v>348</v>
      </c>
      <c r="B29" s="236"/>
      <c r="C29" s="236">
        <v>1382</v>
      </c>
      <c r="D29" s="171" t="str">
        <f t="shared" si="3"/>
        <v xml:space="preserve">    ---- </v>
      </c>
      <c r="E29" s="11">
        <f>IFERROR(100/'Skjema total MA'!C29*C29,0)</f>
        <v>3.1317411877126978E-3</v>
      </c>
      <c r="F29" s="311"/>
      <c r="G29" s="311"/>
      <c r="H29" s="171"/>
      <c r="I29" s="11"/>
      <c r="J29" s="236"/>
      <c r="K29" s="236">
        <f t="shared" si="4"/>
        <v>1382</v>
      </c>
      <c r="L29" s="425" t="str">
        <f t="shared" si="5"/>
        <v xml:space="preserve">    ---- </v>
      </c>
      <c r="M29" s="24">
        <f>IFERROR(100/'Skjema total MA'!I29*K29,0)</f>
        <v>2.0045373710542609E-3</v>
      </c>
      <c r="N29" s="148"/>
    </row>
    <row r="30" spans="1:14" s="3" customFormat="1" ht="15.75" x14ac:dyDescent="0.2">
      <c r="A30" s="507" t="s">
        <v>351</v>
      </c>
      <c r="B30" s="286"/>
      <c r="C30" s="286">
        <v>1382</v>
      </c>
      <c r="D30" s="166" t="str">
        <f t="shared" si="3"/>
        <v xml:space="preserve">    ---- </v>
      </c>
      <c r="E30" s="11">
        <f>IFERROR(100/'Skjema total MA'!C30*C30,0)</f>
        <v>7.9233005459431703E-3</v>
      </c>
      <c r="F30" s="294"/>
      <c r="G30" s="294"/>
      <c r="H30" s="166"/>
      <c r="I30" s="414"/>
      <c r="J30" s="294"/>
      <c r="K30" s="294">
        <f t="shared" si="4"/>
        <v>1382</v>
      </c>
      <c r="L30" s="166" t="str">
        <f t="shared" si="5"/>
        <v xml:space="preserve">    ---- </v>
      </c>
      <c r="M30" s="23">
        <f>IFERROR(100/'Skjema total MA'!I30*K30,0)</f>
        <v>6.5988486792116479E-3</v>
      </c>
      <c r="N30" s="148"/>
    </row>
    <row r="31" spans="1:14" s="3" customFormat="1" ht="15.75" x14ac:dyDescent="0.2">
      <c r="A31" s="507" t="s">
        <v>352</v>
      </c>
      <c r="B31" s="286"/>
      <c r="C31" s="286"/>
      <c r="D31" s="166"/>
      <c r="E31" s="11"/>
      <c r="F31" s="294"/>
      <c r="G31" s="294"/>
      <c r="H31" s="166"/>
      <c r="I31" s="414"/>
      <c r="J31" s="294"/>
      <c r="K31" s="294"/>
      <c r="L31" s="166"/>
      <c r="M31" s="23"/>
      <c r="N31" s="148"/>
    </row>
    <row r="32" spans="1:14" ht="15.75" x14ac:dyDescent="0.2">
      <c r="A32" s="507" t="s">
        <v>353</v>
      </c>
      <c r="B32" s="286"/>
      <c r="C32" s="286"/>
      <c r="D32" s="166"/>
      <c r="E32" s="11"/>
      <c r="F32" s="294"/>
      <c r="G32" s="294"/>
      <c r="H32" s="166"/>
      <c r="I32" s="414"/>
      <c r="J32" s="294"/>
      <c r="K32" s="294"/>
      <c r="L32" s="166"/>
      <c r="M32" s="23"/>
    </row>
    <row r="33" spans="1:14" ht="15.75" x14ac:dyDescent="0.2">
      <c r="A33" s="507" t="s">
        <v>354</v>
      </c>
      <c r="B33" s="286"/>
      <c r="C33" s="286"/>
      <c r="D33" s="166"/>
      <c r="E33" s="11"/>
      <c r="F33" s="294"/>
      <c r="G33" s="294"/>
      <c r="H33" s="166"/>
      <c r="I33" s="414"/>
      <c r="J33" s="294"/>
      <c r="K33" s="294"/>
      <c r="L33" s="166"/>
      <c r="M33" s="23"/>
    </row>
    <row r="34" spans="1:14" ht="15.75" x14ac:dyDescent="0.2">
      <c r="A34" s="13" t="s">
        <v>349</v>
      </c>
      <c r="B34" s="236"/>
      <c r="C34" s="312"/>
      <c r="D34" s="171"/>
      <c r="E34" s="11"/>
      <c r="F34" s="311"/>
      <c r="G34" s="312"/>
      <c r="H34" s="171"/>
      <c r="I34" s="11"/>
      <c r="J34" s="236"/>
      <c r="K34" s="236"/>
      <c r="L34" s="425"/>
      <c r="M34" s="24"/>
    </row>
    <row r="35" spans="1:14" ht="15.75" x14ac:dyDescent="0.2">
      <c r="A35" s="13" t="s">
        <v>350</v>
      </c>
      <c r="B35" s="236"/>
      <c r="C35" s="312"/>
      <c r="D35" s="171"/>
      <c r="E35" s="11"/>
      <c r="F35" s="311"/>
      <c r="G35" s="312"/>
      <c r="H35" s="171"/>
      <c r="I35" s="11"/>
      <c r="J35" s="236"/>
      <c r="K35" s="236"/>
      <c r="L35" s="425"/>
      <c r="M35" s="24"/>
    </row>
    <row r="36" spans="1:14" ht="15.75" x14ac:dyDescent="0.2">
      <c r="A36" s="12" t="s">
        <v>277</v>
      </c>
      <c r="B36" s="236"/>
      <c r="C36" s="312"/>
      <c r="D36" s="171"/>
      <c r="E36" s="11"/>
      <c r="F36" s="322"/>
      <c r="G36" s="323"/>
      <c r="H36" s="171"/>
      <c r="I36" s="431"/>
      <c r="J36" s="236"/>
      <c r="K36" s="236"/>
      <c r="L36" s="425"/>
      <c r="M36" s="24"/>
    </row>
    <row r="37" spans="1:14" ht="15.75" x14ac:dyDescent="0.2">
      <c r="A37" s="12" t="s">
        <v>356</v>
      </c>
      <c r="B37" s="236"/>
      <c r="C37" s="312"/>
      <c r="D37" s="171"/>
      <c r="E37" s="11"/>
      <c r="F37" s="322"/>
      <c r="G37" s="324"/>
      <c r="H37" s="171"/>
      <c r="I37" s="431"/>
      <c r="J37" s="236"/>
      <c r="K37" s="236"/>
      <c r="L37" s="425"/>
      <c r="M37" s="24"/>
    </row>
    <row r="38" spans="1:14" ht="15.75" x14ac:dyDescent="0.2">
      <c r="A38" s="12" t="s">
        <v>357</v>
      </c>
      <c r="B38" s="236"/>
      <c r="C38" s="312"/>
      <c r="D38" s="429"/>
      <c r="E38" s="24"/>
      <c r="F38" s="322"/>
      <c r="G38" s="323"/>
      <c r="H38" s="171"/>
      <c r="I38" s="431"/>
      <c r="J38" s="236"/>
      <c r="K38" s="236"/>
      <c r="L38" s="425"/>
      <c r="M38" s="24"/>
    </row>
    <row r="39" spans="1:14" ht="15.75" x14ac:dyDescent="0.2">
      <c r="A39" s="18" t="s">
        <v>358</v>
      </c>
      <c r="B39" s="281"/>
      <c r="C39" s="318"/>
      <c r="D39" s="430"/>
      <c r="E39" s="36"/>
      <c r="F39" s="325"/>
      <c r="G39" s="326"/>
      <c r="H39" s="169"/>
      <c r="I39" s="36"/>
      <c r="J39" s="236"/>
      <c r="K39" s="236"/>
      <c r="L39" s="426"/>
      <c r="M39" s="36"/>
    </row>
    <row r="40" spans="1:14" ht="15.75" x14ac:dyDescent="0.25">
      <c r="A40" s="47"/>
      <c r="B40" s="258"/>
      <c r="C40" s="258"/>
      <c r="D40" s="722"/>
      <c r="E40" s="723"/>
      <c r="F40" s="722"/>
      <c r="G40" s="722"/>
      <c r="H40" s="722"/>
      <c r="I40" s="722"/>
      <c r="J40" s="722"/>
      <c r="K40" s="722"/>
      <c r="L40" s="722"/>
      <c r="M40" s="577"/>
    </row>
    <row r="41" spans="1:14" x14ac:dyDescent="0.2">
      <c r="A41" s="155"/>
    </row>
    <row r="42" spans="1:14" ht="15.75" x14ac:dyDescent="0.25">
      <c r="A42" s="147" t="s">
        <v>266</v>
      </c>
      <c r="B42" s="718"/>
      <c r="C42" s="718"/>
      <c r="D42" s="718"/>
      <c r="E42" s="576"/>
      <c r="F42" s="723"/>
      <c r="G42" s="723"/>
      <c r="H42" s="723"/>
      <c r="I42" s="577"/>
      <c r="J42" s="723"/>
      <c r="K42" s="723"/>
      <c r="L42" s="723"/>
      <c r="M42" s="577"/>
    </row>
    <row r="43" spans="1:14" ht="15.75" x14ac:dyDescent="0.25">
      <c r="A43" s="163"/>
      <c r="B43" s="572"/>
      <c r="C43" s="572"/>
      <c r="D43" s="572"/>
      <c r="E43" s="572"/>
      <c r="F43" s="577"/>
      <c r="G43" s="577"/>
      <c r="H43" s="577"/>
      <c r="I43" s="577"/>
      <c r="J43" s="577"/>
      <c r="K43" s="577"/>
      <c r="L43" s="577"/>
      <c r="M43" s="577"/>
    </row>
    <row r="44" spans="1:14" ht="15.75" x14ac:dyDescent="0.25">
      <c r="A44" s="249"/>
      <c r="B44" s="719" t="s">
        <v>0</v>
      </c>
      <c r="C44" s="720"/>
      <c r="D44" s="720"/>
      <c r="E44" s="244"/>
      <c r="F44" s="577"/>
      <c r="G44" s="577"/>
      <c r="H44" s="577"/>
      <c r="I44" s="577"/>
      <c r="J44" s="577"/>
      <c r="K44" s="577"/>
      <c r="L44" s="577"/>
      <c r="M44" s="577"/>
    </row>
    <row r="45" spans="1:14" s="3" customFormat="1" x14ac:dyDescent="0.2">
      <c r="A45" s="140"/>
      <c r="B45" s="173" t="s">
        <v>432</v>
      </c>
      <c r="C45" s="173" t="s">
        <v>433</v>
      </c>
      <c r="D45" s="162" t="s">
        <v>3</v>
      </c>
      <c r="E45" s="162" t="s">
        <v>29</v>
      </c>
      <c r="F45" s="175"/>
      <c r="G45" s="175"/>
      <c r="H45" s="174"/>
      <c r="I45" s="174"/>
      <c r="J45" s="175"/>
      <c r="K45" s="175"/>
      <c r="L45" s="174"/>
      <c r="M45" s="174"/>
      <c r="N45" s="148"/>
    </row>
    <row r="46" spans="1:14" s="3" customFormat="1" x14ac:dyDescent="0.2">
      <c r="A46" s="680"/>
      <c r="B46" s="245"/>
      <c r="C46" s="245"/>
      <c r="D46" s="246" t="s">
        <v>4</v>
      </c>
      <c r="E46" s="156" t="s">
        <v>30</v>
      </c>
      <c r="F46" s="174"/>
      <c r="G46" s="174"/>
      <c r="H46" s="174"/>
      <c r="I46" s="174"/>
      <c r="J46" s="174"/>
      <c r="K46" s="174"/>
      <c r="L46" s="174"/>
      <c r="M46" s="174"/>
      <c r="N46" s="148"/>
    </row>
    <row r="47" spans="1:14" s="3" customFormat="1" ht="15.75" x14ac:dyDescent="0.2">
      <c r="A47" s="14" t="s">
        <v>23</v>
      </c>
      <c r="B47" s="313"/>
      <c r="C47" s="314"/>
      <c r="D47" s="424"/>
      <c r="E47" s="11"/>
      <c r="F47" s="145"/>
      <c r="G47" s="33"/>
      <c r="H47" s="159"/>
      <c r="I47" s="159"/>
      <c r="J47" s="37"/>
      <c r="K47" s="37"/>
      <c r="L47" s="159"/>
      <c r="M47" s="159"/>
      <c r="N47" s="148"/>
    </row>
    <row r="48" spans="1:14" s="3" customFormat="1" ht="15.75" x14ac:dyDescent="0.2">
      <c r="A48" s="38" t="s">
        <v>359</v>
      </c>
      <c r="B48" s="286"/>
      <c r="C48" s="287"/>
      <c r="D48" s="259"/>
      <c r="E48" s="27"/>
      <c r="F48" s="145"/>
      <c r="G48" s="33"/>
      <c r="H48" s="145"/>
      <c r="I48" s="145"/>
      <c r="J48" s="33"/>
      <c r="K48" s="33"/>
      <c r="L48" s="159"/>
      <c r="M48" s="159"/>
      <c r="N48" s="148"/>
    </row>
    <row r="49" spans="1:14" s="3" customFormat="1" ht="15.75" x14ac:dyDescent="0.2">
      <c r="A49" s="38" t="s">
        <v>360</v>
      </c>
      <c r="B49" s="44"/>
      <c r="C49" s="292"/>
      <c r="D49" s="259"/>
      <c r="E49" s="27"/>
      <c r="F49" s="145"/>
      <c r="G49" s="33"/>
      <c r="H49" s="145"/>
      <c r="I49" s="145"/>
      <c r="J49" s="37"/>
      <c r="K49" s="37"/>
      <c r="L49" s="159"/>
      <c r="M49" s="159"/>
      <c r="N49" s="148"/>
    </row>
    <row r="50" spans="1:14" s="3" customFormat="1" x14ac:dyDescent="0.2">
      <c r="A50" s="299" t="s">
        <v>6</v>
      </c>
      <c r="B50" s="294"/>
      <c r="C50" s="295"/>
      <c r="D50" s="259"/>
      <c r="E50" s="23"/>
      <c r="F50" s="145"/>
      <c r="G50" s="33"/>
      <c r="H50" s="145"/>
      <c r="I50" s="145"/>
      <c r="J50" s="33"/>
      <c r="K50" s="33"/>
      <c r="L50" s="159"/>
      <c r="M50" s="159"/>
      <c r="N50" s="148"/>
    </row>
    <row r="51" spans="1:14" s="3" customFormat="1" x14ac:dyDescent="0.2">
      <c r="A51" s="299" t="s">
        <v>7</v>
      </c>
      <c r="B51" s="294"/>
      <c r="C51" s="295"/>
      <c r="D51" s="259"/>
      <c r="E51" s="23"/>
      <c r="F51" s="145"/>
      <c r="G51" s="33"/>
      <c r="H51" s="145"/>
      <c r="I51" s="145"/>
      <c r="J51" s="33"/>
      <c r="K51" s="33"/>
      <c r="L51" s="159"/>
      <c r="M51" s="159"/>
      <c r="N51" s="148"/>
    </row>
    <row r="52" spans="1:14" s="3" customFormat="1" x14ac:dyDescent="0.2">
      <c r="A52" s="299" t="s">
        <v>8</v>
      </c>
      <c r="B52" s="294"/>
      <c r="C52" s="295"/>
      <c r="D52" s="259"/>
      <c r="E52" s="23"/>
      <c r="F52" s="145"/>
      <c r="G52" s="33"/>
      <c r="H52" s="145"/>
      <c r="I52" s="145"/>
      <c r="J52" s="33"/>
      <c r="K52" s="33"/>
      <c r="L52" s="159"/>
      <c r="M52" s="159"/>
      <c r="N52" s="148"/>
    </row>
    <row r="53" spans="1:14" s="3" customFormat="1" ht="15.75" x14ac:dyDescent="0.2">
      <c r="A53" s="39" t="s">
        <v>361</v>
      </c>
      <c r="B53" s="313"/>
      <c r="C53" s="314"/>
      <c r="D53" s="425"/>
      <c r="E53" s="11"/>
      <c r="F53" s="145"/>
      <c r="G53" s="33"/>
      <c r="H53" s="145"/>
      <c r="I53" s="145"/>
      <c r="J53" s="33"/>
      <c r="K53" s="33"/>
      <c r="L53" s="159"/>
      <c r="M53" s="159"/>
      <c r="N53" s="148"/>
    </row>
    <row r="54" spans="1:14" s="3" customFormat="1" ht="15.75" x14ac:dyDescent="0.2">
      <c r="A54" s="38" t="s">
        <v>359</v>
      </c>
      <c r="B54" s="286"/>
      <c r="C54" s="287"/>
      <c r="D54" s="259"/>
      <c r="E54" s="27"/>
      <c r="F54" s="145"/>
      <c r="G54" s="33"/>
      <c r="H54" s="145"/>
      <c r="I54" s="145"/>
      <c r="J54" s="33"/>
      <c r="K54" s="33"/>
      <c r="L54" s="159"/>
      <c r="M54" s="159"/>
      <c r="N54" s="148"/>
    </row>
    <row r="55" spans="1:14" s="3" customFormat="1" ht="15.75" x14ac:dyDescent="0.2">
      <c r="A55" s="38" t="s">
        <v>360</v>
      </c>
      <c r="B55" s="286"/>
      <c r="C55" s="287"/>
      <c r="D55" s="259"/>
      <c r="E55" s="27"/>
      <c r="F55" s="145"/>
      <c r="G55" s="33"/>
      <c r="H55" s="145"/>
      <c r="I55" s="145"/>
      <c r="J55" s="33"/>
      <c r="K55" s="33"/>
      <c r="L55" s="159"/>
      <c r="M55" s="159"/>
      <c r="N55" s="148"/>
    </row>
    <row r="56" spans="1:14" s="3" customFormat="1" ht="15.75" x14ac:dyDescent="0.2">
      <c r="A56" s="39" t="s">
        <v>362</v>
      </c>
      <c r="B56" s="313"/>
      <c r="C56" s="314"/>
      <c r="D56" s="425"/>
      <c r="E56" s="11"/>
      <c r="F56" s="145"/>
      <c r="G56" s="33"/>
      <c r="H56" s="145"/>
      <c r="I56" s="145"/>
      <c r="J56" s="33"/>
      <c r="K56" s="33"/>
      <c r="L56" s="159"/>
      <c r="M56" s="159"/>
      <c r="N56" s="148"/>
    </row>
    <row r="57" spans="1:14" s="3" customFormat="1" ht="15.75" x14ac:dyDescent="0.2">
      <c r="A57" s="38" t="s">
        <v>359</v>
      </c>
      <c r="B57" s="286"/>
      <c r="C57" s="287"/>
      <c r="D57" s="259"/>
      <c r="E57" s="27"/>
      <c r="F57" s="145"/>
      <c r="G57" s="33"/>
      <c r="H57" s="145"/>
      <c r="I57" s="145"/>
      <c r="J57" s="33"/>
      <c r="K57" s="33"/>
      <c r="L57" s="159"/>
      <c r="M57" s="159"/>
      <c r="N57" s="148"/>
    </row>
    <row r="58" spans="1:14" s="3" customFormat="1" ht="15.75" x14ac:dyDescent="0.2">
      <c r="A58" s="46" t="s">
        <v>360</v>
      </c>
      <c r="B58" s="288"/>
      <c r="C58" s="289"/>
      <c r="D58" s="260"/>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267</v>
      </c>
      <c r="C61" s="26"/>
      <c r="D61" s="26"/>
      <c r="E61" s="26"/>
      <c r="F61" s="26"/>
      <c r="G61" s="26"/>
      <c r="H61" s="26"/>
      <c r="I61" s="26"/>
      <c r="J61" s="26"/>
      <c r="K61" s="26"/>
      <c r="L61" s="26"/>
      <c r="M61" s="26"/>
    </row>
    <row r="62" spans="1:14" ht="15.75" x14ac:dyDescent="0.25">
      <c r="B62" s="721"/>
      <c r="C62" s="721"/>
      <c r="D62" s="721"/>
      <c r="E62" s="576"/>
      <c r="F62" s="721"/>
      <c r="G62" s="721"/>
      <c r="H62" s="721"/>
      <c r="I62" s="576"/>
      <c r="J62" s="721"/>
      <c r="K62" s="721"/>
      <c r="L62" s="721"/>
      <c r="M62" s="576"/>
    </row>
    <row r="63" spans="1:14" x14ac:dyDescent="0.2">
      <c r="A63" s="144"/>
      <c r="B63" s="719" t="s">
        <v>0</v>
      </c>
      <c r="C63" s="720"/>
      <c r="D63" s="724"/>
      <c r="E63" s="573"/>
      <c r="F63" s="720" t="s">
        <v>1</v>
      </c>
      <c r="G63" s="720"/>
      <c r="H63" s="720"/>
      <c r="I63" s="575"/>
      <c r="J63" s="719" t="s">
        <v>2</v>
      </c>
      <c r="K63" s="720"/>
      <c r="L63" s="720"/>
      <c r="M63" s="575"/>
    </row>
    <row r="64" spans="1:14" x14ac:dyDescent="0.2">
      <c r="A64" s="140"/>
      <c r="B64" s="152" t="s">
        <v>432</v>
      </c>
      <c r="C64" s="152" t="s">
        <v>433</v>
      </c>
      <c r="D64" s="246" t="s">
        <v>3</v>
      </c>
      <c r="E64" s="308" t="s">
        <v>29</v>
      </c>
      <c r="F64" s="152" t="s">
        <v>432</v>
      </c>
      <c r="G64" s="152" t="s">
        <v>433</v>
      </c>
      <c r="H64" s="246" t="s">
        <v>3</v>
      </c>
      <c r="I64" s="308" t="s">
        <v>29</v>
      </c>
      <c r="J64" s="152" t="s">
        <v>432</v>
      </c>
      <c r="K64" s="152" t="s">
        <v>433</v>
      </c>
      <c r="L64" s="246" t="s">
        <v>3</v>
      </c>
      <c r="M64" s="162" t="s">
        <v>29</v>
      </c>
    </row>
    <row r="65" spans="1:14" x14ac:dyDescent="0.2">
      <c r="A65" s="680"/>
      <c r="B65" s="156"/>
      <c r="C65" s="156"/>
      <c r="D65" s="248" t="s">
        <v>4</v>
      </c>
      <c r="E65" s="156" t="s">
        <v>30</v>
      </c>
      <c r="F65" s="161"/>
      <c r="G65" s="161"/>
      <c r="H65" s="246" t="s">
        <v>4</v>
      </c>
      <c r="I65" s="156" t="s">
        <v>30</v>
      </c>
      <c r="J65" s="161"/>
      <c r="K65" s="206"/>
      <c r="L65" s="156" t="s">
        <v>4</v>
      </c>
      <c r="M65" s="156" t="s">
        <v>30</v>
      </c>
    </row>
    <row r="66" spans="1:14" ht="15.75" x14ac:dyDescent="0.2">
      <c r="A66" s="14" t="s">
        <v>23</v>
      </c>
      <c r="B66" s="355"/>
      <c r="C66" s="355"/>
      <c r="D66" s="352"/>
      <c r="E66" s="11"/>
      <c r="F66" s="354"/>
      <c r="G66" s="354"/>
      <c r="H66" s="352"/>
      <c r="I66" s="11"/>
      <c r="J66" s="312"/>
      <c r="K66" s="319"/>
      <c r="L66" s="425"/>
      <c r="M66" s="11"/>
    </row>
    <row r="67" spans="1:14" x14ac:dyDescent="0.2">
      <c r="A67" s="416" t="s">
        <v>9</v>
      </c>
      <c r="B67" s="44"/>
      <c r="C67" s="145"/>
      <c r="D67" s="166"/>
      <c r="E67" s="27"/>
      <c r="F67" s="234"/>
      <c r="G67" s="145"/>
      <c r="H67" s="166"/>
      <c r="I67" s="27"/>
      <c r="J67" s="292"/>
      <c r="K67" s="44"/>
      <c r="L67" s="259"/>
      <c r="M67" s="27"/>
    </row>
    <row r="68" spans="1:14" x14ac:dyDescent="0.2">
      <c r="A68" s="21" t="s">
        <v>10</v>
      </c>
      <c r="B68" s="296"/>
      <c r="C68" s="297"/>
      <c r="D68" s="166"/>
      <c r="E68" s="27"/>
      <c r="F68" s="296"/>
      <c r="G68" s="297"/>
      <c r="H68" s="166"/>
      <c r="I68" s="27"/>
      <c r="J68" s="292"/>
      <c r="K68" s="44"/>
      <c r="L68" s="259"/>
      <c r="M68" s="27"/>
    </row>
    <row r="69" spans="1:14" ht="15.75" x14ac:dyDescent="0.2">
      <c r="A69" s="299" t="s">
        <v>363</v>
      </c>
      <c r="B69" s="298"/>
      <c r="C69" s="298"/>
      <c r="D69" s="166"/>
      <c r="E69" s="23"/>
      <c r="F69" s="298"/>
      <c r="G69" s="298"/>
      <c r="H69" s="166"/>
      <c r="I69" s="23"/>
      <c r="J69" s="298"/>
      <c r="K69" s="298"/>
      <c r="L69" s="166"/>
      <c r="M69" s="23"/>
    </row>
    <row r="70" spans="1:14" x14ac:dyDescent="0.2">
      <c r="A70" s="299" t="s">
        <v>12</v>
      </c>
      <c r="B70" s="298"/>
      <c r="C70" s="298"/>
      <c r="D70" s="166"/>
      <c r="E70" s="23"/>
      <c r="F70" s="298"/>
      <c r="G70" s="298"/>
      <c r="H70" s="166"/>
      <c r="I70" s="23"/>
      <c r="J70" s="298"/>
      <c r="K70" s="298"/>
      <c r="L70" s="166"/>
      <c r="M70" s="23"/>
    </row>
    <row r="71" spans="1:14" x14ac:dyDescent="0.2">
      <c r="A71" s="299" t="s">
        <v>13</v>
      </c>
      <c r="B71" s="298"/>
      <c r="C71" s="298"/>
      <c r="D71" s="166"/>
      <c r="E71" s="23"/>
      <c r="F71" s="298"/>
      <c r="G71" s="298"/>
      <c r="H71" s="166"/>
      <c r="I71" s="23"/>
      <c r="J71" s="298"/>
      <c r="K71" s="298"/>
      <c r="L71" s="166"/>
      <c r="M71" s="23"/>
    </row>
    <row r="72" spans="1:14" ht="15.75" x14ac:dyDescent="0.2">
      <c r="A72" s="299" t="s">
        <v>364</v>
      </c>
      <c r="B72" s="298"/>
      <c r="C72" s="298"/>
      <c r="D72" s="166"/>
      <c r="E72" s="23"/>
      <c r="F72" s="298"/>
      <c r="G72" s="298"/>
      <c r="H72" s="166"/>
      <c r="I72" s="23"/>
      <c r="J72" s="298"/>
      <c r="K72" s="298"/>
      <c r="L72" s="166"/>
      <c r="M72" s="23"/>
    </row>
    <row r="73" spans="1:14" x14ac:dyDescent="0.2">
      <c r="A73" s="299" t="s">
        <v>12</v>
      </c>
      <c r="B73" s="298"/>
      <c r="C73" s="298"/>
      <c r="D73" s="166"/>
      <c r="E73" s="23"/>
      <c r="F73" s="298"/>
      <c r="G73" s="298"/>
      <c r="H73" s="166"/>
      <c r="I73" s="23"/>
      <c r="J73" s="298"/>
      <c r="K73" s="298"/>
      <c r="L73" s="166"/>
      <c r="M73" s="23"/>
    </row>
    <row r="74" spans="1:14" s="3" customFormat="1" x14ac:dyDescent="0.2">
      <c r="A74" s="299" t="s">
        <v>13</v>
      </c>
      <c r="B74" s="298"/>
      <c r="C74" s="298"/>
      <c r="D74" s="166"/>
      <c r="E74" s="23"/>
      <c r="F74" s="298"/>
      <c r="G74" s="298"/>
      <c r="H74" s="166"/>
      <c r="I74" s="23"/>
      <c r="J74" s="298"/>
      <c r="K74" s="298"/>
      <c r="L74" s="166"/>
      <c r="M74" s="23"/>
      <c r="N74" s="148"/>
    </row>
    <row r="75" spans="1:14" s="3" customFormat="1" x14ac:dyDescent="0.2">
      <c r="A75" s="21" t="s">
        <v>335</v>
      </c>
      <c r="B75" s="234"/>
      <c r="C75" s="145"/>
      <c r="D75" s="166"/>
      <c r="E75" s="23"/>
      <c r="F75" s="234"/>
      <c r="G75" s="145"/>
      <c r="H75" s="166"/>
      <c r="I75" s="23"/>
      <c r="J75" s="145"/>
      <c r="K75" s="44"/>
      <c r="L75" s="259"/>
      <c r="M75" s="27"/>
      <c r="N75" s="148"/>
    </row>
    <row r="76" spans="1:14" s="3" customFormat="1" x14ac:dyDescent="0.2">
      <c r="A76" s="21" t="s">
        <v>334</v>
      </c>
      <c r="B76" s="234"/>
      <c r="C76" s="145"/>
      <c r="D76" s="166"/>
      <c r="E76" s="23"/>
      <c r="F76" s="234"/>
      <c r="G76" s="145"/>
      <c r="H76" s="166"/>
      <c r="I76" s="23"/>
      <c r="J76" s="145"/>
      <c r="K76" s="44"/>
      <c r="L76" s="259"/>
      <c r="M76" s="27"/>
      <c r="N76" s="148"/>
    </row>
    <row r="77" spans="1:14" ht="15.75" x14ac:dyDescent="0.2">
      <c r="A77" s="21" t="s">
        <v>365</v>
      </c>
      <c r="B77" s="234"/>
      <c r="C77" s="234"/>
      <c r="D77" s="166"/>
      <c r="E77" s="23"/>
      <c r="F77" s="234"/>
      <c r="G77" s="145"/>
      <c r="H77" s="166"/>
      <c r="I77" s="23"/>
      <c r="J77" s="145"/>
      <c r="K77" s="44"/>
      <c r="L77" s="259"/>
      <c r="M77" s="27"/>
    </row>
    <row r="78" spans="1:14" x14ac:dyDescent="0.2">
      <c r="A78" s="21" t="s">
        <v>9</v>
      </c>
      <c r="B78" s="234"/>
      <c r="C78" s="145"/>
      <c r="D78" s="166"/>
      <c r="E78" s="23"/>
      <c r="F78" s="234"/>
      <c r="G78" s="145"/>
      <c r="H78" s="166"/>
      <c r="I78" s="23"/>
      <c r="J78" s="145"/>
      <c r="K78" s="44"/>
      <c r="L78" s="259"/>
      <c r="M78" s="27"/>
    </row>
    <row r="79" spans="1:14" x14ac:dyDescent="0.2">
      <c r="A79" s="38" t="s">
        <v>399</v>
      </c>
      <c r="B79" s="296"/>
      <c r="C79" s="297"/>
      <c r="D79" s="166"/>
      <c r="E79" s="23"/>
      <c r="F79" s="296"/>
      <c r="G79" s="297"/>
      <c r="H79" s="166"/>
      <c r="I79" s="23"/>
      <c r="J79" s="145"/>
      <c r="K79" s="44"/>
      <c r="L79" s="259"/>
      <c r="M79" s="27"/>
    </row>
    <row r="80" spans="1:14" ht="15.75" x14ac:dyDescent="0.2">
      <c r="A80" s="299" t="s">
        <v>363</v>
      </c>
      <c r="B80" s="298"/>
      <c r="C80" s="298"/>
      <c r="D80" s="166"/>
      <c r="E80" s="23"/>
      <c r="F80" s="298"/>
      <c r="G80" s="298"/>
      <c r="H80" s="166"/>
      <c r="I80" s="23"/>
      <c r="J80" s="298"/>
      <c r="K80" s="298"/>
      <c r="L80" s="166"/>
      <c r="M80" s="23"/>
    </row>
    <row r="81" spans="1:13" x14ac:dyDescent="0.2">
      <c r="A81" s="299" t="s">
        <v>12</v>
      </c>
      <c r="B81" s="298"/>
      <c r="C81" s="298"/>
      <c r="D81" s="166"/>
      <c r="E81" s="23"/>
      <c r="F81" s="298"/>
      <c r="G81" s="298"/>
      <c r="H81" s="166"/>
      <c r="I81" s="23"/>
      <c r="J81" s="298"/>
      <c r="K81" s="298"/>
      <c r="L81" s="166"/>
      <c r="M81" s="23"/>
    </row>
    <row r="82" spans="1:13" x14ac:dyDescent="0.2">
      <c r="A82" s="299" t="s">
        <v>13</v>
      </c>
      <c r="B82" s="298"/>
      <c r="C82" s="298"/>
      <c r="D82" s="166"/>
      <c r="E82" s="23"/>
      <c r="F82" s="298"/>
      <c r="G82" s="298"/>
      <c r="H82" s="166"/>
      <c r="I82" s="23"/>
      <c r="J82" s="298"/>
      <c r="K82" s="298"/>
      <c r="L82" s="166"/>
      <c r="M82" s="23"/>
    </row>
    <row r="83" spans="1:13" ht="15.75" x14ac:dyDescent="0.2">
      <c r="A83" s="299" t="s">
        <v>364</v>
      </c>
      <c r="B83" s="298"/>
      <c r="C83" s="298"/>
      <c r="D83" s="166"/>
      <c r="E83" s="23"/>
      <c r="F83" s="298"/>
      <c r="G83" s="298"/>
      <c r="H83" s="166"/>
      <c r="I83" s="23"/>
      <c r="J83" s="298"/>
      <c r="K83" s="298"/>
      <c r="L83" s="166"/>
      <c r="M83" s="23"/>
    </row>
    <row r="84" spans="1:13" x14ac:dyDescent="0.2">
      <c r="A84" s="299" t="s">
        <v>12</v>
      </c>
      <c r="B84" s="298"/>
      <c r="C84" s="298"/>
      <c r="D84" s="166"/>
      <c r="E84" s="23"/>
      <c r="F84" s="298"/>
      <c r="G84" s="298"/>
      <c r="H84" s="166"/>
      <c r="I84" s="23"/>
      <c r="J84" s="298"/>
      <c r="K84" s="298"/>
      <c r="L84" s="166"/>
      <c r="M84" s="23"/>
    </row>
    <row r="85" spans="1:13" x14ac:dyDescent="0.2">
      <c r="A85" s="299" t="s">
        <v>13</v>
      </c>
      <c r="B85" s="298"/>
      <c r="C85" s="298"/>
      <c r="D85" s="166"/>
      <c r="E85" s="23"/>
      <c r="F85" s="298"/>
      <c r="G85" s="298"/>
      <c r="H85" s="166"/>
      <c r="I85" s="23"/>
      <c r="J85" s="298"/>
      <c r="K85" s="298"/>
      <c r="L85" s="166"/>
      <c r="M85" s="23"/>
    </row>
    <row r="86" spans="1:13" ht="15.75" x14ac:dyDescent="0.2">
      <c r="A86" s="21" t="s">
        <v>366</v>
      </c>
      <c r="B86" s="234"/>
      <c r="C86" s="145"/>
      <c r="D86" s="166"/>
      <c r="E86" s="27"/>
      <c r="F86" s="234"/>
      <c r="G86" s="145"/>
      <c r="H86" s="166"/>
      <c r="I86" s="27"/>
      <c r="J86" s="292"/>
      <c r="K86" s="44"/>
      <c r="L86" s="259"/>
      <c r="M86" s="27"/>
    </row>
    <row r="87" spans="1:13" ht="15.75" x14ac:dyDescent="0.2">
      <c r="A87" s="13" t="s">
        <v>348</v>
      </c>
      <c r="B87" s="355"/>
      <c r="C87" s="355"/>
      <c r="D87" s="171"/>
      <c r="E87" s="11"/>
      <c r="F87" s="354"/>
      <c r="G87" s="354"/>
      <c r="H87" s="171"/>
      <c r="I87" s="11"/>
      <c r="J87" s="312"/>
      <c r="K87" s="236"/>
      <c r="L87" s="425"/>
      <c r="M87" s="11"/>
    </row>
    <row r="88" spans="1:13" x14ac:dyDescent="0.2">
      <c r="A88" s="21" t="s">
        <v>9</v>
      </c>
      <c r="B88" s="234"/>
      <c r="C88" s="145"/>
      <c r="D88" s="166"/>
      <c r="E88" s="27"/>
      <c r="F88" s="234"/>
      <c r="G88" s="145"/>
      <c r="H88" s="166"/>
      <c r="I88" s="27"/>
      <c r="J88" s="292"/>
      <c r="K88" s="44"/>
      <c r="L88" s="259"/>
      <c r="M88" s="27"/>
    </row>
    <row r="89" spans="1:13" x14ac:dyDescent="0.2">
      <c r="A89" s="21" t="s">
        <v>10</v>
      </c>
      <c r="B89" s="234"/>
      <c r="C89" s="145"/>
      <c r="D89" s="166"/>
      <c r="E89" s="27"/>
      <c r="F89" s="234"/>
      <c r="G89" s="145"/>
      <c r="H89" s="166"/>
      <c r="I89" s="27"/>
      <c r="J89" s="292"/>
      <c r="K89" s="44"/>
      <c r="L89" s="259"/>
      <c r="M89" s="27"/>
    </row>
    <row r="90" spans="1:13" ht="15.75" x14ac:dyDescent="0.2">
      <c r="A90" s="299" t="s">
        <v>363</v>
      </c>
      <c r="B90" s="298"/>
      <c r="C90" s="298"/>
      <c r="D90" s="166"/>
      <c r="E90" s="23"/>
      <c r="F90" s="298"/>
      <c r="G90" s="298"/>
      <c r="H90" s="166"/>
      <c r="I90" s="23"/>
      <c r="J90" s="298"/>
      <c r="K90" s="298"/>
      <c r="L90" s="166"/>
      <c r="M90" s="23"/>
    </row>
    <row r="91" spans="1:13" x14ac:dyDescent="0.2">
      <c r="A91" s="299" t="s">
        <v>12</v>
      </c>
      <c r="B91" s="298"/>
      <c r="C91" s="298"/>
      <c r="D91" s="166"/>
      <c r="E91" s="23"/>
      <c r="F91" s="298"/>
      <c r="G91" s="298"/>
      <c r="H91" s="166"/>
      <c r="I91" s="23"/>
      <c r="J91" s="298"/>
      <c r="K91" s="298"/>
      <c r="L91" s="166"/>
      <c r="M91" s="23"/>
    </row>
    <row r="92" spans="1:13" x14ac:dyDescent="0.2">
      <c r="A92" s="299" t="s">
        <v>13</v>
      </c>
      <c r="B92" s="298"/>
      <c r="C92" s="298"/>
      <c r="D92" s="166"/>
      <c r="E92" s="23"/>
      <c r="F92" s="298"/>
      <c r="G92" s="298"/>
      <c r="H92" s="166"/>
      <c r="I92" s="23"/>
      <c r="J92" s="298"/>
      <c r="K92" s="298"/>
      <c r="L92" s="166"/>
      <c r="M92" s="23"/>
    </row>
    <row r="93" spans="1:13" ht="15.75" x14ac:dyDescent="0.2">
      <c r="A93" s="299" t="s">
        <v>364</v>
      </c>
      <c r="B93" s="298"/>
      <c r="C93" s="298"/>
      <c r="D93" s="166"/>
      <c r="E93" s="23"/>
      <c r="F93" s="298"/>
      <c r="G93" s="298"/>
      <c r="H93" s="166"/>
      <c r="I93" s="23"/>
      <c r="J93" s="298"/>
      <c r="K93" s="298"/>
      <c r="L93" s="166"/>
      <c r="M93" s="23"/>
    </row>
    <row r="94" spans="1:13" x14ac:dyDescent="0.2">
      <c r="A94" s="299" t="s">
        <v>12</v>
      </c>
      <c r="B94" s="298"/>
      <c r="C94" s="298"/>
      <c r="D94" s="166"/>
      <c r="E94" s="23"/>
      <c r="F94" s="298"/>
      <c r="G94" s="298"/>
      <c r="H94" s="166"/>
      <c r="I94" s="23"/>
      <c r="J94" s="298"/>
      <c r="K94" s="298"/>
      <c r="L94" s="166"/>
      <c r="M94" s="23"/>
    </row>
    <row r="95" spans="1:13" x14ac:dyDescent="0.2">
      <c r="A95" s="299" t="s">
        <v>13</v>
      </c>
      <c r="B95" s="298"/>
      <c r="C95" s="298"/>
      <c r="D95" s="166"/>
      <c r="E95" s="23"/>
      <c r="F95" s="298"/>
      <c r="G95" s="298"/>
      <c r="H95" s="166"/>
      <c r="I95" s="23"/>
      <c r="J95" s="298"/>
      <c r="K95" s="298"/>
      <c r="L95" s="166"/>
      <c r="M95" s="23"/>
    </row>
    <row r="96" spans="1:13" x14ac:dyDescent="0.2">
      <c r="A96" s="21" t="s">
        <v>333</v>
      </c>
      <c r="B96" s="234"/>
      <c r="C96" s="145"/>
      <c r="D96" s="166"/>
      <c r="E96" s="27"/>
      <c r="F96" s="234"/>
      <c r="G96" s="145"/>
      <c r="H96" s="166"/>
      <c r="I96" s="27"/>
      <c r="J96" s="292"/>
      <c r="K96" s="44"/>
      <c r="L96" s="259"/>
      <c r="M96" s="27"/>
    </row>
    <row r="97" spans="1:15" x14ac:dyDescent="0.2">
      <c r="A97" s="21" t="s">
        <v>332</v>
      </c>
      <c r="B97" s="234"/>
      <c r="C97" s="145"/>
      <c r="D97" s="166"/>
      <c r="E97" s="27"/>
      <c r="F97" s="234"/>
      <c r="G97" s="145"/>
      <c r="H97" s="166"/>
      <c r="I97" s="27"/>
      <c r="J97" s="292"/>
      <c r="K97" s="44"/>
      <c r="L97" s="259"/>
      <c r="M97" s="27"/>
    </row>
    <row r="98" spans="1:15" ht="15.75" x14ac:dyDescent="0.2">
      <c r="A98" s="21" t="s">
        <v>365</v>
      </c>
      <c r="B98" s="234"/>
      <c r="C98" s="234"/>
      <c r="D98" s="166"/>
      <c r="E98" s="27"/>
      <c r="F98" s="296"/>
      <c r="G98" s="296"/>
      <c r="H98" s="166"/>
      <c r="I98" s="27"/>
      <c r="J98" s="292"/>
      <c r="K98" s="44"/>
      <c r="L98" s="259"/>
      <c r="M98" s="27"/>
    </row>
    <row r="99" spans="1:15" x14ac:dyDescent="0.2">
      <c r="A99" s="21" t="s">
        <v>9</v>
      </c>
      <c r="B99" s="296"/>
      <c r="C99" s="297"/>
      <c r="D99" s="166"/>
      <c r="E99" s="27"/>
      <c r="F99" s="234"/>
      <c r="G99" s="145"/>
      <c r="H99" s="166"/>
      <c r="I99" s="27"/>
      <c r="J99" s="292"/>
      <c r="K99" s="44"/>
      <c r="L99" s="259"/>
      <c r="M99" s="27"/>
    </row>
    <row r="100" spans="1:15" x14ac:dyDescent="0.2">
      <c r="A100" s="38" t="s">
        <v>399</v>
      </c>
      <c r="B100" s="296"/>
      <c r="C100" s="297"/>
      <c r="D100" s="166"/>
      <c r="E100" s="27"/>
      <c r="F100" s="234"/>
      <c r="G100" s="234"/>
      <c r="H100" s="166"/>
      <c r="I100" s="27"/>
      <c r="J100" s="292"/>
      <c r="K100" s="44"/>
      <c r="L100" s="259"/>
      <c r="M100" s="27"/>
    </row>
    <row r="101" spans="1:15" ht="15.75" x14ac:dyDescent="0.2">
      <c r="A101" s="299" t="s">
        <v>363</v>
      </c>
      <c r="B101" s="298"/>
      <c r="C101" s="298"/>
      <c r="D101" s="166"/>
      <c r="E101" s="23"/>
      <c r="F101" s="298"/>
      <c r="G101" s="298"/>
      <c r="H101" s="166"/>
      <c r="I101" s="23"/>
      <c r="J101" s="298"/>
      <c r="K101" s="298"/>
      <c r="L101" s="166"/>
      <c r="M101" s="23"/>
    </row>
    <row r="102" spans="1:15" x14ac:dyDescent="0.2">
      <c r="A102" s="299" t="s">
        <v>12</v>
      </c>
      <c r="B102" s="298"/>
      <c r="C102" s="298"/>
      <c r="D102" s="166"/>
      <c r="E102" s="23"/>
      <c r="F102" s="298"/>
      <c r="G102" s="298"/>
      <c r="H102" s="166"/>
      <c r="I102" s="23"/>
      <c r="J102" s="298"/>
      <c r="K102" s="298"/>
      <c r="L102" s="166"/>
      <c r="M102" s="23"/>
    </row>
    <row r="103" spans="1:15" x14ac:dyDescent="0.2">
      <c r="A103" s="299" t="s">
        <v>13</v>
      </c>
      <c r="B103" s="298"/>
      <c r="C103" s="298"/>
      <c r="D103" s="166"/>
      <c r="E103" s="23"/>
      <c r="F103" s="298"/>
      <c r="G103" s="298"/>
      <c r="H103" s="166"/>
      <c r="I103" s="23"/>
      <c r="J103" s="298"/>
      <c r="K103" s="298"/>
      <c r="L103" s="166"/>
      <c r="M103" s="23"/>
    </row>
    <row r="104" spans="1:15" ht="15.75" x14ac:dyDescent="0.2">
      <c r="A104" s="299" t="s">
        <v>364</v>
      </c>
      <c r="B104" s="298"/>
      <c r="C104" s="298"/>
      <c r="D104" s="166"/>
      <c r="E104" s="23"/>
      <c r="F104" s="298"/>
      <c r="G104" s="298"/>
      <c r="H104" s="166"/>
      <c r="I104" s="23"/>
      <c r="J104" s="298"/>
      <c r="K104" s="298"/>
      <c r="L104" s="166"/>
      <c r="M104" s="23"/>
    </row>
    <row r="105" spans="1:15" x14ac:dyDescent="0.2">
      <c r="A105" s="299" t="s">
        <v>12</v>
      </c>
      <c r="B105" s="298"/>
      <c r="C105" s="298"/>
      <c r="D105" s="166"/>
      <c r="E105" s="23"/>
      <c r="F105" s="298"/>
      <c r="G105" s="298"/>
      <c r="H105" s="166"/>
      <c r="I105" s="23"/>
      <c r="J105" s="298"/>
      <c r="K105" s="298"/>
      <c r="L105" s="166"/>
      <c r="M105" s="23"/>
    </row>
    <row r="106" spans="1:15" x14ac:dyDescent="0.2">
      <c r="A106" s="299" t="s">
        <v>13</v>
      </c>
      <c r="B106" s="298"/>
      <c r="C106" s="298"/>
      <c r="D106" s="166"/>
      <c r="E106" s="23"/>
      <c r="F106" s="298"/>
      <c r="G106" s="298"/>
      <c r="H106" s="166"/>
      <c r="I106" s="23"/>
      <c r="J106" s="298"/>
      <c r="K106" s="298"/>
      <c r="L106" s="166"/>
      <c r="M106" s="23"/>
    </row>
    <row r="107" spans="1:15" ht="15.75" x14ac:dyDescent="0.2">
      <c r="A107" s="21" t="s">
        <v>366</v>
      </c>
      <c r="B107" s="234"/>
      <c r="C107" s="145"/>
      <c r="D107" s="166"/>
      <c r="E107" s="27"/>
      <c r="F107" s="234"/>
      <c r="G107" s="145"/>
      <c r="H107" s="166"/>
      <c r="I107" s="27"/>
      <c r="J107" s="292"/>
      <c r="K107" s="44"/>
      <c r="L107" s="259"/>
      <c r="M107" s="27"/>
    </row>
    <row r="108" spans="1:15" ht="15.75" x14ac:dyDescent="0.2">
      <c r="A108" s="21" t="s">
        <v>367</v>
      </c>
      <c r="B108" s="234"/>
      <c r="C108" s="234"/>
      <c r="D108" s="166"/>
      <c r="E108" s="27"/>
      <c r="F108" s="234"/>
      <c r="G108" s="234"/>
      <c r="H108" s="166"/>
      <c r="I108" s="27"/>
      <c r="J108" s="292"/>
      <c r="K108" s="44"/>
      <c r="L108" s="259"/>
      <c r="M108" s="27"/>
    </row>
    <row r="109" spans="1:15" ht="15.75" x14ac:dyDescent="0.2">
      <c r="A109" s="38" t="s">
        <v>407</v>
      </c>
      <c r="B109" s="234"/>
      <c r="C109" s="234"/>
      <c r="D109" s="166"/>
      <c r="E109" s="27"/>
      <c r="F109" s="234"/>
      <c r="G109" s="234"/>
      <c r="H109" s="166"/>
      <c r="I109" s="27"/>
      <c r="J109" s="292"/>
      <c r="K109" s="44"/>
      <c r="L109" s="259"/>
      <c r="M109" s="27"/>
      <c r="O109" s="3"/>
    </row>
    <row r="110" spans="1:15" ht="15.75" x14ac:dyDescent="0.2">
      <c r="A110" s="21" t="s">
        <v>368</v>
      </c>
      <c r="B110" s="234"/>
      <c r="C110" s="234"/>
      <c r="D110" s="166"/>
      <c r="E110" s="27"/>
      <c r="F110" s="234"/>
      <c r="G110" s="234"/>
      <c r="H110" s="166"/>
      <c r="I110" s="27"/>
      <c r="J110" s="292"/>
      <c r="K110" s="44"/>
      <c r="L110" s="259"/>
      <c r="M110" s="27"/>
    </row>
    <row r="111" spans="1:15" ht="15.75" x14ac:dyDescent="0.2">
      <c r="A111" s="13" t="s">
        <v>349</v>
      </c>
      <c r="B111" s="311"/>
      <c r="C111" s="159"/>
      <c r="D111" s="171"/>
      <c r="E111" s="11"/>
      <c r="F111" s="311"/>
      <c r="G111" s="159"/>
      <c r="H111" s="171"/>
      <c r="I111" s="11"/>
      <c r="J111" s="312"/>
      <c r="K111" s="236"/>
      <c r="L111" s="425"/>
      <c r="M111" s="11"/>
    </row>
    <row r="112" spans="1:15" x14ac:dyDescent="0.2">
      <c r="A112" s="21" t="s">
        <v>9</v>
      </c>
      <c r="B112" s="234"/>
      <c r="C112" s="145"/>
      <c r="D112" s="166"/>
      <c r="E112" s="27"/>
      <c r="F112" s="234"/>
      <c r="G112" s="145"/>
      <c r="H112" s="166"/>
      <c r="I112" s="27"/>
      <c r="J112" s="292"/>
      <c r="K112" s="44"/>
      <c r="L112" s="259"/>
      <c r="M112" s="27"/>
    </row>
    <row r="113" spans="1:14" x14ac:dyDescent="0.2">
      <c r="A113" s="21" t="s">
        <v>10</v>
      </c>
      <c r="B113" s="234"/>
      <c r="C113" s="145"/>
      <c r="D113" s="166"/>
      <c r="E113" s="27"/>
      <c r="F113" s="234"/>
      <c r="G113" s="145"/>
      <c r="H113" s="166"/>
      <c r="I113" s="27"/>
      <c r="J113" s="292"/>
      <c r="K113" s="44"/>
      <c r="L113" s="259"/>
      <c r="M113" s="27"/>
    </row>
    <row r="114" spans="1:14" x14ac:dyDescent="0.2">
      <c r="A114" s="21" t="s">
        <v>26</v>
      </c>
      <c r="B114" s="234"/>
      <c r="C114" s="145"/>
      <c r="D114" s="166"/>
      <c r="E114" s="27"/>
      <c r="F114" s="234"/>
      <c r="G114" s="145"/>
      <c r="H114" s="166"/>
      <c r="I114" s="27"/>
      <c r="J114" s="292"/>
      <c r="K114" s="44"/>
      <c r="L114" s="259"/>
      <c r="M114" s="27"/>
    </row>
    <row r="115" spans="1:14" x14ac:dyDescent="0.2">
      <c r="A115" s="299" t="s">
        <v>15</v>
      </c>
      <c r="B115" s="286"/>
      <c r="C115" s="286"/>
      <c r="D115" s="166"/>
      <c r="E115" s="414"/>
      <c r="F115" s="286"/>
      <c r="G115" s="286"/>
      <c r="H115" s="166"/>
      <c r="I115" s="414"/>
      <c r="J115" s="294"/>
      <c r="K115" s="294"/>
      <c r="L115" s="166"/>
      <c r="M115" s="23"/>
    </row>
    <row r="116" spans="1:14" ht="15.75" x14ac:dyDescent="0.2">
      <c r="A116" s="21" t="s">
        <v>369</v>
      </c>
      <c r="B116" s="234"/>
      <c r="C116" s="234"/>
      <c r="D116" s="166"/>
      <c r="E116" s="27"/>
      <c r="F116" s="234"/>
      <c r="G116" s="234"/>
      <c r="H116" s="166"/>
      <c r="I116" s="27"/>
      <c r="J116" s="292"/>
      <c r="K116" s="44"/>
      <c r="L116" s="259"/>
      <c r="M116" s="27"/>
    </row>
    <row r="117" spans="1:14" ht="15.75" x14ac:dyDescent="0.2">
      <c r="A117" s="38" t="s">
        <v>407</v>
      </c>
      <c r="B117" s="234"/>
      <c r="C117" s="234"/>
      <c r="D117" s="166"/>
      <c r="E117" s="27"/>
      <c r="F117" s="234"/>
      <c r="G117" s="234"/>
      <c r="H117" s="166"/>
      <c r="I117" s="27"/>
      <c r="J117" s="292"/>
      <c r="K117" s="44"/>
      <c r="L117" s="259"/>
      <c r="M117" s="27"/>
    </row>
    <row r="118" spans="1:14" ht="15.75" x14ac:dyDescent="0.2">
      <c r="A118" s="21" t="s">
        <v>368</v>
      </c>
      <c r="B118" s="234"/>
      <c r="C118" s="234"/>
      <c r="D118" s="166"/>
      <c r="E118" s="27"/>
      <c r="F118" s="234"/>
      <c r="G118" s="234"/>
      <c r="H118" s="166"/>
      <c r="I118" s="27"/>
      <c r="J118" s="292"/>
      <c r="K118" s="44"/>
      <c r="L118" s="259"/>
      <c r="M118" s="27"/>
    </row>
    <row r="119" spans="1:14" ht="15.75" x14ac:dyDescent="0.2">
      <c r="A119" s="13" t="s">
        <v>350</v>
      </c>
      <c r="B119" s="311"/>
      <c r="C119" s="159"/>
      <c r="D119" s="171"/>
      <c r="E119" s="11"/>
      <c r="F119" s="311"/>
      <c r="G119" s="159"/>
      <c r="H119" s="171"/>
      <c r="I119" s="11"/>
      <c r="J119" s="312"/>
      <c r="K119" s="236"/>
      <c r="L119" s="425"/>
      <c r="M119" s="11"/>
    </row>
    <row r="120" spans="1:14" x14ac:dyDescent="0.2">
      <c r="A120" s="21" t="s">
        <v>9</v>
      </c>
      <c r="B120" s="234"/>
      <c r="C120" s="145"/>
      <c r="D120" s="166"/>
      <c r="E120" s="27"/>
      <c r="F120" s="234"/>
      <c r="G120" s="145"/>
      <c r="H120" s="166"/>
      <c r="I120" s="27"/>
      <c r="J120" s="292"/>
      <c r="K120" s="44"/>
      <c r="L120" s="259"/>
      <c r="M120" s="27"/>
    </row>
    <row r="121" spans="1:14" x14ac:dyDescent="0.2">
      <c r="A121" s="21" t="s">
        <v>10</v>
      </c>
      <c r="B121" s="234"/>
      <c r="C121" s="145"/>
      <c r="D121" s="166"/>
      <c r="E121" s="27"/>
      <c r="F121" s="234"/>
      <c r="G121" s="145"/>
      <c r="H121" s="166"/>
      <c r="I121" s="27"/>
      <c r="J121" s="292"/>
      <c r="K121" s="44"/>
      <c r="L121" s="259"/>
      <c r="M121" s="27"/>
    </row>
    <row r="122" spans="1:14" x14ac:dyDescent="0.2">
      <c r="A122" s="21" t="s">
        <v>26</v>
      </c>
      <c r="B122" s="234"/>
      <c r="C122" s="145"/>
      <c r="D122" s="166"/>
      <c r="E122" s="27"/>
      <c r="F122" s="234"/>
      <c r="G122" s="145"/>
      <c r="H122" s="166"/>
      <c r="I122" s="27"/>
      <c r="J122" s="292"/>
      <c r="K122" s="44"/>
      <c r="L122" s="259"/>
      <c r="M122" s="27"/>
    </row>
    <row r="123" spans="1:14" x14ac:dyDescent="0.2">
      <c r="A123" s="299" t="s">
        <v>14</v>
      </c>
      <c r="B123" s="286"/>
      <c r="C123" s="286"/>
      <c r="D123" s="166"/>
      <c r="E123" s="414"/>
      <c r="F123" s="286"/>
      <c r="G123" s="286"/>
      <c r="H123" s="166"/>
      <c r="I123" s="414"/>
      <c r="J123" s="294"/>
      <c r="K123" s="294"/>
      <c r="L123" s="166"/>
      <c r="M123" s="23"/>
    </row>
    <row r="124" spans="1:14" ht="15.75" x14ac:dyDescent="0.2">
      <c r="A124" s="21" t="s">
        <v>374</v>
      </c>
      <c r="B124" s="234"/>
      <c r="C124" s="234"/>
      <c r="D124" s="166"/>
      <c r="E124" s="27"/>
      <c r="F124" s="234"/>
      <c r="G124" s="234"/>
      <c r="H124" s="166"/>
      <c r="I124" s="27"/>
      <c r="J124" s="292"/>
      <c r="K124" s="44"/>
      <c r="L124" s="259"/>
      <c r="M124" s="27"/>
    </row>
    <row r="125" spans="1:14" ht="15.75" x14ac:dyDescent="0.2">
      <c r="A125" s="38" t="s">
        <v>407</v>
      </c>
      <c r="B125" s="234"/>
      <c r="C125" s="234"/>
      <c r="D125" s="166"/>
      <c r="E125" s="27"/>
      <c r="F125" s="234"/>
      <c r="G125" s="234"/>
      <c r="H125" s="166"/>
      <c r="I125" s="27"/>
      <c r="J125" s="292"/>
      <c r="K125" s="44"/>
      <c r="L125" s="259"/>
      <c r="M125" s="27"/>
    </row>
    <row r="126" spans="1:14" ht="15.75" x14ac:dyDescent="0.2">
      <c r="A126" s="10" t="s">
        <v>368</v>
      </c>
      <c r="B126" s="45"/>
      <c r="C126" s="45"/>
      <c r="D126" s="167"/>
      <c r="E126" s="415"/>
      <c r="F126" s="45"/>
      <c r="G126" s="45"/>
      <c r="H126" s="167"/>
      <c r="I126" s="22"/>
      <c r="J126" s="293"/>
      <c r="K126" s="45"/>
      <c r="L126" s="260"/>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21"/>
      <c r="C130" s="721"/>
      <c r="D130" s="721"/>
      <c r="E130" s="576"/>
      <c r="F130" s="721"/>
      <c r="G130" s="721"/>
      <c r="H130" s="721"/>
      <c r="I130" s="576"/>
      <c r="J130" s="721"/>
      <c r="K130" s="721"/>
      <c r="L130" s="721"/>
      <c r="M130" s="576"/>
    </row>
    <row r="131" spans="1:14" s="3" customFormat="1" x14ac:dyDescent="0.2">
      <c r="A131" s="144"/>
      <c r="B131" s="719" t="s">
        <v>0</v>
      </c>
      <c r="C131" s="720"/>
      <c r="D131" s="720"/>
      <c r="E131" s="574"/>
      <c r="F131" s="719" t="s">
        <v>1</v>
      </c>
      <c r="G131" s="720"/>
      <c r="H131" s="720"/>
      <c r="I131" s="575"/>
      <c r="J131" s="719" t="s">
        <v>2</v>
      </c>
      <c r="K131" s="720"/>
      <c r="L131" s="720"/>
      <c r="M131" s="575"/>
      <c r="N131" s="148"/>
    </row>
    <row r="132" spans="1:14" s="3" customFormat="1" x14ac:dyDescent="0.2">
      <c r="A132" s="140"/>
      <c r="B132" s="152" t="s">
        <v>432</v>
      </c>
      <c r="C132" s="152" t="s">
        <v>433</v>
      </c>
      <c r="D132" s="246" t="s">
        <v>3</v>
      </c>
      <c r="E132" s="308" t="s">
        <v>29</v>
      </c>
      <c r="F132" s="152" t="s">
        <v>432</v>
      </c>
      <c r="G132" s="152" t="s">
        <v>433</v>
      </c>
      <c r="H132" s="206" t="s">
        <v>3</v>
      </c>
      <c r="I132" s="162" t="s">
        <v>29</v>
      </c>
      <c r="J132" s="247" t="s">
        <v>432</v>
      </c>
      <c r="K132" s="247" t="s">
        <v>433</v>
      </c>
      <c r="L132" s="248" t="s">
        <v>3</v>
      </c>
      <c r="M132" s="162" t="s">
        <v>29</v>
      </c>
      <c r="N132" s="148"/>
    </row>
    <row r="133" spans="1:14" s="3" customFormat="1" x14ac:dyDescent="0.2">
      <c r="A133" s="680"/>
      <c r="B133" s="156"/>
      <c r="C133" s="156"/>
      <c r="D133" s="248" t="s">
        <v>4</v>
      </c>
      <c r="E133" s="156" t="s">
        <v>30</v>
      </c>
      <c r="F133" s="161"/>
      <c r="G133" s="161"/>
      <c r="H133" s="206" t="s">
        <v>4</v>
      </c>
      <c r="I133" s="156" t="s">
        <v>30</v>
      </c>
      <c r="J133" s="156"/>
      <c r="K133" s="156"/>
      <c r="L133" s="150" t="s">
        <v>4</v>
      </c>
      <c r="M133" s="156" t="s">
        <v>30</v>
      </c>
      <c r="N133" s="148"/>
    </row>
    <row r="134" spans="1:14" s="3" customFormat="1" ht="15.75" x14ac:dyDescent="0.2">
      <c r="A134" s="14" t="s">
        <v>370</v>
      </c>
      <c r="B134" s="236"/>
      <c r="C134" s="312"/>
      <c r="D134" s="352"/>
      <c r="E134" s="11"/>
      <c r="F134" s="319"/>
      <c r="G134" s="320"/>
      <c r="H134" s="428"/>
      <c r="I134" s="24"/>
      <c r="J134" s="321"/>
      <c r="K134" s="321"/>
      <c r="L134" s="424"/>
      <c r="M134" s="11"/>
      <c r="N134" s="148"/>
    </row>
    <row r="135" spans="1:14" s="3" customFormat="1" ht="15.75" x14ac:dyDescent="0.2">
      <c r="A135" s="13" t="s">
        <v>375</v>
      </c>
      <c r="B135" s="236"/>
      <c r="C135" s="312"/>
      <c r="D135" s="171"/>
      <c r="E135" s="11"/>
      <c r="F135" s="236"/>
      <c r="G135" s="312"/>
      <c r="H135" s="429"/>
      <c r="I135" s="24"/>
      <c r="J135" s="311"/>
      <c r="K135" s="311"/>
      <c r="L135" s="425"/>
      <c r="M135" s="11"/>
      <c r="N135" s="148"/>
    </row>
    <row r="136" spans="1:14" s="3" customFormat="1" ht="15.75" x14ac:dyDescent="0.2">
      <c r="A136" s="13" t="s">
        <v>372</v>
      </c>
      <c r="B136" s="236"/>
      <c r="C136" s="312"/>
      <c r="D136" s="171"/>
      <c r="E136" s="11"/>
      <c r="F136" s="236"/>
      <c r="G136" s="312"/>
      <c r="H136" s="429"/>
      <c r="I136" s="24"/>
      <c r="J136" s="311"/>
      <c r="K136" s="311"/>
      <c r="L136" s="425"/>
      <c r="M136" s="11"/>
      <c r="N136" s="148"/>
    </row>
    <row r="137" spans="1:14" s="3" customFormat="1" ht="15.75" x14ac:dyDescent="0.2">
      <c r="A137" s="41" t="s">
        <v>373</v>
      </c>
      <c r="B137" s="281"/>
      <c r="C137" s="318"/>
      <c r="D137" s="169"/>
      <c r="E137" s="9"/>
      <c r="F137" s="281"/>
      <c r="G137" s="318"/>
      <c r="H137" s="430"/>
      <c r="I137" s="36"/>
      <c r="J137" s="317"/>
      <c r="K137" s="317"/>
      <c r="L137" s="42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54" priority="59">
      <formula>kvartal &lt; 4</formula>
    </cfRule>
  </conditionalFormatting>
  <conditionalFormatting sqref="B115">
    <cfRule type="expression" dxfId="253" priority="42">
      <formula>kvartal &lt; 4</formula>
    </cfRule>
  </conditionalFormatting>
  <conditionalFormatting sqref="C115">
    <cfRule type="expression" dxfId="252" priority="41">
      <formula>kvartal &lt; 4</formula>
    </cfRule>
  </conditionalFormatting>
  <conditionalFormatting sqref="B123">
    <cfRule type="expression" dxfId="251" priority="40">
      <formula>kvartal &lt; 4</formula>
    </cfRule>
  </conditionalFormatting>
  <conditionalFormatting sqref="C123">
    <cfRule type="expression" dxfId="250" priority="39">
      <formula>kvartal &lt; 4</formula>
    </cfRule>
  </conditionalFormatting>
  <conditionalFormatting sqref="F115">
    <cfRule type="expression" dxfId="249" priority="28">
      <formula>kvartal &lt; 4</formula>
    </cfRule>
  </conditionalFormatting>
  <conditionalFormatting sqref="G115">
    <cfRule type="expression" dxfId="248" priority="27">
      <formula>kvartal &lt; 4</formula>
    </cfRule>
  </conditionalFormatting>
  <conditionalFormatting sqref="F123:G123">
    <cfRule type="expression" dxfId="247" priority="26">
      <formula>kvartal &lt; 4</formula>
    </cfRule>
  </conditionalFormatting>
  <conditionalFormatting sqref="J115:K115">
    <cfRule type="expression" dxfId="246" priority="9">
      <formula>kvartal &lt; 4</formula>
    </cfRule>
  </conditionalFormatting>
  <conditionalFormatting sqref="J123:K123">
    <cfRule type="expression" dxfId="245" priority="8">
      <formula>kvartal &lt; 4</formula>
    </cfRule>
  </conditionalFormatting>
  <conditionalFormatting sqref="A50:A52">
    <cfRule type="expression" dxfId="244" priority="7">
      <formula>kvartal &lt; 4</formula>
    </cfRule>
  </conditionalFormatting>
  <conditionalFormatting sqref="A69:A74">
    <cfRule type="expression" dxfId="243" priority="6">
      <formula>kvartal &lt; 4</formula>
    </cfRule>
  </conditionalFormatting>
  <conditionalFormatting sqref="A80:A85">
    <cfRule type="expression" dxfId="242" priority="5">
      <formula>kvartal &lt; 4</formula>
    </cfRule>
  </conditionalFormatting>
  <conditionalFormatting sqref="A90:A95">
    <cfRule type="expression" dxfId="241" priority="4">
      <formula>kvartal &lt; 4</formula>
    </cfRule>
  </conditionalFormatting>
  <conditionalFormatting sqref="A101:A106">
    <cfRule type="expression" dxfId="240" priority="3">
      <formula>kvartal &lt; 4</formula>
    </cfRule>
  </conditionalFormatting>
  <conditionalFormatting sqref="A115">
    <cfRule type="expression" dxfId="239" priority="2">
      <formula>kvartal &lt; 4</formula>
    </cfRule>
  </conditionalFormatting>
  <conditionalFormatting sqref="A123">
    <cfRule type="expression" dxfId="238"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3"/>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77" customWidth="1"/>
    <col min="2" max="46" width="11.7109375" style="477" customWidth="1"/>
    <col min="47" max="16384" width="11.42578125" style="477"/>
  </cols>
  <sheetData>
    <row r="1" spans="1:46" ht="20.25" x14ac:dyDescent="0.3">
      <c r="A1" s="475" t="s">
        <v>278</v>
      </c>
      <c r="B1" s="454" t="s">
        <v>52</v>
      </c>
      <c r="C1" s="476"/>
      <c r="D1" s="476"/>
      <c r="E1" s="476"/>
      <c r="F1" s="476"/>
      <c r="G1" s="476"/>
      <c r="H1" s="476"/>
      <c r="I1" s="476"/>
      <c r="J1" s="476"/>
      <c r="K1" s="476"/>
      <c r="L1" s="476"/>
      <c r="M1" s="476"/>
    </row>
    <row r="2" spans="1:46" ht="20.25" x14ac:dyDescent="0.3">
      <c r="A2" s="475" t="s">
        <v>249</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row>
    <row r="3" spans="1:46" ht="18.75" x14ac:dyDescent="0.3">
      <c r="A3" s="479" t="s">
        <v>279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row>
    <row r="4" spans="1:46" ht="18.75" customHeight="1" x14ac:dyDescent="0.25">
      <c r="A4" s="458" t="s">
        <v>424</v>
      </c>
      <c r="B4" s="481"/>
      <c r="C4" s="481"/>
      <c r="D4" s="482"/>
      <c r="E4" s="483"/>
      <c r="F4" s="481"/>
      <c r="G4" s="482"/>
      <c r="H4" s="483"/>
      <c r="I4" s="481"/>
      <c r="J4" s="482"/>
      <c r="K4" s="483"/>
      <c r="L4" s="481"/>
      <c r="M4" s="482"/>
      <c r="N4" s="484"/>
      <c r="O4" s="484"/>
      <c r="P4" s="484"/>
      <c r="Q4" s="485"/>
      <c r="R4" s="484"/>
      <c r="S4" s="486"/>
      <c r="T4" s="485"/>
      <c r="U4" s="484"/>
      <c r="V4" s="486"/>
      <c r="W4" s="485"/>
      <c r="X4" s="484"/>
      <c r="Y4" s="486"/>
      <c r="Z4" s="485"/>
      <c r="AA4" s="484"/>
      <c r="AB4" s="486"/>
      <c r="AC4" s="485"/>
      <c r="AD4" s="484"/>
      <c r="AE4" s="486"/>
      <c r="AF4" s="485"/>
      <c r="AG4" s="484"/>
      <c r="AH4" s="486"/>
      <c r="AI4" s="485"/>
      <c r="AJ4" s="484"/>
      <c r="AK4" s="486"/>
      <c r="AL4" s="485"/>
      <c r="AM4" s="484"/>
      <c r="AN4" s="486"/>
      <c r="AO4" s="487"/>
      <c r="AP4" s="488"/>
      <c r="AQ4" s="489"/>
      <c r="AR4" s="485"/>
      <c r="AS4" s="484"/>
      <c r="AT4" s="490"/>
    </row>
    <row r="5" spans="1:46" s="450" customFormat="1" ht="18.75" customHeight="1" x14ac:dyDescent="0.3">
      <c r="A5" s="581" t="s">
        <v>99</v>
      </c>
      <c r="B5" s="725" t="s">
        <v>434</v>
      </c>
      <c r="C5" s="726"/>
      <c r="D5" s="727"/>
      <c r="E5" s="725" t="s">
        <v>170</v>
      </c>
      <c r="F5" s="726"/>
      <c r="G5" s="727"/>
      <c r="H5" s="725"/>
      <c r="I5" s="726"/>
      <c r="J5" s="727"/>
      <c r="K5" s="725" t="s">
        <v>171</v>
      </c>
      <c r="L5" s="726"/>
      <c r="M5" s="727"/>
      <c r="N5" s="725" t="s">
        <v>172</v>
      </c>
      <c r="O5" s="726"/>
      <c r="P5" s="727"/>
      <c r="Q5" s="725" t="s">
        <v>173</v>
      </c>
      <c r="R5" s="726"/>
      <c r="S5" s="727"/>
      <c r="T5" s="725"/>
      <c r="U5" s="726"/>
      <c r="V5" s="727"/>
      <c r="W5" s="650"/>
      <c r="X5" s="651"/>
      <c r="Y5" s="652"/>
      <c r="Z5" s="725" t="s">
        <v>174</v>
      </c>
      <c r="AA5" s="726"/>
      <c r="AB5" s="727"/>
      <c r="AC5" s="681"/>
      <c r="AD5" s="682"/>
      <c r="AE5" s="683"/>
      <c r="AF5" s="725" t="s">
        <v>67</v>
      </c>
      <c r="AG5" s="726"/>
      <c r="AH5" s="727"/>
      <c r="AI5" s="725" t="s">
        <v>72</v>
      </c>
      <c r="AJ5" s="726"/>
      <c r="AK5" s="727"/>
      <c r="AL5" s="725" t="s">
        <v>404</v>
      </c>
      <c r="AM5" s="726"/>
      <c r="AN5" s="727"/>
      <c r="AO5" s="734" t="s">
        <v>2</v>
      </c>
      <c r="AP5" s="735"/>
      <c r="AQ5" s="736"/>
      <c r="AR5" s="582" t="s">
        <v>280</v>
      </c>
      <c r="AS5" s="583"/>
      <c r="AT5" s="584"/>
    </row>
    <row r="6" spans="1:46" s="450" customFormat="1" ht="21" customHeight="1" x14ac:dyDescent="0.3">
      <c r="A6" s="585"/>
      <c r="B6" s="728" t="s">
        <v>175</v>
      </c>
      <c r="C6" s="729"/>
      <c r="D6" s="730"/>
      <c r="E6" s="728" t="s">
        <v>176</v>
      </c>
      <c r="F6" s="729"/>
      <c r="G6" s="730"/>
      <c r="H6" s="728" t="s">
        <v>386</v>
      </c>
      <c r="I6" s="729"/>
      <c r="J6" s="730"/>
      <c r="K6" s="728" t="s">
        <v>176</v>
      </c>
      <c r="L6" s="729"/>
      <c r="M6" s="730"/>
      <c r="N6" s="728" t="s">
        <v>177</v>
      </c>
      <c r="O6" s="729"/>
      <c r="P6" s="730"/>
      <c r="Q6" s="728" t="s">
        <v>89</v>
      </c>
      <c r="R6" s="729"/>
      <c r="S6" s="730"/>
      <c r="T6" s="728" t="s">
        <v>63</v>
      </c>
      <c r="U6" s="729"/>
      <c r="V6" s="730"/>
      <c r="W6" s="728" t="s">
        <v>65</v>
      </c>
      <c r="X6" s="729"/>
      <c r="Y6" s="730"/>
      <c r="Z6" s="728" t="s">
        <v>175</v>
      </c>
      <c r="AA6" s="729"/>
      <c r="AB6" s="730"/>
      <c r="AC6" s="728" t="s">
        <v>71</v>
      </c>
      <c r="AD6" s="729"/>
      <c r="AE6" s="730"/>
      <c r="AF6" s="728" t="s">
        <v>400</v>
      </c>
      <c r="AG6" s="729"/>
      <c r="AH6" s="730"/>
      <c r="AI6" s="728" t="s">
        <v>176</v>
      </c>
      <c r="AJ6" s="729"/>
      <c r="AK6" s="730"/>
      <c r="AL6" s="728" t="s">
        <v>176</v>
      </c>
      <c r="AM6" s="729"/>
      <c r="AN6" s="730"/>
      <c r="AO6" s="731" t="s">
        <v>281</v>
      </c>
      <c r="AP6" s="732"/>
      <c r="AQ6" s="733"/>
      <c r="AR6" s="586" t="s">
        <v>282</v>
      </c>
      <c r="AS6" s="587"/>
      <c r="AT6" s="588"/>
    </row>
    <row r="7" spans="1:46" s="450" customFormat="1" ht="18.75" customHeight="1" x14ac:dyDescent="0.3">
      <c r="A7" s="585"/>
      <c r="B7" s="585"/>
      <c r="C7" s="585"/>
      <c r="D7" s="589" t="s">
        <v>80</v>
      </c>
      <c r="E7" s="585"/>
      <c r="F7" s="585"/>
      <c r="G7" s="589" t="s">
        <v>80</v>
      </c>
      <c r="H7" s="585"/>
      <c r="I7" s="585"/>
      <c r="J7" s="589" t="s">
        <v>80</v>
      </c>
      <c r="K7" s="585"/>
      <c r="L7" s="585"/>
      <c r="M7" s="589" t="s">
        <v>80</v>
      </c>
      <c r="N7" s="585"/>
      <c r="O7" s="585"/>
      <c r="P7" s="589" t="s">
        <v>80</v>
      </c>
      <c r="Q7" s="585"/>
      <c r="R7" s="585"/>
      <c r="S7" s="589" t="s">
        <v>80</v>
      </c>
      <c r="T7" s="585"/>
      <c r="U7" s="585"/>
      <c r="V7" s="589" t="s">
        <v>80</v>
      </c>
      <c r="W7" s="585"/>
      <c r="X7" s="585"/>
      <c r="Y7" s="589" t="s">
        <v>80</v>
      </c>
      <c r="Z7" s="585"/>
      <c r="AA7" s="585"/>
      <c r="AB7" s="589" t="s">
        <v>80</v>
      </c>
      <c r="AC7" s="585"/>
      <c r="AD7" s="585"/>
      <c r="AE7" s="589" t="s">
        <v>80</v>
      </c>
      <c r="AF7" s="585"/>
      <c r="AG7" s="585"/>
      <c r="AH7" s="589" t="s">
        <v>80</v>
      </c>
      <c r="AI7" s="585"/>
      <c r="AJ7" s="585"/>
      <c r="AK7" s="589" t="s">
        <v>80</v>
      </c>
      <c r="AL7" s="585"/>
      <c r="AM7" s="585"/>
      <c r="AN7" s="589" t="s">
        <v>80</v>
      </c>
      <c r="AO7" s="585"/>
      <c r="AP7" s="585"/>
      <c r="AQ7" s="589" t="s">
        <v>80</v>
      </c>
      <c r="AR7" s="585"/>
      <c r="AS7" s="585"/>
      <c r="AT7" s="589" t="s">
        <v>80</v>
      </c>
    </row>
    <row r="8" spans="1:46" s="450" customFormat="1" ht="18.75" customHeight="1" x14ac:dyDescent="0.25">
      <c r="A8" s="590" t="s">
        <v>283</v>
      </c>
      <c r="B8" s="552">
        <v>2022</v>
      </c>
      <c r="C8" s="552">
        <v>2023</v>
      </c>
      <c r="D8" s="591" t="s">
        <v>82</v>
      </c>
      <c r="E8" s="552">
        <v>2022</v>
      </c>
      <c r="F8" s="552">
        <v>2023</v>
      </c>
      <c r="G8" s="591" t="s">
        <v>82</v>
      </c>
      <c r="H8" s="552">
        <v>2022</v>
      </c>
      <c r="I8" s="552">
        <v>2023</v>
      </c>
      <c r="J8" s="591" t="s">
        <v>82</v>
      </c>
      <c r="K8" s="552">
        <v>2022</v>
      </c>
      <c r="L8" s="552">
        <v>2023</v>
      </c>
      <c r="M8" s="591" t="s">
        <v>82</v>
      </c>
      <c r="N8" s="552">
        <v>2022</v>
      </c>
      <c r="O8" s="552">
        <v>2023</v>
      </c>
      <c r="P8" s="591" t="s">
        <v>82</v>
      </c>
      <c r="Q8" s="552">
        <v>2022</v>
      </c>
      <c r="R8" s="552">
        <v>2023</v>
      </c>
      <c r="S8" s="591" t="s">
        <v>82</v>
      </c>
      <c r="T8" s="552">
        <v>2022</v>
      </c>
      <c r="U8" s="552">
        <v>2023</v>
      </c>
      <c r="V8" s="591" t="s">
        <v>82</v>
      </c>
      <c r="W8" s="552">
        <v>2022</v>
      </c>
      <c r="X8" s="552">
        <v>2023</v>
      </c>
      <c r="Y8" s="591" t="s">
        <v>82</v>
      </c>
      <c r="Z8" s="552">
        <v>2022</v>
      </c>
      <c r="AA8" s="552">
        <v>2023</v>
      </c>
      <c r="AB8" s="591" t="s">
        <v>82</v>
      </c>
      <c r="AC8" s="552">
        <v>2022</v>
      </c>
      <c r="AD8" s="552">
        <v>2023</v>
      </c>
      <c r="AE8" s="591" t="s">
        <v>82</v>
      </c>
      <c r="AF8" s="552">
        <v>2022</v>
      </c>
      <c r="AG8" s="552">
        <v>2023</v>
      </c>
      <c r="AH8" s="591" t="s">
        <v>82</v>
      </c>
      <c r="AI8" s="552">
        <v>2022</v>
      </c>
      <c r="AJ8" s="552">
        <v>2023</v>
      </c>
      <c r="AK8" s="591" t="s">
        <v>82</v>
      </c>
      <c r="AL8" s="552">
        <v>2022</v>
      </c>
      <c r="AM8" s="552">
        <v>2023</v>
      </c>
      <c r="AN8" s="591" t="s">
        <v>82</v>
      </c>
      <c r="AO8" s="552">
        <v>2022</v>
      </c>
      <c r="AP8" s="552">
        <v>2023</v>
      </c>
      <c r="AQ8" s="591" t="s">
        <v>82</v>
      </c>
      <c r="AR8" s="552">
        <v>2022</v>
      </c>
      <c r="AS8" s="552">
        <v>2023</v>
      </c>
      <c r="AT8" s="591" t="s">
        <v>82</v>
      </c>
    </row>
    <row r="9" spans="1:46" s="450" customFormat="1" ht="18.75" customHeight="1" x14ac:dyDescent="0.3">
      <c r="A9" s="585" t="s">
        <v>284</v>
      </c>
      <c r="B9" s="592"/>
      <c r="C9" s="514"/>
      <c r="D9" s="516"/>
      <c r="E9" s="592"/>
      <c r="F9" s="514"/>
      <c r="G9" s="516"/>
      <c r="H9" s="592"/>
      <c r="I9" s="514"/>
      <c r="J9" s="516"/>
      <c r="K9" s="592"/>
      <c r="L9" s="514"/>
      <c r="M9" s="516"/>
      <c r="N9" s="592"/>
      <c r="O9" s="514"/>
      <c r="P9" s="514"/>
      <c r="Q9" s="692"/>
      <c r="R9" s="492"/>
      <c r="S9" s="516"/>
      <c r="T9" s="593"/>
      <c r="U9" s="516"/>
      <c r="V9" s="516"/>
      <c r="W9" s="592"/>
      <c r="X9" s="514"/>
      <c r="Y9" s="516"/>
      <c r="Z9" s="593"/>
      <c r="AA9" s="516"/>
      <c r="AB9" s="516"/>
      <c r="AC9" s="592"/>
      <c r="AD9" s="514"/>
      <c r="AE9" s="516"/>
      <c r="AF9" s="592"/>
      <c r="AG9" s="514"/>
      <c r="AH9" s="516"/>
      <c r="AI9" s="592"/>
      <c r="AJ9" s="514"/>
      <c r="AK9" s="516"/>
      <c r="AL9" s="592"/>
      <c r="AM9" s="514"/>
      <c r="AN9" s="516"/>
      <c r="AO9" s="516"/>
      <c r="AP9" s="516"/>
      <c r="AQ9" s="516"/>
      <c r="AR9" s="594"/>
      <c r="AS9" s="594"/>
      <c r="AT9" s="594"/>
    </row>
    <row r="10" spans="1:46" s="451" customFormat="1" ht="18.75" customHeight="1" x14ac:dyDescent="0.3">
      <c r="A10" s="580" t="s">
        <v>423</v>
      </c>
      <c r="B10" s="595"/>
      <c r="C10" s="434"/>
      <c r="D10" s="340"/>
      <c r="E10" s="595"/>
      <c r="F10" s="434"/>
      <c r="G10" s="340"/>
      <c r="H10" s="595"/>
      <c r="I10" s="434"/>
      <c r="J10" s="340"/>
      <c r="K10" s="595"/>
      <c r="L10" s="434"/>
      <c r="M10" s="340"/>
      <c r="N10" s="595"/>
      <c r="O10" s="434"/>
      <c r="P10" s="434"/>
      <c r="Q10" s="693"/>
      <c r="R10" s="493"/>
      <c r="S10" s="340"/>
      <c r="T10" s="597"/>
      <c r="U10" s="340"/>
      <c r="V10" s="340"/>
      <c r="W10" s="595"/>
      <c r="X10" s="434"/>
      <c r="Y10" s="340"/>
      <c r="Z10" s="597"/>
      <c r="AA10" s="340"/>
      <c r="AB10" s="340"/>
      <c r="AC10" s="595"/>
      <c r="AD10" s="434"/>
      <c r="AE10" s="340"/>
      <c r="AF10" s="595"/>
      <c r="AG10" s="434"/>
      <c r="AH10" s="340"/>
      <c r="AI10" s="595"/>
      <c r="AJ10" s="434"/>
      <c r="AK10" s="340"/>
      <c r="AL10" s="595"/>
      <c r="AM10" s="434"/>
      <c r="AN10" s="340"/>
      <c r="AO10" s="340"/>
      <c r="AP10" s="340"/>
      <c r="AQ10" s="340"/>
      <c r="AR10" s="598"/>
      <c r="AS10" s="598"/>
      <c r="AT10" s="598"/>
    </row>
    <row r="11" spans="1:46" s="451" customFormat="1" ht="18.75" customHeight="1" x14ac:dyDescent="0.3">
      <c r="A11" s="580" t="s">
        <v>285</v>
      </c>
      <c r="B11" s="597">
        <f>1385.969-5.779</f>
        <v>1380.19</v>
      </c>
      <c r="C11" s="340"/>
      <c r="D11" s="340">
        <f t="shared" ref="D11:D16" si="0">IF(B11=0, "    ---- ", IF(ABS(ROUND(100/B11*C11-100,1))&lt;999,ROUND(100/B11*C11-100,1),IF(ROUND(100/B11*C11-100,1)&gt;999,999,-999)))</f>
        <v>-100</v>
      </c>
      <c r="E11" s="597">
        <v>4703.7395008799995</v>
      </c>
      <c r="F11" s="340">
        <v>5127.5727535599999</v>
      </c>
      <c r="G11" s="340">
        <f t="shared" ref="G11:G17" si="1">IF(E11=0, "    ---- ", IF(ABS(ROUND(100/E11*F11-100,1))&lt;999,ROUND(100/E11*F11-100,1),IF(ROUND(100/E11*F11-100,1)&gt;999,999,-999)))</f>
        <v>9</v>
      </c>
      <c r="H11" s="597">
        <v>997.53344979999997</v>
      </c>
      <c r="I11" s="340">
        <v>1073.0959974</v>
      </c>
      <c r="J11" s="340">
        <f t="shared" ref="J11:J17" si="2">IF(H11=0, "    ---- ", IF(ABS(ROUND(100/H11*I11-100,1))&lt;999,ROUND(100/H11*I11-100,1),IF(ROUND(100/H11*I11-100,1)&gt;999,999,-999)))</f>
        <v>7.6</v>
      </c>
      <c r="K11" s="597">
        <v>624.26700000000005</v>
      </c>
      <c r="L11" s="340">
        <v>674.995</v>
      </c>
      <c r="M11" s="340">
        <f t="shared" ref="M11:M15" si="3">IF(K11=0, "    ---- ", IF(ABS(ROUND(100/K11*L11-100,1))&lt;999,ROUND(100/K11*L11-100,1),IF(ROUND(100/K11*L11-100,1)&gt;999,999,-999)))</f>
        <v>8.1</v>
      </c>
      <c r="N11" s="597">
        <v>1258</v>
      </c>
      <c r="O11" s="340">
        <v>1708</v>
      </c>
      <c r="P11" s="340">
        <f t="shared" ref="P11:P16" si="4">IF(N11=0, "    ---- ", IF(ABS(ROUND(100/N11*O11-100,1))&lt;999,ROUND(100/N11*O11-100,1),IF(ROUND(100/N11*O11-100,1)&gt;999,999,-999)))</f>
        <v>35.799999999999997</v>
      </c>
      <c r="Q11" s="196">
        <v>8.7331529000000003</v>
      </c>
      <c r="R11" s="340"/>
      <c r="S11" s="340">
        <f>IF(Q11=0, "    ---- ", IF(ABS(ROUND(100/Q11*R11-100,1))&lt;999,ROUND(100/Q11*R11-100,1),IF(ROUND(100/Q11*R11-100,1)&gt;999,999,-999)))</f>
        <v>-100</v>
      </c>
      <c r="T11" s="597">
        <v>7126.48737506</v>
      </c>
      <c r="U11" s="340">
        <v>7572.3346326800001</v>
      </c>
      <c r="V11" s="340">
        <f t="shared" ref="V11:V17" si="5">IF(T11=0, "    ---- ", IF(ABS(ROUND(100/T11*U11-100,1))&lt;999,ROUND(100/T11*U11-100,1),IF(ROUND(100/T11*U11-100,1)&gt;999,999,-999)))</f>
        <v>6.3</v>
      </c>
      <c r="W11" s="597">
        <v>4966.93</v>
      </c>
      <c r="X11" s="340">
        <v>4813.2438217500003</v>
      </c>
      <c r="Y11" s="340">
        <f t="shared" ref="Y11:Y17" si="6">IF(W11=0, "    ---- ", IF(ABS(ROUND(100/W11*X11-100,1))&lt;999,ROUND(100/W11*X11-100,1),IF(ROUND(100/W11*X11-100,1)&gt;999,999,-999)))</f>
        <v>-3.1</v>
      </c>
      <c r="Z11" s="597">
        <v>1185</v>
      </c>
      <c r="AA11" s="340">
        <v>1068</v>
      </c>
      <c r="AB11" s="340">
        <f t="shared" ref="AB11:AB17" si="7">IF(Z11=0, "    ---- ", IF(ABS(ROUND(100/Z11*AA11-100,1))&lt;999,ROUND(100/Z11*AA11-100,1),IF(ROUND(100/Z11*AA11-100,1)&gt;999,999,-999)))</f>
        <v>-9.9</v>
      </c>
      <c r="AC11" s="196">
        <v>31.856324619999999</v>
      </c>
      <c r="AD11" s="340"/>
      <c r="AE11" s="340">
        <f t="shared" ref="AE11:AE16" si="8">IF(AC11=0, "    ---- ", IF(ABS(ROUND(100/AC11*AD11-100,1))&lt;999,ROUND(100/AC11*AD11-100,1),IF(ROUND(100/AC11*AD11-100,1)&gt;999,999,-999)))</f>
        <v>-100</v>
      </c>
      <c r="AF11" s="597">
        <v>1773.6672652499994</v>
      </c>
      <c r="AG11" s="340">
        <v>1996.59005673</v>
      </c>
      <c r="AH11" s="340">
        <f t="shared" ref="AH11:AH17" si="9">IF(AF11=0, "    ---- ", IF(ABS(ROUND(100/AF11*AG11-100,1))&lt;999,ROUND(100/AF11*AG11-100,1),IF(ROUND(100/AF11*AG11-100,1)&gt;999,999,-999)))</f>
        <v>12.6</v>
      </c>
      <c r="AI11" s="597">
        <v>5590</v>
      </c>
      <c r="AJ11" s="340">
        <v>7370</v>
      </c>
      <c r="AK11" s="340">
        <f t="shared" ref="AK11:AK17" si="10">IF(AI11=0, "    ---- ", IF(ABS(ROUND(100/AI11*AJ11-100,1))&lt;999,ROUND(100/AI11*AJ11-100,1),IF(ROUND(100/AI11*AJ11-100,1)&gt;999,999,-999)))</f>
        <v>31.8</v>
      </c>
      <c r="AL11" s="597">
        <v>0.9</v>
      </c>
      <c r="AM11" s="340">
        <v>2</v>
      </c>
      <c r="AN11" s="340">
        <f t="shared" ref="AN11:AN14" si="11">IF(AL11=0, "    ---- ", IF(ABS(ROUND(100/AL11*AM11-100,1))&lt;999,ROUND(100/AL11*AM11-100,1),IF(ROUND(100/AL11*AM11-100,1)&gt;999,999,-999)))</f>
        <v>122.2</v>
      </c>
      <c r="AO11" s="340">
        <f>B11+E11+H11+K11+N11+T11+W11+Z11+AF11+AI11</f>
        <v>29605.814590989998</v>
      </c>
      <c r="AP11" s="340">
        <f>C11+F11+I11+L11+O11+U11+X11+AA11+AG11+AJ11</f>
        <v>31403.832262120002</v>
      </c>
      <c r="AQ11" s="340">
        <f t="shared" ref="AQ11:AQ46" si="12">IF(AO11=0, "    ---- ", IF(ABS(ROUND(100/AO11*AP11-100,1))&lt;999,ROUND(100/AO11*AP11-100,1),IF(ROUND(100/AO11*AP11-100,1)&gt;999,999,-999)))</f>
        <v>6.1</v>
      </c>
      <c r="AR11" s="438">
        <f>+B11+E11+H11+K11+N11+Q11+T11+W11+Z11+AC11+AF11+AI11+AL11</f>
        <v>29647.304068509999</v>
      </c>
      <c r="AS11" s="438">
        <f>+C11+F11+I11+L11+O11+R11+U11+X11+AA11+AD11+AG11+AJ11+AM11</f>
        <v>31405.832262120002</v>
      </c>
      <c r="AT11" s="340">
        <f t="shared" ref="AT11:AT17" si="13">IF(AR11=0, "    ---- ", IF(ABS(ROUND(100/AR11*AS11-100,1))&lt;999,ROUND(100/AR11*AS11-100,1),IF(ROUND(100/AR11*AS11-100,1)&gt;999,999,-999)))</f>
        <v>5.9</v>
      </c>
    </row>
    <row r="12" spans="1:46" s="451" customFormat="1" ht="18.75" customHeight="1" x14ac:dyDescent="0.3">
      <c r="A12" s="580" t="s">
        <v>286</v>
      </c>
      <c r="B12" s="597">
        <v>-60.652999999999999</v>
      </c>
      <c r="C12" s="340"/>
      <c r="D12" s="340">
        <f t="shared" si="0"/>
        <v>-100</v>
      </c>
      <c r="E12" s="597">
        <v>-140.93150361000002</v>
      </c>
      <c r="F12" s="340">
        <v>-152.31609930000002</v>
      </c>
      <c r="G12" s="340">
        <f t="shared" si="1"/>
        <v>8.1</v>
      </c>
      <c r="H12" s="597">
        <v>-38.941886439999998</v>
      </c>
      <c r="I12" s="340">
        <v>-13.678208830000001</v>
      </c>
      <c r="J12" s="340">
        <f t="shared" si="2"/>
        <v>-64.900000000000006</v>
      </c>
      <c r="K12" s="597">
        <v>-7.6369999999999996</v>
      </c>
      <c r="L12" s="340">
        <v>-8.1769999999999996</v>
      </c>
      <c r="M12" s="340">
        <f t="shared" si="3"/>
        <v>7.1</v>
      </c>
      <c r="N12" s="597">
        <v>-30</v>
      </c>
      <c r="O12" s="340">
        <v>-30</v>
      </c>
      <c r="P12" s="340">
        <f t="shared" si="4"/>
        <v>0</v>
      </c>
      <c r="Q12" s="196"/>
      <c r="R12" s="340"/>
      <c r="S12" s="340"/>
      <c r="T12" s="597">
        <v>0</v>
      </c>
      <c r="U12" s="340">
        <v>0</v>
      </c>
      <c r="V12" s="340" t="str">
        <f t="shared" si="5"/>
        <v xml:space="preserve">    ---- </v>
      </c>
      <c r="W12" s="597">
        <v>-23.24</v>
      </c>
      <c r="X12" s="340">
        <v>-35.08</v>
      </c>
      <c r="Y12" s="340">
        <f t="shared" si="6"/>
        <v>50.9</v>
      </c>
      <c r="Z12" s="597"/>
      <c r="AA12" s="340"/>
      <c r="AB12" s="340"/>
      <c r="AC12" s="196"/>
      <c r="AD12" s="340"/>
      <c r="AE12" s="340"/>
      <c r="AF12" s="597">
        <v>-1.831</v>
      </c>
      <c r="AG12" s="340">
        <v>-1.94</v>
      </c>
      <c r="AH12" s="340">
        <f t="shared" si="9"/>
        <v>6</v>
      </c>
      <c r="AI12" s="597">
        <v>-7</v>
      </c>
      <c r="AJ12" s="340">
        <v>-29</v>
      </c>
      <c r="AK12" s="340">
        <f t="shared" si="10"/>
        <v>314.3</v>
      </c>
      <c r="AL12" s="597">
        <v>0</v>
      </c>
      <c r="AM12" s="340">
        <v>-1</v>
      </c>
      <c r="AN12" s="340" t="str">
        <f t="shared" si="11"/>
        <v xml:space="preserve">    ---- </v>
      </c>
      <c r="AO12" s="340">
        <f t="shared" ref="AO12:AP46" si="14">B12+E12+H12+K12+N12+T12+W12+Z12+AF12+AI12</f>
        <v>-310.23439005</v>
      </c>
      <c r="AP12" s="340">
        <f t="shared" si="14"/>
        <v>-270.19130812999998</v>
      </c>
      <c r="AQ12" s="340">
        <f t="shared" si="12"/>
        <v>-12.9</v>
      </c>
      <c r="AR12" s="438">
        <f t="shared" ref="AR12:AS17" si="15">+B12+E12+H12+K12+N12+Q12+T12+W12+Z12+AC12+AF12+AI12+AL12</f>
        <v>-310.23439005</v>
      </c>
      <c r="AS12" s="438">
        <f t="shared" si="15"/>
        <v>-271.19130812999998</v>
      </c>
      <c r="AT12" s="340">
        <f t="shared" si="13"/>
        <v>-12.6</v>
      </c>
    </row>
    <row r="13" spans="1:46" s="451" customFormat="1" ht="18.75" customHeight="1" x14ac:dyDescent="0.3">
      <c r="A13" s="580" t="s">
        <v>408</v>
      </c>
      <c r="B13" s="597">
        <v>2028.5930000000001</v>
      </c>
      <c r="C13" s="340"/>
      <c r="D13" s="340">
        <f t="shared" si="0"/>
        <v>-100</v>
      </c>
      <c r="E13" s="597">
        <v>4133.3255253199995</v>
      </c>
      <c r="F13" s="340">
        <v>3034.6358938799995</v>
      </c>
      <c r="G13" s="340">
        <f t="shared" si="1"/>
        <v>-26.6</v>
      </c>
      <c r="H13" s="597"/>
      <c r="I13" s="340"/>
      <c r="J13" s="340"/>
      <c r="K13" s="597"/>
      <c r="L13" s="340"/>
      <c r="M13" s="340"/>
      <c r="N13" s="597">
        <v>1712</v>
      </c>
      <c r="O13" s="340">
        <v>2969</v>
      </c>
      <c r="P13" s="340">
        <f t="shared" si="4"/>
        <v>73.400000000000006</v>
      </c>
      <c r="Q13" s="196"/>
      <c r="R13" s="340"/>
      <c r="S13" s="340"/>
      <c r="T13" s="597">
        <v>376.44052900000003</v>
      </c>
      <c r="U13" s="340">
        <v>91.093686000000005</v>
      </c>
      <c r="V13" s="340">
        <f t="shared" si="5"/>
        <v>-75.8</v>
      </c>
      <c r="W13" s="597">
        <v>2217.63</v>
      </c>
      <c r="X13" s="340">
        <v>2076.33</v>
      </c>
      <c r="Y13" s="340">
        <f t="shared" si="6"/>
        <v>-6.4</v>
      </c>
      <c r="Z13" s="597"/>
      <c r="AA13" s="340"/>
      <c r="AB13" s="340"/>
      <c r="AC13" s="196">
        <v>12.440028999999999</v>
      </c>
      <c r="AD13" s="340"/>
      <c r="AE13" s="340">
        <f t="shared" si="8"/>
        <v>-100</v>
      </c>
      <c r="AF13" s="597">
        <v>1454.20230803</v>
      </c>
      <c r="AG13" s="340">
        <v>1244.1698677700006</v>
      </c>
      <c r="AH13" s="340">
        <f t="shared" si="9"/>
        <v>-14.4</v>
      </c>
      <c r="AI13" s="597">
        <v>4815</v>
      </c>
      <c r="AJ13" s="340">
        <v>3997</v>
      </c>
      <c r="AK13" s="340">
        <f t="shared" si="10"/>
        <v>-17</v>
      </c>
      <c r="AL13" s="597"/>
      <c r="AM13" s="340"/>
      <c r="AN13" s="340"/>
      <c r="AO13" s="340">
        <f t="shared" si="14"/>
        <v>16737.19136235</v>
      </c>
      <c r="AP13" s="340">
        <f t="shared" si="14"/>
        <v>13412.229447649999</v>
      </c>
      <c r="AQ13" s="340">
        <f t="shared" si="12"/>
        <v>-19.899999999999999</v>
      </c>
      <c r="AR13" s="438">
        <f t="shared" si="15"/>
        <v>16749.631391349998</v>
      </c>
      <c r="AS13" s="438">
        <f t="shared" si="15"/>
        <v>13412.229447649999</v>
      </c>
      <c r="AT13" s="340">
        <f t="shared" si="13"/>
        <v>-19.899999999999999</v>
      </c>
    </row>
    <row r="14" spans="1:46" s="451" customFormat="1" ht="18.75" customHeight="1" x14ac:dyDescent="0.3">
      <c r="A14" s="580" t="s">
        <v>287</v>
      </c>
      <c r="B14" s="599">
        <f>SUM(B11:B13)</f>
        <v>3348.13</v>
      </c>
      <c r="C14" s="553"/>
      <c r="D14" s="340">
        <f t="shared" si="0"/>
        <v>-100</v>
      </c>
      <c r="E14" s="595">
        <v>8696.1335225900002</v>
      </c>
      <c r="F14" s="434">
        <f>SUM(F11:F13)</f>
        <v>8009.8925481399992</v>
      </c>
      <c r="G14" s="340">
        <f t="shared" si="1"/>
        <v>-7.9</v>
      </c>
      <c r="H14" s="595">
        <v>958.59156336000001</v>
      </c>
      <c r="I14" s="434">
        <f>SUM(I11:I13)</f>
        <v>1059.4177885700001</v>
      </c>
      <c r="J14" s="340">
        <f t="shared" si="2"/>
        <v>10.5</v>
      </c>
      <c r="K14" s="595">
        <v>616.63000000000011</v>
      </c>
      <c r="L14" s="434">
        <f>SUM(L11:L13)</f>
        <v>666.81799999999998</v>
      </c>
      <c r="M14" s="340">
        <f t="shared" si="3"/>
        <v>8.1</v>
      </c>
      <c r="N14" s="595">
        <v>2940</v>
      </c>
      <c r="O14" s="434">
        <f>SUM(O11:O13)</f>
        <v>4647</v>
      </c>
      <c r="P14" s="340">
        <f t="shared" si="4"/>
        <v>58.1</v>
      </c>
      <c r="Q14" s="104">
        <v>8.7331529000000003</v>
      </c>
      <c r="R14" s="434"/>
      <c r="S14" s="340">
        <f>IF(Q14=0, "    ---- ", IF(ABS(ROUND(100/Q14*R14-100,1))&lt;999,ROUND(100/Q14*R14-100,1),IF(ROUND(100/Q14*R14-100,1)&gt;999,999,-999)))</f>
        <v>-100</v>
      </c>
      <c r="T14" s="104">
        <v>7502.9279040600004</v>
      </c>
      <c r="U14" s="434">
        <v>7663.4283186800003</v>
      </c>
      <c r="V14" s="340">
        <f t="shared" si="5"/>
        <v>2.1</v>
      </c>
      <c r="W14" s="595">
        <v>7161.3200000000006</v>
      </c>
      <c r="X14" s="434">
        <f>SUM(X11:X13)</f>
        <v>6854.4938217500003</v>
      </c>
      <c r="Y14" s="340">
        <f t="shared" si="6"/>
        <v>-4.3</v>
      </c>
      <c r="Z14" s="595">
        <v>1185</v>
      </c>
      <c r="AA14" s="434">
        <f>SUM(AA11:AA13)</f>
        <v>1068</v>
      </c>
      <c r="AB14" s="340">
        <f t="shared" si="7"/>
        <v>-9.9</v>
      </c>
      <c r="AC14" s="104">
        <v>44.296353619999998</v>
      </c>
      <c r="AD14" s="434"/>
      <c r="AE14" s="340">
        <f t="shared" si="8"/>
        <v>-100</v>
      </c>
      <c r="AF14" s="595">
        <v>3226.0385732799996</v>
      </c>
      <c r="AG14" s="434">
        <f>SUM(AG11:AG13)</f>
        <v>3238.8199245000005</v>
      </c>
      <c r="AH14" s="340">
        <f t="shared" si="9"/>
        <v>0.4</v>
      </c>
      <c r="AI14" s="595">
        <v>10398</v>
      </c>
      <c r="AJ14" s="434">
        <f>SUM(AJ11:AJ13)</f>
        <v>11338</v>
      </c>
      <c r="AK14" s="340">
        <f t="shared" si="10"/>
        <v>9</v>
      </c>
      <c r="AL14" s="595">
        <v>0.9</v>
      </c>
      <c r="AM14" s="434">
        <f>SUM(AM11:AM13)</f>
        <v>1</v>
      </c>
      <c r="AN14" s="340">
        <f t="shared" si="11"/>
        <v>11.1</v>
      </c>
      <c r="AO14" s="340">
        <f t="shared" si="14"/>
        <v>46032.77156329</v>
      </c>
      <c r="AP14" s="340">
        <f t="shared" si="14"/>
        <v>44545.870401640001</v>
      </c>
      <c r="AQ14" s="340">
        <f t="shared" si="12"/>
        <v>-3.2</v>
      </c>
      <c r="AR14" s="438">
        <f t="shared" si="15"/>
        <v>46086.701069810006</v>
      </c>
      <c r="AS14" s="438">
        <f t="shared" si="15"/>
        <v>44546.870401640001</v>
      </c>
      <c r="AT14" s="340">
        <f t="shared" si="13"/>
        <v>-3.3</v>
      </c>
    </row>
    <row r="15" spans="1:46" s="451" customFormat="1" ht="18.75" customHeight="1" x14ac:dyDescent="0.3">
      <c r="A15" s="580" t="s">
        <v>288</v>
      </c>
      <c r="B15" s="196">
        <v>6.3520000000000003</v>
      </c>
      <c r="C15" s="438"/>
      <c r="D15" s="340">
        <f t="shared" si="0"/>
        <v>-100</v>
      </c>
      <c r="E15" s="196">
        <v>-431.80428736999971</v>
      </c>
      <c r="F15" s="438">
        <v>2125.7301604600002</v>
      </c>
      <c r="G15" s="340">
        <f t="shared" si="1"/>
        <v>-592.29999999999995</v>
      </c>
      <c r="H15" s="600">
        <v>-64.779416500000011</v>
      </c>
      <c r="I15" s="517">
        <v>118.26666369</v>
      </c>
      <c r="J15" s="340">
        <f t="shared" si="2"/>
        <v>-282.60000000000002</v>
      </c>
      <c r="K15" s="600">
        <v>-16.280999999999999</v>
      </c>
      <c r="L15" s="517">
        <v>24.059000000000001</v>
      </c>
      <c r="M15" s="340">
        <f t="shared" si="3"/>
        <v>-247.8</v>
      </c>
      <c r="N15" s="196">
        <v>66</v>
      </c>
      <c r="O15" s="438">
        <v>52</v>
      </c>
      <c r="P15" s="340">
        <f t="shared" si="4"/>
        <v>-21.2</v>
      </c>
      <c r="Q15" s="601"/>
      <c r="R15" s="515"/>
      <c r="S15" s="340"/>
      <c r="T15" s="196">
        <v>-4920.52706038</v>
      </c>
      <c r="U15" s="438">
        <v>16275.011707950001</v>
      </c>
      <c r="V15" s="340">
        <f t="shared" si="5"/>
        <v>-430.8</v>
      </c>
      <c r="W15" s="196">
        <v>378.5</v>
      </c>
      <c r="X15" s="438">
        <v>611.54547864999995</v>
      </c>
      <c r="Y15" s="340">
        <f t="shared" si="6"/>
        <v>61.6</v>
      </c>
      <c r="Z15" s="196">
        <v>-479</v>
      </c>
      <c r="AA15" s="438">
        <v>2681</v>
      </c>
      <c r="AB15" s="340">
        <f t="shared" si="7"/>
        <v>-659.7</v>
      </c>
      <c r="AC15" s="601"/>
      <c r="AD15" s="515"/>
      <c r="AE15" s="340"/>
      <c r="AF15" s="602">
        <v>-49.030300649999994</v>
      </c>
      <c r="AG15" s="494">
        <v>479.14729225999992</v>
      </c>
      <c r="AH15" s="340">
        <f t="shared" si="9"/>
        <v>-999</v>
      </c>
      <c r="AI15" s="196">
        <v>-3245</v>
      </c>
      <c r="AJ15" s="438">
        <v>2151</v>
      </c>
      <c r="AK15" s="340">
        <f t="shared" si="10"/>
        <v>-166.3</v>
      </c>
      <c r="AL15" s="196"/>
      <c r="AM15" s="438"/>
      <c r="AN15" s="340"/>
      <c r="AO15" s="340">
        <f t="shared" si="14"/>
        <v>-8755.5700648999991</v>
      </c>
      <c r="AP15" s="340">
        <f t="shared" si="14"/>
        <v>24517.760303010004</v>
      </c>
      <c r="AQ15" s="340">
        <f t="shared" si="12"/>
        <v>-380</v>
      </c>
      <c r="AR15" s="438">
        <f t="shared" si="15"/>
        <v>-8755.5700648999991</v>
      </c>
      <c r="AS15" s="438">
        <f t="shared" si="15"/>
        <v>24517.760303010004</v>
      </c>
      <c r="AT15" s="340">
        <f t="shared" si="13"/>
        <v>-380</v>
      </c>
    </row>
    <row r="16" spans="1:46" s="451" customFormat="1" ht="18.75" customHeight="1" x14ac:dyDescent="0.3">
      <c r="A16" s="580" t="s">
        <v>289</v>
      </c>
      <c r="B16" s="196">
        <v>1863.248</v>
      </c>
      <c r="C16" s="438"/>
      <c r="D16" s="340">
        <f t="shared" si="0"/>
        <v>-100</v>
      </c>
      <c r="E16" s="196">
        <v>-4452.3163567299989</v>
      </c>
      <c r="F16" s="438">
        <v>6273.9597932099996</v>
      </c>
      <c r="G16" s="340">
        <f t="shared" si="1"/>
        <v>-240.9</v>
      </c>
      <c r="H16" s="600"/>
      <c r="I16" s="517"/>
      <c r="J16" s="340"/>
      <c r="K16" s="600"/>
      <c r="L16" s="517"/>
      <c r="M16" s="340"/>
      <c r="N16" s="196">
        <v>-1759</v>
      </c>
      <c r="O16" s="438">
        <v>2621</v>
      </c>
      <c r="P16" s="434">
        <f t="shared" si="4"/>
        <v>-249</v>
      </c>
      <c r="Q16" s="601"/>
      <c r="R16" s="515"/>
      <c r="S16" s="603"/>
      <c r="T16" s="196">
        <v>-23.971554859999998</v>
      </c>
      <c r="U16" s="438">
        <v>87.538414720000006</v>
      </c>
      <c r="V16" s="603">
        <f t="shared" si="5"/>
        <v>-465.2</v>
      </c>
      <c r="W16" s="196">
        <v>-5323</v>
      </c>
      <c r="X16" s="438">
        <v>6656.9155857300002</v>
      </c>
      <c r="Y16" s="340">
        <f t="shared" si="6"/>
        <v>-225.1</v>
      </c>
      <c r="Z16" s="196"/>
      <c r="AA16" s="438"/>
      <c r="AB16" s="340"/>
      <c r="AC16" s="600">
        <v>-247.75214170000001</v>
      </c>
      <c r="AD16" s="515"/>
      <c r="AE16" s="340">
        <f t="shared" si="8"/>
        <v>-100</v>
      </c>
      <c r="AF16" s="602">
        <v>-2226.9117214900007</v>
      </c>
      <c r="AG16" s="494">
        <v>2991.5478926699993</v>
      </c>
      <c r="AH16" s="340">
        <f t="shared" si="9"/>
        <v>-234.3</v>
      </c>
      <c r="AI16" s="196">
        <v>-4420</v>
      </c>
      <c r="AJ16" s="438">
        <v>8791</v>
      </c>
      <c r="AK16" s="340">
        <f t="shared" si="10"/>
        <v>-298.89999999999998</v>
      </c>
      <c r="AL16" s="196"/>
      <c r="AM16" s="438"/>
      <c r="AN16" s="340"/>
      <c r="AO16" s="340">
        <f t="shared" si="14"/>
        <v>-16341.95163308</v>
      </c>
      <c r="AP16" s="340">
        <f t="shared" si="14"/>
        <v>27421.96168633</v>
      </c>
      <c r="AQ16" s="340">
        <f t="shared" si="12"/>
        <v>-267.8</v>
      </c>
      <c r="AR16" s="438">
        <f t="shared" si="15"/>
        <v>-16589.703774779999</v>
      </c>
      <c r="AS16" s="438">
        <f t="shared" si="15"/>
        <v>27421.96168633</v>
      </c>
      <c r="AT16" s="340">
        <f t="shared" si="13"/>
        <v>-265.3</v>
      </c>
    </row>
    <row r="17" spans="1:46" s="451" customFormat="1" ht="18.75" customHeight="1" x14ac:dyDescent="0.3">
      <c r="A17" s="580" t="s">
        <v>290</v>
      </c>
      <c r="B17" s="196"/>
      <c r="C17" s="438"/>
      <c r="D17" s="340"/>
      <c r="E17" s="196">
        <v>12.39500245</v>
      </c>
      <c r="F17" s="438">
        <v>18.745343010000003</v>
      </c>
      <c r="G17" s="340">
        <f t="shared" si="1"/>
        <v>51.2</v>
      </c>
      <c r="H17" s="600">
        <v>2</v>
      </c>
      <c r="I17" s="517">
        <v>2.76329</v>
      </c>
      <c r="J17" s="340">
        <f t="shared" si="2"/>
        <v>38.200000000000003</v>
      </c>
      <c r="K17" s="600"/>
      <c r="L17" s="517"/>
      <c r="M17" s="340"/>
      <c r="N17" s="196">
        <v>58</v>
      </c>
      <c r="O17" s="438">
        <v>63</v>
      </c>
      <c r="P17" s="340"/>
      <c r="Q17" s="601"/>
      <c r="R17" s="515"/>
      <c r="S17" s="340"/>
      <c r="T17" s="196">
        <v>331.17306100000002</v>
      </c>
      <c r="U17" s="438">
        <v>342.328394</v>
      </c>
      <c r="V17" s="340">
        <f t="shared" si="5"/>
        <v>3.4</v>
      </c>
      <c r="W17" s="196">
        <v>63.52</v>
      </c>
      <c r="X17" s="438">
        <v>76.137095049999999</v>
      </c>
      <c r="Y17" s="340">
        <f t="shared" si="6"/>
        <v>19.899999999999999</v>
      </c>
      <c r="Z17" s="196">
        <v>10</v>
      </c>
      <c r="AA17" s="438">
        <v>9</v>
      </c>
      <c r="AB17" s="340">
        <f t="shared" si="7"/>
        <v>-10</v>
      </c>
      <c r="AC17" s="601"/>
      <c r="AD17" s="515"/>
      <c r="AE17" s="340"/>
      <c r="AF17" s="602">
        <v>81.690472630000002</v>
      </c>
      <c r="AG17" s="494">
        <v>83.857706760000042</v>
      </c>
      <c r="AH17" s="340">
        <f t="shared" si="9"/>
        <v>2.7</v>
      </c>
      <c r="AI17" s="196">
        <v>188</v>
      </c>
      <c r="AJ17" s="438">
        <v>201</v>
      </c>
      <c r="AK17" s="340">
        <f t="shared" si="10"/>
        <v>6.9</v>
      </c>
      <c r="AL17" s="196"/>
      <c r="AM17" s="438"/>
      <c r="AN17" s="340"/>
      <c r="AO17" s="340">
        <f t="shared" si="14"/>
        <v>746.77853607999998</v>
      </c>
      <c r="AP17" s="340">
        <f t="shared" si="14"/>
        <v>796.83182882000006</v>
      </c>
      <c r="AQ17" s="340">
        <f t="shared" si="12"/>
        <v>6.7</v>
      </c>
      <c r="AR17" s="438">
        <f t="shared" si="15"/>
        <v>746.77853607999998</v>
      </c>
      <c r="AS17" s="438">
        <f t="shared" si="15"/>
        <v>796.83182882000006</v>
      </c>
      <c r="AT17" s="340">
        <f t="shared" si="13"/>
        <v>6.7</v>
      </c>
    </row>
    <row r="18" spans="1:46" s="451" customFormat="1" ht="18.75" customHeight="1" x14ac:dyDescent="0.3">
      <c r="A18" s="580" t="s">
        <v>291</v>
      </c>
      <c r="B18" s="196"/>
      <c r="C18" s="438"/>
      <c r="D18" s="340"/>
      <c r="E18" s="196"/>
      <c r="F18" s="438"/>
      <c r="G18" s="340"/>
      <c r="H18" s="600"/>
      <c r="I18" s="517"/>
      <c r="J18" s="340"/>
      <c r="K18" s="600"/>
      <c r="L18" s="517"/>
      <c r="M18" s="340"/>
      <c r="N18" s="196"/>
      <c r="O18" s="438"/>
      <c r="P18" s="434"/>
      <c r="Q18" s="601"/>
      <c r="R18" s="515"/>
      <c r="S18" s="340"/>
      <c r="T18" s="196"/>
      <c r="U18" s="438"/>
      <c r="V18" s="340"/>
      <c r="W18" s="604"/>
      <c r="X18" s="495"/>
      <c r="Y18" s="340"/>
      <c r="Z18" s="196"/>
      <c r="AA18" s="438"/>
      <c r="AB18" s="340"/>
      <c r="AC18" s="601"/>
      <c r="AD18" s="515"/>
      <c r="AE18" s="340"/>
      <c r="AF18" s="602"/>
      <c r="AG18" s="494"/>
      <c r="AH18" s="340"/>
      <c r="AI18" s="196"/>
      <c r="AJ18" s="438"/>
      <c r="AK18" s="340"/>
      <c r="AL18" s="196"/>
      <c r="AM18" s="438"/>
      <c r="AN18" s="340"/>
      <c r="AO18" s="340"/>
      <c r="AP18" s="340"/>
      <c r="AQ18" s="340"/>
      <c r="AR18" s="515"/>
      <c r="AS18" s="515"/>
      <c r="AT18" s="598"/>
    </row>
    <row r="19" spans="1:46" s="451" customFormat="1" ht="18.75" customHeight="1" x14ac:dyDescent="0.3">
      <c r="A19" s="580" t="s">
        <v>292</v>
      </c>
      <c r="B19" s="595">
        <f>-376.934+27.392</f>
        <v>-349.54200000000003</v>
      </c>
      <c r="C19" s="434"/>
      <c r="D19" s="340">
        <f>IF(B19=0, "    ---- ", IF(ABS(ROUND(100/B19*C19-100,1))&lt;999,ROUND(100/B19*C19-100,1),IF(ROUND(100/B19*C19-100,1)&gt;999,999,-999)))</f>
        <v>-100</v>
      </c>
      <c r="E19" s="595">
        <v>-3754.88403801</v>
      </c>
      <c r="F19" s="434">
        <v>-4041.8932571399996</v>
      </c>
      <c r="G19" s="340">
        <f>IF(E19=0, "    ---- ", IF(ABS(ROUND(100/E19*F19-100,1))&lt;999,ROUND(100/E19*F19-100,1),IF(ROUND(100/E19*F19-100,1)&gt;999,999,-999)))</f>
        <v>7.6</v>
      </c>
      <c r="H19" s="595">
        <v>-415.04245804999994</v>
      </c>
      <c r="I19" s="434">
        <v>-436.17101266999998</v>
      </c>
      <c r="J19" s="340">
        <f>IF(H19=0, "    ---- ", IF(ABS(ROUND(100/H19*I19-100,1))&lt;999,ROUND(100/H19*I19-100,1),IF(ROUND(100/H19*I19-100,1)&gt;999,999,-999)))</f>
        <v>5.0999999999999996</v>
      </c>
      <c r="K19" s="595">
        <v>-46.941000000000003</v>
      </c>
      <c r="L19" s="434">
        <v>-35.137999999999998</v>
      </c>
      <c r="M19" s="340">
        <f>IF(K19=0, "    ---- ", IF(ABS(ROUND(100/K19*L19-100,1))&lt;999,ROUND(100/K19*L19-100,1),IF(ROUND(100/K19*L19-100,1)&gt;999,999,-999)))</f>
        <v>-25.1</v>
      </c>
      <c r="N19" s="595">
        <v>-209</v>
      </c>
      <c r="O19" s="434">
        <v>-252</v>
      </c>
      <c r="P19" s="340">
        <f>IF(N19=0, "    ---- ", IF(ABS(ROUND(100/N19*O19-100,1))&lt;999,ROUND(100/N19*O19-100,1),IF(ROUND(100/N19*O19-100,1)&gt;999,999,-999)))</f>
        <v>20.6</v>
      </c>
      <c r="Q19" s="104">
        <v>-5.1800259999999998</v>
      </c>
      <c r="R19" s="434"/>
      <c r="S19" s="340">
        <f>IF(Q19=0, "    ---- ", IF(ABS(ROUND(100/Q19*R19-100,1))&lt;999,ROUND(100/Q19*R19-100,1),IF(ROUND(100/Q19*R19-100,1)&gt;999,999,-999)))</f>
        <v>-100</v>
      </c>
      <c r="T19" s="595">
        <v>-5766.3568670000004</v>
      </c>
      <c r="U19" s="434">
        <v>-6205.6940290000002</v>
      </c>
      <c r="V19" s="340">
        <f>IF(T19=0, "    ---- ", IF(ABS(ROUND(100/T19*U19-100,1))&lt;999,ROUND(100/T19*U19-100,1),IF(ROUND(100/T19*U19-100,1)&gt;999,999,-999)))</f>
        <v>7.6</v>
      </c>
      <c r="W19" s="595">
        <v>-2835.4</v>
      </c>
      <c r="X19" s="434">
        <v>-2276.7431111700007</v>
      </c>
      <c r="Y19" s="340">
        <f>IF(W19=0, "    ---- ", IF(ABS(ROUND(100/W19*X19-100,1))&lt;999,ROUND(100/W19*X19-100,1),IF(ROUND(100/W19*X19-100,1)&gt;999,999,-999)))</f>
        <v>-19.7</v>
      </c>
      <c r="Z19" s="595">
        <v>-804</v>
      </c>
      <c r="AA19" s="434">
        <v>-872</v>
      </c>
      <c r="AB19" s="340">
        <f>IF(Z19=0, "    ---- ", IF(ABS(ROUND(100/Z19*AA19-100,1))&lt;999,ROUND(100/Z19*AA19-100,1),IF(ROUND(100/Z19*AA19-100,1)&gt;999,999,-999)))</f>
        <v>8.5</v>
      </c>
      <c r="AC19" s="104">
        <v>-48.9157498</v>
      </c>
      <c r="AD19" s="434"/>
      <c r="AE19" s="340">
        <f>IF(AC19=0, "    ---- ", IF(ABS(ROUND(100/AC19*AD19-100,1))&lt;999,ROUND(100/AC19*AD19-100,1),IF(ROUND(100/AC19*AD19-100,1)&gt;999,999,-999)))</f>
        <v>-100</v>
      </c>
      <c r="AF19" s="605">
        <v>-452.37723295000001</v>
      </c>
      <c r="AG19" s="496">
        <v>-451.29129750999999</v>
      </c>
      <c r="AH19" s="340">
        <f>IF(AF19=0, "    ---- ", IF(ABS(ROUND(100/AF19*AG19-100,1))&lt;999,ROUND(100/AF19*AG19-100,1),IF(ROUND(100/AF19*AG19-100,1)&gt;999,999,-999)))</f>
        <v>-0.2</v>
      </c>
      <c r="AI19" s="595">
        <v>-3400</v>
      </c>
      <c r="AJ19" s="434">
        <f>-3761+10</f>
        <v>-3751</v>
      </c>
      <c r="AK19" s="340">
        <f>IF(AI19=0, "    ---- ", IF(ABS(ROUND(100/AI19*AJ19-100,1))&lt;999,ROUND(100/AI19*AJ19-100,1),IF(ROUND(100/AI19*AJ19-100,1)&gt;999,999,-999)))</f>
        <v>10.3</v>
      </c>
      <c r="AL19" s="595"/>
      <c r="AM19" s="434"/>
      <c r="AN19" s="340"/>
      <c r="AO19" s="340">
        <f t="shared" si="14"/>
        <v>-18033.54359601</v>
      </c>
      <c r="AP19" s="340">
        <f t="shared" si="14"/>
        <v>-18321.930707489999</v>
      </c>
      <c r="AQ19" s="340">
        <f t="shared" si="12"/>
        <v>1.6</v>
      </c>
      <c r="AR19" s="438">
        <f t="shared" ref="AR19:AS21" si="16">+B19+E19+H19+K19+N19+Q19+T19+W19+Z19+AC19+AF19+AI19+AL19</f>
        <v>-18087.639371810001</v>
      </c>
      <c r="AS19" s="438">
        <f t="shared" si="16"/>
        <v>-18321.930707489999</v>
      </c>
      <c r="AT19" s="340">
        <f>IF(AR19=0, "    ---- ", IF(ABS(ROUND(100/AR19*AS19-100,1))&lt;999,ROUND(100/AR19*AS19-100,1),IF(ROUND(100/AR19*AS19-100,1)&gt;999,999,-999)))</f>
        <v>1.3</v>
      </c>
    </row>
    <row r="20" spans="1:46" s="451" customFormat="1" ht="18.75" customHeight="1" x14ac:dyDescent="0.3">
      <c r="A20" s="580" t="s">
        <v>409</v>
      </c>
      <c r="B20" s="597">
        <v>-2000.0050000000001</v>
      </c>
      <c r="C20" s="340"/>
      <c r="D20" s="340">
        <f>IF(B20=0, "    ---- ", IF(ABS(ROUND(100/B20*C20-100,1))&lt;999,ROUND(100/B20*C20-100,1),IF(ROUND(100/B20*C20-100,1)&gt;999,999,-999)))</f>
        <v>-100</v>
      </c>
      <c r="E20" s="597">
        <v>-3988.1275068899999</v>
      </c>
      <c r="F20" s="340">
        <v>-3944.9635093899997</v>
      </c>
      <c r="G20" s="340">
        <f>IF(E20=0, "    ---- ", IF(ABS(ROUND(100/E20*F20-100,1))&lt;999,ROUND(100/E20*F20-100,1),IF(ROUND(100/E20*F20-100,1)&gt;999,999,-999)))</f>
        <v>-1.1000000000000001</v>
      </c>
      <c r="H20" s="597">
        <v>35.601720880000002</v>
      </c>
      <c r="I20" s="340">
        <v>34.664757600000002</v>
      </c>
      <c r="J20" s="340">
        <f>IF(H20=0, "    ---- ", IF(ABS(ROUND(100/H20*I20-100,1))&lt;999,ROUND(100/H20*I20-100,1),IF(ROUND(100/H20*I20-100,1)&gt;999,999,-999)))</f>
        <v>-2.6</v>
      </c>
      <c r="K20" s="597"/>
      <c r="L20" s="340"/>
      <c r="M20" s="340"/>
      <c r="N20" s="597">
        <v>-1232</v>
      </c>
      <c r="O20" s="340">
        <v>-1311</v>
      </c>
      <c r="P20" s="340">
        <f>IF(N20=0, "    ---- ", IF(ABS(ROUND(100/N20*O20-100,1))&lt;999,ROUND(100/N20*O20-100,1),IF(ROUND(100/N20*O20-100,1)&gt;999,999,-999)))</f>
        <v>6.4</v>
      </c>
      <c r="Q20" s="196"/>
      <c r="R20" s="340"/>
      <c r="S20" s="340"/>
      <c r="T20" s="597">
        <v>-4875.4002250000003</v>
      </c>
      <c r="U20" s="340">
        <v>-2125.4618180000002</v>
      </c>
      <c r="V20" s="340">
        <f>IF(T20=0, "    ---- ", IF(ABS(ROUND(100/T20*U20-100,1))&lt;999,ROUND(100/T20*U20-100,1),IF(ROUND(100/T20*U20-100,1)&gt;999,999,-999)))</f>
        <v>-56.4</v>
      </c>
      <c r="W20" s="606">
        <v>-1647</v>
      </c>
      <c r="X20" s="497">
        <v>-2697</v>
      </c>
      <c r="Y20" s="340">
        <f>IF(W20=0, "    ---- ", IF(ABS(ROUND(100/W20*X20-100,1))&lt;999,ROUND(100/W20*X20-100,1),IF(ROUND(100/W20*X20-100,1)&gt;999,999,-999)))</f>
        <v>63.8</v>
      </c>
      <c r="Z20" s="606"/>
      <c r="AA20" s="497"/>
      <c r="AB20" s="340"/>
      <c r="AC20" s="196">
        <v>-26.36670947</v>
      </c>
      <c r="AD20" s="340"/>
      <c r="AE20" s="340">
        <f>IF(AC20=0, "    ---- ", IF(ABS(ROUND(100/AC20*AD20-100,1))&lt;999,ROUND(100/AC20*AD20-100,1),IF(ROUND(100/AC20*AD20-100,1)&gt;999,999,-999)))</f>
        <v>-100</v>
      </c>
      <c r="AF20" s="606">
        <v>-1424.3037259900002</v>
      </c>
      <c r="AG20" s="497">
        <v>-1766.0420077900003</v>
      </c>
      <c r="AH20" s="340">
        <f>IF(AF20=0, "    ---- ", IF(ABS(ROUND(100/AF20*AG20-100,1))&lt;999,ROUND(100/AF20*AG20-100,1),IF(ROUND(100/AF20*AG20-100,1)&gt;999,999,-999)))</f>
        <v>24</v>
      </c>
      <c r="AI20" s="597">
        <v>-3323</v>
      </c>
      <c r="AJ20" s="340">
        <v>-3484</v>
      </c>
      <c r="AK20" s="340">
        <f>IF(AI20=0, "    ---- ", IF(ABS(ROUND(100/AI20*AJ20-100,1))&lt;999,ROUND(100/AI20*AJ20-100,1),IF(ROUND(100/AI20*AJ20-100,1)&gt;999,999,-999)))</f>
        <v>4.8</v>
      </c>
      <c r="AL20" s="597"/>
      <c r="AM20" s="340"/>
      <c r="AN20" s="340"/>
      <c r="AO20" s="340">
        <f t="shared" si="14"/>
        <v>-18454.234737000002</v>
      </c>
      <c r="AP20" s="340">
        <f t="shared" si="14"/>
        <v>-15293.80257758</v>
      </c>
      <c r="AQ20" s="340">
        <f t="shared" si="12"/>
        <v>-17.100000000000001</v>
      </c>
      <c r="AR20" s="438">
        <f t="shared" si="16"/>
        <v>-18480.601446470002</v>
      </c>
      <c r="AS20" s="438">
        <f t="shared" si="16"/>
        <v>-15293.80257758</v>
      </c>
      <c r="AT20" s="340">
        <f>IF(AR20=0, "    ---- ", IF(ABS(ROUND(100/AR20*AS20-100,1))&lt;999,ROUND(100/AR20*AS20-100,1),IF(ROUND(100/AR20*AS20-100,1)&gt;999,999,-999)))</f>
        <v>-17.2</v>
      </c>
    </row>
    <row r="21" spans="1:46" s="451" customFormat="1" ht="18.75" customHeight="1" x14ac:dyDescent="0.3">
      <c r="A21" s="580" t="s">
        <v>293</v>
      </c>
      <c r="B21" s="595">
        <f>SUM(B19:B20)</f>
        <v>-2349.547</v>
      </c>
      <c r="C21" s="434"/>
      <c r="D21" s="340">
        <f>IF(B21=0, "    ---- ", IF(ABS(ROUND(100/B21*C21-100,1))&lt;999,ROUND(100/B21*C21-100,1),IF(ROUND(100/B21*C21-100,1)&gt;999,999,-999)))</f>
        <v>-100</v>
      </c>
      <c r="E21" s="595">
        <v>-7743.0115449000004</v>
      </c>
      <c r="F21" s="434">
        <f>SUM(F19:F20)</f>
        <v>-7986.8567665299997</v>
      </c>
      <c r="G21" s="340">
        <f>IF(E21=0, "    ---- ", IF(ABS(ROUND(100/E21*F21-100,1))&lt;999,ROUND(100/E21*F21-100,1),IF(ROUND(100/E21*F21-100,1)&gt;999,999,-999)))</f>
        <v>3.1</v>
      </c>
      <c r="H21" s="595">
        <v>-379.44073716999992</v>
      </c>
      <c r="I21" s="434">
        <f>SUM(I19:I20)</f>
        <v>-401.50625506999995</v>
      </c>
      <c r="J21" s="340">
        <f>IF(H21=0, "    ---- ", IF(ABS(ROUND(100/H21*I21-100,1))&lt;999,ROUND(100/H21*I21-100,1),IF(ROUND(100/H21*I21-100,1)&gt;999,999,-999)))</f>
        <v>5.8</v>
      </c>
      <c r="K21" s="595">
        <v>-46.941000000000003</v>
      </c>
      <c r="L21" s="434">
        <f>SUM(L19:L20)</f>
        <v>-35.137999999999998</v>
      </c>
      <c r="M21" s="340">
        <f>IF(K21=0, "    ---- ", IF(ABS(ROUND(100/K21*L21-100,1))&lt;999,ROUND(100/K21*L21-100,1),IF(ROUND(100/K21*L21-100,1)&gt;999,999,-999)))</f>
        <v>-25.1</v>
      </c>
      <c r="N21" s="595">
        <v>-1441</v>
      </c>
      <c r="O21" s="434">
        <f>SUM(O19:O20)</f>
        <v>-1563</v>
      </c>
      <c r="P21" s="340">
        <f>IF(N21=0, "    ---- ", IF(ABS(ROUND(100/N21*O21-100,1))&lt;999,ROUND(100/N21*O21-100,1),IF(ROUND(100/N21*O21-100,1)&gt;999,999,-999)))</f>
        <v>8.5</v>
      </c>
      <c r="Q21" s="104">
        <v>-5.1800259999999998</v>
      </c>
      <c r="R21" s="434"/>
      <c r="S21" s="340">
        <f>IF(Q21=0, "    ---- ", IF(ABS(ROUND(100/Q21*R21-100,1))&lt;999,ROUND(100/Q21*R21-100,1),IF(ROUND(100/Q21*R21-100,1)&gt;999,999,-999)))</f>
        <v>-100</v>
      </c>
      <c r="T21" s="595">
        <v>-10641.757092</v>
      </c>
      <c r="U21" s="434">
        <v>-8331.155847</v>
      </c>
      <c r="V21" s="340">
        <f>IF(T21=0, "    ---- ", IF(ABS(ROUND(100/T21*U21-100,1))&lt;999,ROUND(100/T21*U21-100,1),IF(ROUND(100/T21*U21-100,1)&gt;999,999,-999)))</f>
        <v>-21.7</v>
      </c>
      <c r="W21" s="595">
        <v>-4482.3999999999996</v>
      </c>
      <c r="X21" s="434">
        <f>SUM(X19:X20)</f>
        <v>-4973.7431111700007</v>
      </c>
      <c r="Y21" s="340">
        <f>IF(W21=0, "    ---- ", IF(ABS(ROUND(100/W21*X21-100,1))&lt;999,ROUND(100/W21*X21-100,1),IF(ROUND(100/W21*X21-100,1)&gt;999,999,-999)))</f>
        <v>11</v>
      </c>
      <c r="Z21" s="595">
        <v>-804</v>
      </c>
      <c r="AA21" s="434">
        <f>SUM(AA19:AA20)</f>
        <v>-872</v>
      </c>
      <c r="AB21" s="340">
        <f>IF(Z21=0, "    ---- ", IF(ABS(ROUND(100/Z21*AA21-100,1))&lt;999,ROUND(100/Z21*AA21-100,1),IF(ROUND(100/Z21*AA21-100,1)&gt;999,999,-999)))</f>
        <v>8.5</v>
      </c>
      <c r="AC21" s="104">
        <v>-75.282459270000004</v>
      </c>
      <c r="AD21" s="434"/>
      <c r="AE21" s="340">
        <f>IF(AC21=0, "    ---- ", IF(ABS(ROUND(100/AC21*AD21-100,1))&lt;999,ROUND(100/AC21*AD21-100,1),IF(ROUND(100/AC21*AD21-100,1)&gt;999,999,-999)))</f>
        <v>-100</v>
      </c>
      <c r="AF21" s="595">
        <v>-1876.6809589400002</v>
      </c>
      <c r="AG21" s="434">
        <f>SUM(AG19:AG20)</f>
        <v>-2217.3333053000001</v>
      </c>
      <c r="AH21" s="340">
        <f>IF(AF21=0, "    ---- ", IF(ABS(ROUND(100/AF21*AG21-100,1))&lt;999,ROUND(100/AF21*AG21-100,1),IF(ROUND(100/AF21*AG21-100,1)&gt;999,999,-999)))</f>
        <v>18.2</v>
      </c>
      <c r="AI21" s="595">
        <v>-6723</v>
      </c>
      <c r="AJ21" s="434">
        <f>SUM(AJ19:AJ20)</f>
        <v>-7235</v>
      </c>
      <c r="AK21" s="340">
        <f>IF(AI21=0, "    ---- ", IF(ABS(ROUND(100/AI21*AJ21-100,1))&lt;999,ROUND(100/AI21*AJ21-100,1),IF(ROUND(100/AI21*AJ21-100,1)&gt;999,999,-999)))</f>
        <v>7.6</v>
      </c>
      <c r="AL21" s="595"/>
      <c r="AM21" s="434"/>
      <c r="AN21" s="340"/>
      <c r="AO21" s="340">
        <f t="shared" si="14"/>
        <v>-36487.778333009999</v>
      </c>
      <c r="AP21" s="340">
        <f t="shared" si="14"/>
        <v>-33615.733285070004</v>
      </c>
      <c r="AQ21" s="340">
        <f t="shared" si="12"/>
        <v>-7.9</v>
      </c>
      <c r="AR21" s="438">
        <f t="shared" si="16"/>
        <v>-36568.240818279999</v>
      </c>
      <c r="AS21" s="438">
        <f t="shared" si="16"/>
        <v>-33615.733285070004</v>
      </c>
      <c r="AT21" s="340">
        <f>IF(AR21=0, "    ---- ", IF(ABS(ROUND(100/AR21*AS21-100,1))&lt;999,ROUND(100/AR21*AS21-100,1),IF(ROUND(100/AR21*AS21-100,1)&gt;999,999,-999)))</f>
        <v>-8.1</v>
      </c>
    </row>
    <row r="22" spans="1:46" s="451" customFormat="1" ht="18.75" customHeight="1" x14ac:dyDescent="0.3">
      <c r="A22" s="580" t="s">
        <v>294</v>
      </c>
      <c r="B22" s="196"/>
      <c r="C22" s="438"/>
      <c r="D22" s="340"/>
      <c r="E22" s="196"/>
      <c r="F22" s="438"/>
      <c r="G22" s="340"/>
      <c r="H22" s="601"/>
      <c r="I22" s="515"/>
      <c r="J22" s="340"/>
      <c r="K22" s="601"/>
      <c r="L22" s="515"/>
      <c r="M22" s="340"/>
      <c r="N22" s="196"/>
      <c r="O22" s="438"/>
      <c r="P22" s="340"/>
      <c r="Q22" s="601"/>
      <c r="R22" s="515"/>
      <c r="S22" s="340"/>
      <c r="T22" s="196"/>
      <c r="U22" s="438"/>
      <c r="V22" s="340"/>
      <c r="W22" s="601"/>
      <c r="X22" s="515"/>
      <c r="Y22" s="340"/>
      <c r="Z22" s="601"/>
      <c r="AA22" s="515"/>
      <c r="AB22" s="340"/>
      <c r="AC22" s="601"/>
      <c r="AD22" s="515"/>
      <c r="AE22" s="340"/>
      <c r="AF22" s="601"/>
      <c r="AG22" s="515"/>
      <c r="AH22" s="340"/>
      <c r="AI22" s="196"/>
      <c r="AJ22" s="438"/>
      <c r="AK22" s="340"/>
      <c r="AL22" s="196"/>
      <c r="AM22" s="438"/>
      <c r="AN22" s="340"/>
      <c r="AO22" s="340">
        <f t="shared" si="14"/>
        <v>0</v>
      </c>
      <c r="AP22" s="340">
        <f t="shared" si="14"/>
        <v>0</v>
      </c>
      <c r="AQ22" s="340"/>
      <c r="AR22" s="340"/>
      <c r="AS22" s="340"/>
      <c r="AT22" s="340"/>
    </row>
    <row r="23" spans="1:46" s="451" customFormat="1" ht="18.75" customHeight="1" x14ac:dyDescent="0.3">
      <c r="A23" s="580" t="s">
        <v>410</v>
      </c>
      <c r="B23" s="597">
        <f>-41.973+22.897</f>
        <v>-19.076000000000001</v>
      </c>
      <c r="C23" s="340"/>
      <c r="D23" s="340">
        <f t="shared" ref="D23:D30" si="17">IF(B23=0, "    ---- ", IF(ABS(ROUND(100/B23*C23-100,1))&lt;999,ROUND(100/B23*C23-100,1),IF(ROUND(100/B23*C23-100,1)&gt;999,999,-999)))</f>
        <v>-100</v>
      </c>
      <c r="E23" s="597">
        <v>1029.87274314</v>
      </c>
      <c r="F23" s="340">
        <v>1398.6786823099999</v>
      </c>
      <c r="G23" s="340">
        <f t="shared" ref="G23:G30" si="18">IF(E23=0, "    ---- ", IF(ABS(ROUND(100/E23*F23-100,1))&lt;999,ROUND(100/E23*F23-100,1),IF(ROUND(100/E23*F23-100,1)&gt;999,999,-999)))</f>
        <v>35.799999999999997</v>
      </c>
      <c r="H23" s="597">
        <v>-266.9219162900003</v>
      </c>
      <c r="I23" s="340">
        <v>-242.9924885099995</v>
      </c>
      <c r="J23" s="340">
        <f>IF(H23=0, "    ---- ", IF(ABS(ROUND(100/H23*I23-100,1))&lt;999,ROUND(100/H23*I23-100,1),IF(ROUND(100/H23*I23-100,1)&gt;999,999,-999)))</f>
        <v>-9</v>
      </c>
      <c r="K23" s="597">
        <v>-505.00200000000001</v>
      </c>
      <c r="L23" s="340">
        <v>-583.17200000000003</v>
      </c>
      <c r="M23" s="340">
        <f>IF(K23=0, "    ---- ", IF(ABS(ROUND(100/K23*L23-100,1))&lt;999,ROUND(100/K23*L23-100,1),IF(ROUND(100/K23*L23-100,1)&gt;999,999,-999)))</f>
        <v>15.5</v>
      </c>
      <c r="N23" s="597">
        <v>-197</v>
      </c>
      <c r="O23" s="340">
        <v>-242</v>
      </c>
      <c r="P23" s="340">
        <f t="shared" ref="P23:P32" si="19">IF(N23=0, "    ---- ", IF(ABS(ROUND(100/N23*O23-100,1))&lt;999,ROUND(100/N23*O23-100,1),IF(ROUND(100/N23*O23-100,1)&gt;999,999,-999)))</f>
        <v>22.8</v>
      </c>
      <c r="Q23" s="196">
        <v>1.324443</v>
      </c>
      <c r="R23" s="340"/>
      <c r="S23" s="340">
        <f t="shared" ref="S23" si="20">IF(Q23=0, "    ---- ", IF(ABS(ROUND(100/Q23*R23-100,1))&lt;999,ROUND(100/Q23*R23-100,1),IF(ROUND(100/Q23*R23-100,1)&gt;999,999,-999)))</f>
        <v>-100</v>
      </c>
      <c r="T23" s="597">
        <v>1620.20618218</v>
      </c>
      <c r="U23" s="340">
        <v>-1733.09685315</v>
      </c>
      <c r="V23" s="340">
        <f t="shared" ref="V23:V31" si="21">IF(T23=0, "    ---- ", IF(ABS(ROUND(100/T23*U23-100,1))&lt;999,ROUND(100/T23*U23-100,1),IF(ROUND(100/T23*U23-100,1)&gt;999,999,-999)))</f>
        <v>-207</v>
      </c>
      <c r="W23" s="597">
        <v>-292.79000000000002</v>
      </c>
      <c r="X23" s="340">
        <v>-185.05010545000002</v>
      </c>
      <c r="Y23" s="340">
        <f t="shared" ref="Y23:Y30" si="22">IF(W23=0, "    ---- ", IF(ABS(ROUND(100/W23*X23-100,1))&lt;999,ROUND(100/W23*X23-100,1),IF(ROUND(100/W23*X23-100,1)&gt;999,999,-999)))</f>
        <v>-36.799999999999997</v>
      </c>
      <c r="Z23" s="597">
        <v>-567</v>
      </c>
      <c r="AA23" s="340">
        <v>-492</v>
      </c>
      <c r="AB23" s="340">
        <f t="shared" ref="AB23:AB30" si="23">IF(Z23=0, "    ---- ", IF(ABS(ROUND(100/Z23*AA23-100,1))&lt;999,ROUND(100/Z23*AA23-100,1),IF(ROUND(100/Z23*AA23-100,1)&gt;999,999,-999)))</f>
        <v>-13.2</v>
      </c>
      <c r="AC23" s="196"/>
      <c r="AD23" s="340"/>
      <c r="AE23" s="340"/>
      <c r="AF23" s="597">
        <v>103.37426186999993</v>
      </c>
      <c r="AG23" s="340">
        <v>-63.853041680000047</v>
      </c>
      <c r="AH23" s="340">
        <f t="shared" ref="AH23:AH30" si="24">IF(AF23=0, "    ---- ", IF(ABS(ROUND(100/AF23*AG23-100,1))&lt;999,ROUND(100/AF23*AG23-100,1),IF(ROUND(100/AF23*AG23-100,1)&gt;999,999,-999)))</f>
        <v>-161.80000000000001</v>
      </c>
      <c r="AI23" s="597">
        <v>-3726</v>
      </c>
      <c r="AJ23" s="340">
        <v>-1846</v>
      </c>
      <c r="AK23" s="340">
        <f t="shared" ref="AK23:AK30" si="25">IF(AI23=0, "    ---- ", IF(ABS(ROUND(100/AI23*AJ23-100,1))&lt;999,ROUND(100/AI23*AJ23-100,1),IF(ROUND(100/AI23*AJ23-100,1)&gt;999,999,-999)))</f>
        <v>-50.5</v>
      </c>
      <c r="AL23" s="597">
        <v>-1</v>
      </c>
      <c r="AM23" s="340">
        <v>-1</v>
      </c>
      <c r="AN23" s="340">
        <f t="shared" ref="AN23:AN30" si="26">IF(AL23=0, "    ---- ", IF(ABS(ROUND(100/AL23*AM23-100,1))&lt;999,ROUND(100/AL23*AM23-100,1),IF(ROUND(100/AL23*AM23-100,1)&gt;999,999,-999)))</f>
        <v>0</v>
      </c>
      <c r="AO23" s="340">
        <f t="shared" si="14"/>
        <v>-2820.3367291000004</v>
      </c>
      <c r="AP23" s="340">
        <f t="shared" si="14"/>
        <v>-3989.4858064799996</v>
      </c>
      <c r="AQ23" s="340">
        <f t="shared" si="12"/>
        <v>41.5</v>
      </c>
      <c r="AR23" s="340"/>
      <c r="AS23" s="340"/>
      <c r="AT23" s="340"/>
    </row>
    <row r="24" spans="1:46" s="451" customFormat="1" ht="18.75" customHeight="1" x14ac:dyDescent="0.3">
      <c r="A24" s="580" t="s">
        <v>295</v>
      </c>
      <c r="B24" s="597"/>
      <c r="C24" s="340"/>
      <c r="D24" s="340"/>
      <c r="E24" s="597">
        <v>-3.9315634799999999</v>
      </c>
      <c r="F24" s="340">
        <v>-3.7300548099999999</v>
      </c>
      <c r="G24" s="340">
        <f t="shared" si="18"/>
        <v>-5.0999999999999996</v>
      </c>
      <c r="H24" s="597"/>
      <c r="I24" s="340"/>
      <c r="J24" s="340"/>
      <c r="K24" s="597"/>
      <c r="L24" s="340"/>
      <c r="M24" s="340"/>
      <c r="N24" s="597">
        <v>-1</v>
      </c>
      <c r="O24" s="340">
        <v>-1</v>
      </c>
      <c r="P24" s="340">
        <f t="shared" si="19"/>
        <v>0</v>
      </c>
      <c r="Q24" s="196"/>
      <c r="R24" s="340"/>
      <c r="S24" s="340"/>
      <c r="T24" s="597">
        <v>0</v>
      </c>
      <c r="U24" s="340">
        <v>0</v>
      </c>
      <c r="V24" s="340" t="str">
        <f t="shared" si="21"/>
        <v xml:space="preserve">    ---- </v>
      </c>
      <c r="W24" s="597">
        <v>64</v>
      </c>
      <c r="X24" s="340">
        <v>73</v>
      </c>
      <c r="Y24" s="340">
        <f t="shared" si="22"/>
        <v>14.1</v>
      </c>
      <c r="Z24" s="196">
        <v>0</v>
      </c>
      <c r="AA24" s="340"/>
      <c r="AB24" s="340"/>
      <c r="AC24" s="196"/>
      <c r="AD24" s="340"/>
      <c r="AE24" s="340"/>
      <c r="AF24" s="597">
        <v>0.81771671999999884</v>
      </c>
      <c r="AG24" s="340">
        <v>4.4219938899999995</v>
      </c>
      <c r="AH24" s="340">
        <f t="shared" si="24"/>
        <v>440.8</v>
      </c>
      <c r="AI24" s="597">
        <v>-437</v>
      </c>
      <c r="AJ24" s="340">
        <v>34</v>
      </c>
      <c r="AK24" s="340">
        <f t="shared" si="25"/>
        <v>-107.8</v>
      </c>
      <c r="AL24" s="597"/>
      <c r="AM24" s="340"/>
      <c r="AN24" s="340"/>
      <c r="AO24" s="340">
        <f t="shared" si="14"/>
        <v>-377.11384676</v>
      </c>
      <c r="AP24" s="340">
        <f t="shared" si="14"/>
        <v>106.69193908</v>
      </c>
      <c r="AQ24" s="340">
        <f t="shared" si="12"/>
        <v>-128.30000000000001</v>
      </c>
      <c r="AR24" s="340"/>
      <c r="AS24" s="340"/>
      <c r="AT24" s="340"/>
    </row>
    <row r="25" spans="1:46" s="451" customFormat="1" ht="18.75" customHeight="1" x14ac:dyDescent="0.3">
      <c r="A25" s="580" t="s">
        <v>296</v>
      </c>
      <c r="B25" s="597">
        <v>3.8380000000000001</v>
      </c>
      <c r="C25" s="340"/>
      <c r="D25" s="340">
        <f t="shared" si="17"/>
        <v>-100</v>
      </c>
      <c r="E25" s="597">
        <v>2192.4411228200001</v>
      </c>
      <c r="F25" s="340">
        <v>-935.37904141999991</v>
      </c>
      <c r="G25" s="340">
        <f t="shared" si="18"/>
        <v>-142.69999999999999</v>
      </c>
      <c r="H25" s="597">
        <v>6</v>
      </c>
      <c r="I25" s="340">
        <v>-69.410729529999998</v>
      </c>
      <c r="J25" s="340">
        <f>IF(H25=0, "    ---- ", IF(ABS(ROUND(100/H25*I25-100,1))&lt;999,ROUND(100/H25*I25-100,1),IF(ROUND(100/H25*I25-100,1)&gt;999,999,-999)))</f>
        <v>-999</v>
      </c>
      <c r="K25" s="597"/>
      <c r="L25" s="340"/>
      <c r="M25" s="340"/>
      <c r="N25" s="597">
        <v>11</v>
      </c>
      <c r="O25" s="340">
        <v>0</v>
      </c>
      <c r="P25" s="340">
        <f t="shared" si="19"/>
        <v>-100</v>
      </c>
      <c r="Q25" s="196"/>
      <c r="R25" s="340"/>
      <c r="S25" s="340"/>
      <c r="T25" s="597">
        <v>0</v>
      </c>
      <c r="U25" s="340">
        <v>0</v>
      </c>
      <c r="V25" s="340" t="str">
        <f t="shared" si="21"/>
        <v xml:space="preserve">    ---- </v>
      </c>
      <c r="W25" s="597">
        <v>423</v>
      </c>
      <c r="X25" s="340">
        <v>325</v>
      </c>
      <c r="Y25" s="340">
        <f t="shared" si="22"/>
        <v>-23.2</v>
      </c>
      <c r="Z25" s="196">
        <v>0</v>
      </c>
      <c r="AA25" s="340"/>
      <c r="AB25" s="340"/>
      <c r="AC25" s="196"/>
      <c r="AD25" s="340"/>
      <c r="AE25" s="340"/>
      <c r="AF25" s="597">
        <v>384.25424446000005</v>
      </c>
      <c r="AG25" s="340">
        <v>-277.29807294000005</v>
      </c>
      <c r="AH25" s="340">
        <f t="shared" si="24"/>
        <v>-172.2</v>
      </c>
      <c r="AI25" s="597">
        <v>3848</v>
      </c>
      <c r="AJ25" s="340">
        <v>-988</v>
      </c>
      <c r="AK25" s="340">
        <f t="shared" si="25"/>
        <v>-125.7</v>
      </c>
      <c r="AL25" s="597"/>
      <c r="AM25" s="340"/>
      <c r="AN25" s="340"/>
      <c r="AO25" s="340">
        <f t="shared" si="14"/>
        <v>6868.5333672800007</v>
      </c>
      <c r="AP25" s="340">
        <f t="shared" si="14"/>
        <v>-1945.0878438899999</v>
      </c>
      <c r="AQ25" s="340">
        <f t="shared" si="12"/>
        <v>-128.30000000000001</v>
      </c>
      <c r="AR25" s="340"/>
      <c r="AS25" s="340"/>
      <c r="AT25" s="340"/>
    </row>
    <row r="26" spans="1:46" s="451" customFormat="1" ht="18.75" customHeight="1" x14ac:dyDescent="0.3">
      <c r="A26" s="580" t="s">
        <v>411</v>
      </c>
      <c r="B26" s="597"/>
      <c r="C26" s="340"/>
      <c r="D26" s="340"/>
      <c r="E26" s="597"/>
      <c r="F26" s="340">
        <v>-2.6848023799999998</v>
      </c>
      <c r="G26" s="340" t="str">
        <f t="shared" si="18"/>
        <v xml:space="preserve">    ---- </v>
      </c>
      <c r="H26" s="597"/>
      <c r="I26" s="340"/>
      <c r="J26" s="340"/>
      <c r="K26" s="597"/>
      <c r="L26" s="340"/>
      <c r="M26" s="340"/>
      <c r="N26" s="597"/>
      <c r="O26" s="340"/>
      <c r="P26" s="340"/>
      <c r="Q26" s="196"/>
      <c r="R26" s="340"/>
      <c r="S26" s="340"/>
      <c r="T26" s="597"/>
      <c r="U26" s="340">
        <v>-162.298869</v>
      </c>
      <c r="V26" s="340" t="str">
        <f t="shared" si="21"/>
        <v xml:space="preserve">    ---- </v>
      </c>
      <c r="W26" s="597"/>
      <c r="X26" s="340"/>
      <c r="Y26" s="340"/>
      <c r="Z26" s="196"/>
      <c r="AA26" s="340"/>
      <c r="AB26" s="340"/>
      <c r="AC26" s="196"/>
      <c r="AD26" s="340"/>
      <c r="AE26" s="340"/>
      <c r="AF26" s="597"/>
      <c r="AG26" s="340">
        <v>-1.2406619999999999</v>
      </c>
      <c r="AH26" s="340" t="str">
        <f t="shared" si="24"/>
        <v xml:space="preserve">    ---- </v>
      </c>
      <c r="AI26" s="597"/>
      <c r="AJ26" s="340">
        <v>-577</v>
      </c>
      <c r="AK26" s="340" t="str">
        <f t="shared" si="25"/>
        <v xml:space="preserve">    ---- </v>
      </c>
      <c r="AL26" s="597"/>
      <c r="AM26" s="340"/>
      <c r="AN26" s="340"/>
      <c r="AO26" s="340">
        <f t="shared" si="14"/>
        <v>0</v>
      </c>
      <c r="AP26" s="340">
        <f t="shared" si="14"/>
        <v>-743.22433337999996</v>
      </c>
      <c r="AQ26" s="340" t="str">
        <f t="shared" si="12"/>
        <v xml:space="preserve">    ---- </v>
      </c>
      <c r="AR26" s="340"/>
      <c r="AS26" s="340"/>
      <c r="AT26" s="340"/>
    </row>
    <row r="27" spans="1:46" s="451" customFormat="1" ht="18.75" customHeight="1" x14ac:dyDescent="0.3">
      <c r="A27" s="580" t="s">
        <v>412</v>
      </c>
      <c r="B27" s="597"/>
      <c r="C27" s="340"/>
      <c r="D27" s="340"/>
      <c r="E27" s="597">
        <v>-2.1872284900000003</v>
      </c>
      <c r="F27" s="340">
        <v>-417.29346803999999</v>
      </c>
      <c r="G27" s="340">
        <f t="shared" si="18"/>
        <v>999</v>
      </c>
      <c r="H27" s="597"/>
      <c r="I27" s="340"/>
      <c r="J27" s="340"/>
      <c r="K27" s="597"/>
      <c r="L27" s="340"/>
      <c r="M27" s="340"/>
      <c r="N27" s="597">
        <v>2</v>
      </c>
      <c r="O27" s="340">
        <v>1</v>
      </c>
      <c r="P27" s="340">
        <f t="shared" si="19"/>
        <v>-50</v>
      </c>
      <c r="Q27" s="196"/>
      <c r="R27" s="340"/>
      <c r="S27" s="340"/>
      <c r="T27" s="597">
        <v>-202.06684200000001</v>
      </c>
      <c r="U27" s="340"/>
      <c r="V27" s="340">
        <f t="shared" si="21"/>
        <v>-100</v>
      </c>
      <c r="W27" s="597">
        <v>-1</v>
      </c>
      <c r="X27" s="340">
        <v>-1</v>
      </c>
      <c r="Y27" s="340">
        <f t="shared" si="22"/>
        <v>0</v>
      </c>
      <c r="Z27" s="196">
        <v>-36</v>
      </c>
      <c r="AA27" s="340">
        <v>-28</v>
      </c>
      <c r="AB27" s="340">
        <f t="shared" si="23"/>
        <v>-22.2</v>
      </c>
      <c r="AC27" s="196"/>
      <c r="AD27" s="340"/>
      <c r="AE27" s="340"/>
      <c r="AF27" s="597">
        <v>-1.540095</v>
      </c>
      <c r="AG27" s="340">
        <v>0</v>
      </c>
      <c r="AH27" s="340">
        <f t="shared" si="24"/>
        <v>-100</v>
      </c>
      <c r="AI27" s="597"/>
      <c r="AJ27" s="340"/>
      <c r="AK27" s="340"/>
      <c r="AL27" s="597"/>
      <c r="AM27" s="340"/>
      <c r="AN27" s="340"/>
      <c r="AO27" s="340">
        <f t="shared" si="14"/>
        <v>-240.79416549000001</v>
      </c>
      <c r="AP27" s="340">
        <f t="shared" si="14"/>
        <v>-445.29346803999999</v>
      </c>
      <c r="AQ27" s="340">
        <f t="shared" si="12"/>
        <v>84.9</v>
      </c>
      <c r="AR27" s="340"/>
      <c r="AS27" s="340"/>
      <c r="AT27" s="340"/>
    </row>
    <row r="28" spans="1:46" s="451" customFormat="1" ht="18.75" customHeight="1" x14ac:dyDescent="0.3">
      <c r="A28" s="580" t="s">
        <v>413</v>
      </c>
      <c r="B28" s="597">
        <v>1.288</v>
      </c>
      <c r="C28" s="340"/>
      <c r="D28" s="340">
        <f t="shared" si="17"/>
        <v>-100</v>
      </c>
      <c r="E28" s="597">
        <v>-494.53367193000003</v>
      </c>
      <c r="F28" s="340">
        <v>4.8689107099999998</v>
      </c>
      <c r="G28" s="340">
        <f t="shared" si="18"/>
        <v>-101</v>
      </c>
      <c r="H28" s="597"/>
      <c r="I28" s="340"/>
      <c r="J28" s="340"/>
      <c r="K28" s="597">
        <v>-1.4339999999999999</v>
      </c>
      <c r="L28" s="340">
        <v>-2.657</v>
      </c>
      <c r="M28" s="340">
        <f>IF(K28=0, "    ---- ", IF(ABS(ROUND(100/K28*L28-100,1))&lt;999,ROUND(100/K28*L28-100,1),IF(ROUND(100/K28*L28-100,1)&gt;999,999,-999)))</f>
        <v>85.3</v>
      </c>
      <c r="N28" s="597"/>
      <c r="O28" s="340"/>
      <c r="P28" s="340"/>
      <c r="Q28" s="196"/>
      <c r="R28" s="340"/>
      <c r="S28" s="340"/>
      <c r="T28" s="597"/>
      <c r="U28" s="340"/>
      <c r="V28" s="340"/>
      <c r="W28" s="597">
        <v>0</v>
      </c>
      <c r="X28" s="340">
        <v>0</v>
      </c>
      <c r="Y28" s="340" t="str">
        <f t="shared" si="22"/>
        <v xml:space="preserve">    ---- </v>
      </c>
      <c r="Z28" s="196">
        <v>-14</v>
      </c>
      <c r="AA28" s="340">
        <v>-2</v>
      </c>
      <c r="AB28" s="340">
        <f t="shared" si="23"/>
        <v>-85.7</v>
      </c>
      <c r="AC28" s="196"/>
      <c r="AD28" s="340"/>
      <c r="AE28" s="340"/>
      <c r="AF28" s="597">
        <v>0</v>
      </c>
      <c r="AG28" s="340">
        <v>0</v>
      </c>
      <c r="AH28" s="340" t="str">
        <f t="shared" si="24"/>
        <v xml:space="preserve">    ---- </v>
      </c>
      <c r="AI28" s="597">
        <v>-51</v>
      </c>
      <c r="AJ28" s="340">
        <v>-39</v>
      </c>
      <c r="AK28" s="340">
        <f t="shared" si="25"/>
        <v>-23.5</v>
      </c>
      <c r="AL28" s="597"/>
      <c r="AM28" s="340"/>
      <c r="AN28" s="340"/>
      <c r="AO28" s="340">
        <f t="shared" si="14"/>
        <v>-559.67967193000004</v>
      </c>
      <c r="AP28" s="340">
        <f t="shared" si="14"/>
        <v>-38.788089290000002</v>
      </c>
      <c r="AQ28" s="340">
        <f t="shared" si="12"/>
        <v>-93.1</v>
      </c>
      <c r="AR28" s="340"/>
      <c r="AS28" s="340"/>
      <c r="AT28" s="340"/>
    </row>
    <row r="29" spans="1:46" s="451" customFormat="1" ht="18.75" customHeight="1" x14ac:dyDescent="0.3">
      <c r="A29" s="580" t="s">
        <v>414</v>
      </c>
      <c r="B29" s="597"/>
      <c r="C29" s="340"/>
      <c r="D29" s="340"/>
      <c r="E29" s="597">
        <v>4.8965791300000001</v>
      </c>
      <c r="F29" s="340">
        <v>0</v>
      </c>
      <c r="G29" s="340">
        <f t="shared" si="18"/>
        <v>-100</v>
      </c>
      <c r="H29" s="597"/>
      <c r="I29" s="340"/>
      <c r="J29" s="340"/>
      <c r="K29" s="597"/>
      <c r="L29" s="340"/>
      <c r="M29" s="340"/>
      <c r="N29" s="597"/>
      <c r="O29" s="340"/>
      <c r="P29" s="340"/>
      <c r="Q29" s="196"/>
      <c r="R29" s="340"/>
      <c r="S29" s="340"/>
      <c r="T29" s="597">
        <v>7911.3959759999998</v>
      </c>
      <c r="U29" s="340"/>
      <c r="V29" s="340">
        <f t="shared" si="21"/>
        <v>-100</v>
      </c>
      <c r="W29" s="597">
        <v>1</v>
      </c>
      <c r="X29" s="340">
        <v>0</v>
      </c>
      <c r="Y29" s="340">
        <f t="shared" si="22"/>
        <v>-100</v>
      </c>
      <c r="Z29" s="196"/>
      <c r="AA29" s="340"/>
      <c r="AB29" s="340"/>
      <c r="AC29" s="196"/>
      <c r="AD29" s="340"/>
      <c r="AE29" s="340"/>
      <c r="AF29" s="597">
        <v>1.552047</v>
      </c>
      <c r="AG29" s="340"/>
      <c r="AH29" s="340">
        <f t="shared" si="24"/>
        <v>-100</v>
      </c>
      <c r="AI29" s="597">
        <v>757</v>
      </c>
      <c r="AJ29" s="340">
        <v>192</v>
      </c>
      <c r="AK29" s="340">
        <f t="shared" si="25"/>
        <v>-74.599999999999994</v>
      </c>
      <c r="AL29" s="597"/>
      <c r="AM29" s="340"/>
      <c r="AN29" s="340"/>
      <c r="AO29" s="340">
        <f t="shared" si="14"/>
        <v>8675.8446021300006</v>
      </c>
      <c r="AP29" s="340">
        <f t="shared" si="14"/>
        <v>192</v>
      </c>
      <c r="AQ29" s="340">
        <f t="shared" si="12"/>
        <v>-97.8</v>
      </c>
      <c r="AR29" s="340"/>
      <c r="AS29" s="340"/>
      <c r="AT29" s="340"/>
    </row>
    <row r="30" spans="1:46" s="451" customFormat="1" ht="18.75" customHeight="1" x14ac:dyDescent="0.3">
      <c r="A30" s="580" t="s">
        <v>297</v>
      </c>
      <c r="B30" s="597">
        <f>SUM(B23:B29)</f>
        <v>-13.95</v>
      </c>
      <c r="C30" s="340"/>
      <c r="D30" s="340">
        <f t="shared" si="17"/>
        <v>-100</v>
      </c>
      <c r="E30" s="597">
        <v>2726.5579811900006</v>
      </c>
      <c r="F30" s="340">
        <f>SUM(F23:F29)</f>
        <v>44.460226370000022</v>
      </c>
      <c r="G30" s="340">
        <f t="shared" si="18"/>
        <v>-98.4</v>
      </c>
      <c r="H30" s="597">
        <v>-260.9219162900003</v>
      </c>
      <c r="I30" s="340">
        <f>SUM(I23:I29)</f>
        <v>-312.4032180399995</v>
      </c>
      <c r="J30" s="340">
        <f>IF(H30=0, "    ---- ", IF(ABS(ROUND(100/H30*I30-100,1))&lt;999,ROUND(100/H30*I30-100,1),IF(ROUND(100/H30*I30-100,1)&gt;999,999,-999)))</f>
        <v>19.7</v>
      </c>
      <c r="K30" s="597">
        <v>-506.43600000000004</v>
      </c>
      <c r="L30" s="340">
        <f>SUM(L23:L29)</f>
        <v>-585.82900000000006</v>
      </c>
      <c r="M30" s="340">
        <f>IF(K30=0, "    ---- ", IF(ABS(ROUND(100/K30*L30-100,1))&lt;999,ROUND(100/K30*L30-100,1),IF(ROUND(100/K30*L30-100,1)&gt;999,999,-999)))</f>
        <v>15.7</v>
      </c>
      <c r="N30" s="597">
        <v>-185</v>
      </c>
      <c r="O30" s="340">
        <f>SUM(O23:O29)</f>
        <v>-242</v>
      </c>
      <c r="P30" s="340">
        <f t="shared" si="19"/>
        <v>30.8</v>
      </c>
      <c r="Q30" s="196">
        <v>1.324443</v>
      </c>
      <c r="R30" s="340"/>
      <c r="S30" s="340">
        <f t="shared" ref="S30" si="27">IF(Q30=0, "    ---- ", IF(ABS(ROUND(100/Q30*R30-100,1))&lt;999,ROUND(100/Q30*R30-100,1),IF(ROUND(100/Q30*R30-100,1)&gt;999,999,-999)))</f>
        <v>-100</v>
      </c>
      <c r="T30" s="196">
        <v>9329.5353161799994</v>
      </c>
      <c r="U30" s="340">
        <v>-1895.39572215</v>
      </c>
      <c r="V30" s="340">
        <f t="shared" si="21"/>
        <v>-120.3</v>
      </c>
      <c r="W30" s="597">
        <v>194.20999999999998</v>
      </c>
      <c r="X30" s="340">
        <f>SUM(X23:X29)</f>
        <v>211.94989454999998</v>
      </c>
      <c r="Y30" s="340">
        <f t="shared" si="22"/>
        <v>9.1</v>
      </c>
      <c r="Z30" s="196">
        <v>-617</v>
      </c>
      <c r="AA30" s="340">
        <f>SUM(AA23:AA29)</f>
        <v>-522</v>
      </c>
      <c r="AB30" s="340">
        <f t="shared" si="23"/>
        <v>-15.4</v>
      </c>
      <c r="AC30" s="196"/>
      <c r="AD30" s="340"/>
      <c r="AE30" s="340"/>
      <c r="AF30" s="597">
        <v>488.45817504999997</v>
      </c>
      <c r="AG30" s="340">
        <f>SUM(AG23:AG29)</f>
        <v>-337.96978273000008</v>
      </c>
      <c r="AH30" s="340">
        <f t="shared" si="24"/>
        <v>-169.2</v>
      </c>
      <c r="AI30" s="597">
        <v>391</v>
      </c>
      <c r="AJ30" s="340">
        <f>SUM(AJ23:AJ29)</f>
        <v>-3224</v>
      </c>
      <c r="AK30" s="340">
        <f t="shared" si="25"/>
        <v>-924.6</v>
      </c>
      <c r="AL30" s="597">
        <v>-1</v>
      </c>
      <c r="AM30" s="340">
        <f>SUM(AM23:AM29)</f>
        <v>-1</v>
      </c>
      <c r="AN30" s="340">
        <f t="shared" si="26"/>
        <v>0</v>
      </c>
      <c r="AO30" s="340">
        <f t="shared" si="14"/>
        <v>11546.45355613</v>
      </c>
      <c r="AP30" s="340">
        <f t="shared" si="14"/>
        <v>-6863.187602</v>
      </c>
      <c r="AQ30" s="340">
        <f t="shared" si="12"/>
        <v>-159.4</v>
      </c>
      <c r="AR30" s="340"/>
      <c r="AS30" s="340"/>
      <c r="AT30" s="340"/>
    </row>
    <row r="31" spans="1:46" s="451" customFormat="1" ht="18.75" customHeight="1" x14ac:dyDescent="0.3">
      <c r="A31" s="580" t="s">
        <v>298</v>
      </c>
      <c r="B31" s="597">
        <v>-2675.221</v>
      </c>
      <c r="C31" s="340"/>
      <c r="D31" s="340">
        <f>IF(B31=0, "    ---- ", IF(ABS(ROUND(100/B31*C31-100,1))&lt;999,ROUND(100/B31*C31-100,1),IF(ROUND(100/B31*C31-100,1)&gt;999,999,-999)))</f>
        <v>-100</v>
      </c>
      <c r="E31" s="597">
        <v>2087.1448143500002</v>
      </c>
      <c r="F31" s="340">
        <v>-8111.3492455299993</v>
      </c>
      <c r="G31" s="340">
        <f>IF(E31=0, "    ---- ", IF(ABS(ROUND(100/E31*F31-100,1))&lt;999,ROUND(100/E31*F31-100,1),IF(ROUND(100/E31*F31-100,1)&gt;999,999,-999)))</f>
        <v>-488.6</v>
      </c>
      <c r="H31" s="597"/>
      <c r="I31" s="340"/>
      <c r="J31" s="340"/>
      <c r="K31" s="597"/>
      <c r="L31" s="340"/>
      <c r="M31" s="340"/>
      <c r="N31" s="597">
        <v>470</v>
      </c>
      <c r="O31" s="340">
        <v>-5445</v>
      </c>
      <c r="P31" s="340">
        <f t="shared" si="19"/>
        <v>-999</v>
      </c>
      <c r="Q31" s="196"/>
      <c r="R31" s="340"/>
      <c r="S31" s="340"/>
      <c r="T31" s="597">
        <v>-756.38638500000002</v>
      </c>
      <c r="U31" s="340">
        <v>-1.463001</v>
      </c>
      <c r="V31" s="340">
        <f t="shared" si="21"/>
        <v>-99.8</v>
      </c>
      <c r="W31" s="597">
        <v>2857.19</v>
      </c>
      <c r="X31" s="340">
        <v>-8391.0234684799998</v>
      </c>
      <c r="Y31" s="340">
        <f>IF(W31=0, "    ---- ", IF(ABS(ROUND(100/W31*X31-100,1))&lt;999,ROUND(100/W31*X31-100,1),IF(ROUND(100/W31*X31-100,1)&gt;999,999,-999)))</f>
        <v>-393.7</v>
      </c>
      <c r="Z31" s="196"/>
      <c r="AA31" s="340"/>
      <c r="AB31" s="340"/>
      <c r="AC31" s="196">
        <v>281.31943143000001</v>
      </c>
      <c r="AD31" s="340"/>
      <c r="AE31" s="340">
        <f>IF(AC31=0, "    ---- ", IF(ABS(ROUND(100/AC31*AD31-100,1))&lt;999,ROUND(100/AC31*AD31-100,1),IF(ROUND(100/AC31*AD31-100,1)&gt;999,999,-999)))</f>
        <v>-100</v>
      </c>
      <c r="AF31" s="597">
        <v>779.70267668000008</v>
      </c>
      <c r="AG31" s="340">
        <v>-3937.136321689999</v>
      </c>
      <c r="AH31" s="340">
        <f>IF(AF31=0, "    ---- ", IF(ABS(ROUND(100/AF31*AG31-100,1))&lt;999,ROUND(100/AF31*AG31-100,1),IF(ROUND(100/AF31*AG31-100,1)&gt;999,999,-999)))</f>
        <v>-605</v>
      </c>
      <c r="AI31" s="597">
        <v>3690</v>
      </c>
      <c r="AJ31" s="340">
        <v>-11822</v>
      </c>
      <c r="AK31" s="340">
        <f>IF(AI31=0, "    ---- ", IF(ABS(ROUND(100/AI31*AJ31-100,1))&lt;999,ROUND(100/AI31*AJ31-100,1),IF(ROUND(100/AI31*AJ31-100,1)&gt;999,999,-999)))</f>
        <v>-420.4</v>
      </c>
      <c r="AL31" s="597"/>
      <c r="AM31" s="340"/>
      <c r="AN31" s="340"/>
      <c r="AO31" s="340">
        <f t="shared" si="14"/>
        <v>6452.4301060300004</v>
      </c>
      <c r="AP31" s="340">
        <f t="shared" si="14"/>
        <v>-37707.972036699997</v>
      </c>
      <c r="AQ31" s="340">
        <f t="shared" si="12"/>
        <v>-684.4</v>
      </c>
      <c r="AR31" s="340"/>
      <c r="AS31" s="340"/>
      <c r="AT31" s="340"/>
    </row>
    <row r="32" spans="1:46" s="451" customFormat="1" ht="18.75" customHeight="1" x14ac:dyDescent="0.3">
      <c r="A32" s="580" t="s">
        <v>299</v>
      </c>
      <c r="B32" s="597"/>
      <c r="C32" s="340"/>
      <c r="D32" s="340"/>
      <c r="E32" s="597">
        <v>-360.35403538000003</v>
      </c>
      <c r="F32" s="340">
        <v>-104.74216446</v>
      </c>
      <c r="G32" s="340">
        <f>IF(E32=0, "    ---- ", IF(ABS(ROUND(100/E32*F32-100,1))&lt;999,ROUND(100/E32*F32-100,1),IF(ROUND(100/E32*F32-100,1)&gt;999,999,-999)))</f>
        <v>-70.900000000000006</v>
      </c>
      <c r="H32" s="597"/>
      <c r="I32" s="340"/>
      <c r="J32" s="340"/>
      <c r="K32" s="597"/>
      <c r="L32" s="340"/>
      <c r="M32" s="340"/>
      <c r="N32" s="597">
        <v>-19</v>
      </c>
      <c r="O32" s="340">
        <v>11</v>
      </c>
      <c r="P32" s="340">
        <f t="shared" si="19"/>
        <v>-157.9</v>
      </c>
      <c r="Q32" s="196"/>
      <c r="R32" s="340"/>
      <c r="S32" s="340"/>
      <c r="T32" s="597">
        <v>-104.88882</v>
      </c>
      <c r="U32" s="340">
        <v>-13183.952998999999</v>
      </c>
      <c r="V32" s="340">
        <f>IF(T32=0, "    ---- ", IF(ABS(ROUND(100/T32*U32-100,1))&lt;999,ROUND(100/T32*U32-100,1),IF(ROUND(100/T32*U32-100,1)&gt;999,999,-999)))</f>
        <v>999</v>
      </c>
      <c r="W32" s="597">
        <v>-426.78</v>
      </c>
      <c r="X32" s="340">
        <v>-547.23206957000002</v>
      </c>
      <c r="Y32" s="340">
        <f>IF(W32=0, "    ---- ", IF(ABS(ROUND(100/W32*X32-100,1))&lt;999,ROUND(100/W32*X32-100,1),IF(ROUND(100/W32*X32-100,1)&gt;999,999,-999)))</f>
        <v>28.2</v>
      </c>
      <c r="Z32" s="196">
        <v>868</v>
      </c>
      <c r="AA32" s="340">
        <v>-2145</v>
      </c>
      <c r="AB32" s="340">
        <f>IF(Z32=0, "    ---- ", IF(ABS(ROUND(100/Z32*AA32-100,1))&lt;999,ROUND(100/Z32*AA32-100,1),IF(ROUND(100/Z32*AA32-100,1)&gt;999,999,-999)))</f>
        <v>-347.1</v>
      </c>
      <c r="AC32" s="196"/>
      <c r="AD32" s="340"/>
      <c r="AE32" s="340"/>
      <c r="AF32" s="597">
        <v>-205.00802603</v>
      </c>
      <c r="AG32" s="340">
        <v>-71.114728689999993</v>
      </c>
      <c r="AH32" s="340">
        <f>IF(AF32=0, "    ---- ", IF(ABS(ROUND(100/AF32*AG32-100,1))&lt;999,ROUND(100/AF32*AG32-100,1),IF(ROUND(100/AF32*AG32-100,1)&gt;999,999,-999)))</f>
        <v>-65.3</v>
      </c>
      <c r="AI32" s="597">
        <v>-83</v>
      </c>
      <c r="AJ32" s="340">
        <v>-162</v>
      </c>
      <c r="AK32" s="340">
        <f>IF(AI32=0, "    ---- ", IF(ABS(ROUND(100/AI32*AJ32-100,1))&lt;999,ROUND(100/AI32*AJ32-100,1),IF(ROUND(100/AI32*AJ32-100,1)&gt;999,999,-999)))</f>
        <v>95.2</v>
      </c>
      <c r="AL32" s="597"/>
      <c r="AM32" s="340"/>
      <c r="AN32" s="340"/>
      <c r="AO32" s="340">
        <f t="shared" si="14"/>
        <v>-331.03088141000001</v>
      </c>
      <c r="AP32" s="340">
        <f t="shared" si="14"/>
        <v>-16203.041961719999</v>
      </c>
      <c r="AQ32" s="340">
        <f t="shared" si="12"/>
        <v>999</v>
      </c>
      <c r="AR32" s="340"/>
      <c r="AS32" s="340"/>
      <c r="AT32" s="340"/>
    </row>
    <row r="33" spans="1:46" s="451" customFormat="1" ht="18.75" customHeight="1" x14ac:dyDescent="0.3">
      <c r="A33" s="580" t="s">
        <v>300</v>
      </c>
      <c r="B33" s="597">
        <v>-115.22</v>
      </c>
      <c r="C33" s="340"/>
      <c r="D33" s="340">
        <f>IF(B33=0, "    ---- ", IF(ABS(ROUND(100/B33*C33-100,1))&lt;999,ROUND(100/B33*C33-100,1),IF(ROUND(100/B33*C33-100,1)&gt;999,999,-999)))</f>
        <v>-100</v>
      </c>
      <c r="E33" s="597">
        <v>-307.08357636000005</v>
      </c>
      <c r="F33" s="340">
        <v>-303.31000511000002</v>
      </c>
      <c r="G33" s="340">
        <f>IF(E33=0, "    ---- ", IF(ABS(ROUND(100/E33*F33-100,1))&lt;999,ROUND(100/E33*F33-100,1),IF(ROUND(100/E33*F33-100,1)&gt;999,999,-999)))</f>
        <v>-1.2</v>
      </c>
      <c r="H33" s="597">
        <v>-215.39181605000002</v>
      </c>
      <c r="I33" s="340">
        <v>-240.09052310000001</v>
      </c>
      <c r="J33" s="340">
        <f>IF(H33=0, "    ---- ", IF(ABS(ROUND(100/H33*I33-100,1))&lt;999,ROUND(100/H33*I33-100,1),IF(ROUND(100/H33*I33-100,1)&gt;999,999,-999)))</f>
        <v>11.5</v>
      </c>
      <c r="K33" s="597">
        <v>-64.591999999999999</v>
      </c>
      <c r="L33" s="340">
        <v>-67.795000000000002</v>
      </c>
      <c r="M33" s="340">
        <f>IF(K33=0, "    ---- ", IF(ABS(ROUND(100/K33*L33-100,1))&lt;999,ROUND(100/K33*L33-100,1),IF(ROUND(100/K33*L33-100,1)&gt;999,999,-999)))</f>
        <v>5</v>
      </c>
      <c r="N33" s="597">
        <v>-77</v>
      </c>
      <c r="O33" s="340">
        <v>-95</v>
      </c>
      <c r="P33" s="340">
        <f>IF(N33=0, "    ---- ", IF(ABS(ROUND(100/N33*O33-100,1))&lt;999,ROUND(100/N33*O33-100,1),IF(ROUND(100/N33*O33-100,1)&gt;999,999,-999)))</f>
        <v>23.4</v>
      </c>
      <c r="Q33" s="196">
        <v>-2.824859</v>
      </c>
      <c r="R33" s="340"/>
      <c r="S33" s="340">
        <f>IF(Q33=0, "    ---- ", IF(ABS(ROUND(100/Q33*R33-100,1))&lt;999,ROUND(100/Q33*R33-100,1),IF(ROUND(100/Q33*R33-100,1)&gt;999,999,-999)))</f>
        <v>-100</v>
      </c>
      <c r="T33" s="597">
        <v>-367.66429635000003</v>
      </c>
      <c r="U33" s="340">
        <v>-376.78732768000003</v>
      </c>
      <c r="V33" s="340">
        <f>IF(T33=0, "    ---- ", IF(ABS(ROUND(100/T33*U33-100,1))&lt;999,ROUND(100/T33*U33-100,1),IF(ROUND(100/T33*U33-100,1)&gt;999,999,-999)))</f>
        <v>2.5</v>
      </c>
      <c r="W33" s="597">
        <v>-195.12</v>
      </c>
      <c r="X33" s="340">
        <v>-201.94425436</v>
      </c>
      <c r="Y33" s="340">
        <f>IF(W33=0, "    ---- ", IF(ABS(ROUND(100/W33*X33-100,1))&lt;999,ROUND(100/W33*X33-100,1),IF(ROUND(100/W33*X33-100,1)&gt;999,999,-999)))</f>
        <v>3.5</v>
      </c>
      <c r="Z33" s="597"/>
      <c r="AA33" s="340"/>
      <c r="AB33" s="340"/>
      <c r="AC33" s="196">
        <v>11.272140050000001</v>
      </c>
      <c r="AD33" s="340"/>
      <c r="AE33" s="340">
        <f>IF(AC33=0, "    ---- ", IF(ABS(ROUND(100/AC33*AD33-100,1))&lt;999,ROUND(100/AC33*AD33-100,1),IF(ROUND(100/AC33*AD33-100,1)&gt;999,999,-999)))</f>
        <v>-100</v>
      </c>
      <c r="AF33" s="597">
        <v>-184.7810882794</v>
      </c>
      <c r="AG33" s="340">
        <v>-208.16305885149995</v>
      </c>
      <c r="AH33" s="340">
        <f>IF(AF33=0, "    ---- ", IF(ABS(ROUND(100/AF33*AG33-100,1))&lt;999,ROUND(100/AF33*AG33-100,1),IF(ROUND(100/AF33*AG33-100,1)&gt;999,999,-999)))</f>
        <v>12.7</v>
      </c>
      <c r="AI33" s="597">
        <v>-357</v>
      </c>
      <c r="AJ33" s="340">
        <v>-423</v>
      </c>
      <c r="AK33" s="340">
        <f>IF(AI33=0, "    ---- ", IF(ABS(ROUND(100/AI33*AJ33-100,1))&lt;999,ROUND(100/AI33*AJ33-100,1),IF(ROUND(100/AI33*AJ33-100,1)&gt;999,999,-999)))</f>
        <v>18.5</v>
      </c>
      <c r="AL33" s="597">
        <v>-7</v>
      </c>
      <c r="AM33" s="340">
        <v>-11</v>
      </c>
      <c r="AN33" s="340">
        <f>IF(AL33=0, "    ---- ", IF(ABS(ROUND(100/AL33*AM33-100,1))&lt;999,ROUND(100/AL33*AM33-100,1),IF(ROUND(100/AL33*AM33-100,1)&gt;999,999,-999)))</f>
        <v>57.1</v>
      </c>
      <c r="AO33" s="340">
        <f t="shared" si="14"/>
        <v>-1883.8527770394001</v>
      </c>
      <c r="AP33" s="340">
        <f t="shared" si="14"/>
        <v>-1916.0901691015001</v>
      </c>
      <c r="AQ33" s="340">
        <f t="shared" si="12"/>
        <v>1.7</v>
      </c>
      <c r="AR33" s="340"/>
      <c r="AS33" s="340"/>
      <c r="AT33" s="340"/>
    </row>
    <row r="34" spans="1:46" s="451" customFormat="1" ht="18.75" customHeight="1" x14ac:dyDescent="0.3">
      <c r="A34" s="580" t="s">
        <v>301</v>
      </c>
      <c r="B34" s="196"/>
      <c r="C34" s="438"/>
      <c r="D34" s="438"/>
      <c r="E34" s="196">
        <v>4.2267120999999994</v>
      </c>
      <c r="F34" s="438">
        <v>13.11709132</v>
      </c>
      <c r="G34" s="438">
        <f>IF(E34=0, "    ---- ", IF(ABS(ROUND(100/E34*F34-100,1))&lt;999,ROUND(100/E34*F34-100,1),IF(ROUND(100/E34*F34-100,1)&gt;999,999,-999)))</f>
        <v>210.3</v>
      </c>
      <c r="H34" s="196">
        <v>-3.748866</v>
      </c>
      <c r="I34" s="438">
        <v>-3.8461802500000002</v>
      </c>
      <c r="J34" s="340">
        <f>IF(H34=0, "    ---- ", IF(ABS(ROUND(100/H34*I34-100,1))&lt;999,ROUND(100/H34*I34-100,1),IF(ROUND(100/H34*I34-100,1)&gt;999,999,-999)))</f>
        <v>2.6</v>
      </c>
      <c r="K34" s="196"/>
      <c r="L34" s="438"/>
      <c r="M34" s="438"/>
      <c r="N34" s="196"/>
      <c r="O34" s="438"/>
      <c r="P34" s="438"/>
      <c r="Q34" s="196"/>
      <c r="R34" s="438"/>
      <c r="S34" s="438"/>
      <c r="T34" s="196">
        <v>-330.80192699999998</v>
      </c>
      <c r="U34" s="438">
        <v>-342.19284699999997</v>
      </c>
      <c r="V34" s="438">
        <f>IF(T34=0, "    ---- ", IF(ABS(ROUND(100/T34*U34-100,1))&lt;999,ROUND(100/T34*U34-100,1),IF(ROUND(100/T34*U34-100,1)&gt;999,999,-999)))</f>
        <v>3.4</v>
      </c>
      <c r="W34" s="196">
        <v>-5.9300295700000003</v>
      </c>
      <c r="X34" s="438">
        <v>-6.2429931500000002</v>
      </c>
      <c r="Y34" s="438">
        <f>IF(W34=0, "    ---- ", IF(ABS(ROUND(100/W34*X34-100,1))&lt;999,ROUND(100/W34*X34-100,1),IF(ROUND(100/W34*X34-100,1)&gt;999,999,-999)))</f>
        <v>5.3</v>
      </c>
      <c r="Z34" s="196">
        <v>-69</v>
      </c>
      <c r="AA34" s="438">
        <v>-91</v>
      </c>
      <c r="AB34" s="438"/>
      <c r="AC34" s="196"/>
      <c r="AD34" s="438"/>
      <c r="AE34" s="438"/>
      <c r="AF34" s="196">
        <v>-0.27183763</v>
      </c>
      <c r="AG34" s="438">
        <v>-1.31230786</v>
      </c>
      <c r="AH34" s="438">
        <f>IF(AF34=0, "    ---- ", IF(ABS(ROUND(100/AF34*AG34-100,1))&lt;999,ROUND(100/AF34*AG34-100,1),IF(ROUND(100/AF34*AG34-100,1)&gt;999,999,-999)))</f>
        <v>382.8</v>
      </c>
      <c r="AI34" s="196">
        <v>-36</v>
      </c>
      <c r="AJ34" s="438">
        <v>-11</v>
      </c>
      <c r="AK34" s="438">
        <f>IF(AI34=0, "    ---- ", IF(ABS(ROUND(100/AI34*AJ34-100,1))&lt;999,ROUND(100/AI34*AJ34-100,1),IF(ROUND(100/AI34*AJ34-100,1)&gt;999,999,-999)))</f>
        <v>-69.400000000000006</v>
      </c>
      <c r="AL34" s="196"/>
      <c r="AM34" s="438"/>
      <c r="AN34" s="438"/>
      <c r="AO34" s="340">
        <f t="shared" si="14"/>
        <v>-441.52594809999994</v>
      </c>
      <c r="AP34" s="340">
        <f t="shared" si="14"/>
        <v>-442.47723693999995</v>
      </c>
      <c r="AQ34" s="438">
        <f t="shared" si="12"/>
        <v>0.2</v>
      </c>
      <c r="AR34" s="438"/>
      <c r="AS34" s="438"/>
      <c r="AT34" s="438"/>
    </row>
    <row r="35" spans="1:46" s="472" customFormat="1" ht="18.75" customHeight="1" x14ac:dyDescent="0.3">
      <c r="A35" s="607" t="s">
        <v>302</v>
      </c>
      <c r="B35" s="199">
        <f>SUM(B14+B15+B16+B17+B21+B30+B31+B32+B33+B34)</f>
        <v>63.791999999999717</v>
      </c>
      <c r="C35" s="442"/>
      <c r="D35" s="443">
        <f>IF(B35=0, "    ---- ", IF(ABS(ROUND(100/B35*C35-100,1))&lt;999,ROUND(100/B35*C35-100,1),IF(ROUND(100/B35*C35-100,1)&gt;999,999,-999)))</f>
        <v>-100</v>
      </c>
      <c r="E35" s="199">
        <v>231.8882319400019</v>
      </c>
      <c r="F35" s="442">
        <f>SUM(F14+F15+F16+F17+F21+F30+F31+F32+F33+F34)</f>
        <v>-20.353019119999303</v>
      </c>
      <c r="G35" s="443">
        <f>IF(E35=0, "    ---- ", IF(ABS(ROUND(100/E35*F35-100,1))&lt;999,ROUND(100/E35*F35-100,1),IF(ROUND(100/E35*F35-100,1)&gt;999,999,-999)))</f>
        <v>-108.8</v>
      </c>
      <c r="H35" s="199">
        <v>36.30881134999975</v>
      </c>
      <c r="I35" s="442">
        <f>SUM(I14+I15+I16+I17+I21+I30+I31+I32+I33+I34)</f>
        <v>222.6015658000008</v>
      </c>
      <c r="J35" s="443">
        <f>IF(H35=0, "    ---- ", IF(ABS(ROUND(100/H35*I35-100,1))&lt;999,ROUND(100/H35*I35-100,1),IF(ROUND(100/H35*I35-100,1)&gt;999,999,-999)))</f>
        <v>513.1</v>
      </c>
      <c r="K35" s="199">
        <v>-17.619999999999905</v>
      </c>
      <c r="L35" s="442">
        <f>SUM(L14+L15+L16+L17+L21+L30+L31+L32+L33+L34)</f>
        <v>2.1149999999998528</v>
      </c>
      <c r="M35" s="443">
        <f>IF(K35=0, "    ---- ", IF(ABS(ROUND(100/K35*L35-100,1))&lt;999,ROUND(100/K35*L35-100,1),IF(ROUND(100/K35*L35-100,1)&gt;999,999,-999)))</f>
        <v>-112</v>
      </c>
      <c r="N35" s="199">
        <v>53</v>
      </c>
      <c r="O35" s="442">
        <f>SUM(O14+O15+O16+O17+O21+O30+O31+O32+O33+O34)</f>
        <v>49</v>
      </c>
      <c r="P35" s="443">
        <f>IF(N35=0, "    ---- ", IF(ABS(ROUND(100/N35*O35-100,1))&lt;999,ROUND(100/N35*O35-100,1),IF(ROUND(100/N35*O35-100,1)&gt;999,999,-999)))</f>
        <v>-7.5</v>
      </c>
      <c r="Q35" s="199">
        <v>2.052710900000001</v>
      </c>
      <c r="R35" s="442"/>
      <c r="S35" s="443">
        <f>IF(Q35=0, "    ---- ", IF(ABS(ROUND(100/Q35*R35-100,1))&lt;999,ROUND(100/Q35*R35-100,1),IF(ROUND(100/Q35*R35-100,1)&gt;999,999,-999)))</f>
        <v>-100</v>
      </c>
      <c r="T35" s="199">
        <v>17.639145649999762</v>
      </c>
      <c r="U35" s="442">
        <v>237.35909151999869</v>
      </c>
      <c r="V35" s="443">
        <f>IF(T35=0, "    ---- ", IF(ABS(ROUND(100/T35*U35-100,1))&lt;999,ROUND(100/T35*U35-100,1),IF(ROUND(100/T35*U35-100,1)&gt;999,999,-999)))</f>
        <v>999</v>
      </c>
      <c r="W35" s="199">
        <v>221.50997043000109</v>
      </c>
      <c r="X35" s="442">
        <f>SUM(X14+X15+X16+X17+X21+X30+X31+X32+X33+X34)</f>
        <v>290.85597899999891</v>
      </c>
      <c r="Y35" s="443">
        <f>IF(W35=0, "    ---- ", IF(ABS(ROUND(100/W35*X35-100,1))&lt;999,ROUND(100/W35*X35-100,1),IF(ROUND(100/W35*X35-100,1)&gt;999,999,-999)))</f>
        <v>31.3</v>
      </c>
      <c r="Z35" s="199">
        <v>94</v>
      </c>
      <c r="AA35" s="442">
        <f>SUM(AA14+AA15+AA16+AA17+AA21+AA30+AA31+AA32+AA33+AA34)</f>
        <v>128</v>
      </c>
      <c r="AB35" s="443">
        <f>IF(Z35=0, "    ---- ", IF(ABS(ROUND(100/Z35*AA35-100,1))&lt;999,ROUND(100/Z35*AA35-100,1),IF(ROUND(100/Z35*AA35-100,1)&gt;999,999,-999)))</f>
        <v>36.200000000000003</v>
      </c>
      <c r="AC35" s="199">
        <v>13.853324129999958</v>
      </c>
      <c r="AD35" s="442"/>
      <c r="AE35" s="443">
        <f>IF(AC35=0, "    ---- ", IF(ABS(ROUND(100/AC35*AD35-100,1))&lt;999,ROUND(100/AC35*AD35-100,1),IF(ROUND(100/AC35*AD35-100,1)&gt;999,999,-999)))</f>
        <v>-100</v>
      </c>
      <c r="AF35" s="199">
        <v>33.205964620598841</v>
      </c>
      <c r="AG35" s="442">
        <f>SUM(AG14+AG15+AG16+AG17+AG21+AG30+AG31+AG32+AG33+AG34)</f>
        <v>20.343311068500643</v>
      </c>
      <c r="AH35" s="443">
        <f>IF(AF35=0, "    ---- ", IF(ABS(ROUND(100/AF35*AG35-100,1))&lt;999,ROUND(100/AF35*AG35-100,1),IF(ROUND(100/AF35*AG35-100,1)&gt;999,999,-999)))</f>
        <v>-38.700000000000003</v>
      </c>
      <c r="AI35" s="199">
        <v>-197</v>
      </c>
      <c r="AJ35" s="442">
        <f>SUM(AJ14+AJ15+AJ16+AJ17+AJ21+AJ30+AJ31+AJ32+AJ33+AJ34)</f>
        <v>-396</v>
      </c>
      <c r="AK35" s="443">
        <f>IF(AI35=0, "    ---- ", IF(ABS(ROUND(100/AI35*AJ35-100,1))&lt;999,ROUND(100/AI35*AJ35-100,1),IF(ROUND(100/AI35*AJ35-100,1)&gt;999,999,-999)))</f>
        <v>101</v>
      </c>
      <c r="AL35" s="199">
        <v>-7.1</v>
      </c>
      <c r="AM35" s="442">
        <f>SUM(AM14+AM15+AM16+AM17+AM21+AM30+AM31+AM32+AM33+AM34)</f>
        <v>-11</v>
      </c>
      <c r="AN35" s="443">
        <f>IF(AL35=0, "    ---- ", IF(ABS(ROUND(100/AL35*AM35-100,1))&lt;999,ROUND(100/AL35*AM35-100,1),IF(ROUND(100/AL35*AM35-100,1)&gt;999,999,-999)))</f>
        <v>54.9</v>
      </c>
      <c r="AO35" s="695">
        <f t="shared" si="14"/>
        <v>536.72412399060113</v>
      </c>
      <c r="AP35" s="695">
        <f t="shared" si="14"/>
        <v>533.92192826849953</v>
      </c>
      <c r="AQ35" s="443">
        <f t="shared" si="12"/>
        <v>-0.5</v>
      </c>
      <c r="AR35" s="443"/>
      <c r="AS35" s="443"/>
      <c r="AT35" s="443"/>
    </row>
    <row r="36" spans="1:46" s="472" customFormat="1" ht="18.75" customHeight="1" x14ac:dyDescent="0.3">
      <c r="A36" s="608"/>
      <c r="B36" s="609"/>
      <c r="C36" s="498"/>
      <c r="D36" s="436"/>
      <c r="E36" s="609"/>
      <c r="F36" s="498"/>
      <c r="G36" s="436"/>
      <c r="H36" s="609"/>
      <c r="I36" s="498"/>
      <c r="J36" s="436"/>
      <c r="K36" s="609"/>
      <c r="L36" s="498"/>
      <c r="M36" s="436"/>
      <c r="N36" s="609"/>
      <c r="O36" s="498"/>
      <c r="P36" s="436"/>
      <c r="Q36" s="609"/>
      <c r="R36" s="498"/>
      <c r="S36" s="436"/>
      <c r="T36" s="609"/>
      <c r="U36" s="498"/>
      <c r="V36" s="436"/>
      <c r="W36" s="609"/>
      <c r="X36" s="498"/>
      <c r="Y36" s="436"/>
      <c r="Z36" s="609"/>
      <c r="AA36" s="498"/>
      <c r="AB36" s="436"/>
      <c r="AC36" s="609"/>
      <c r="AD36" s="498"/>
      <c r="AE36" s="436"/>
      <c r="AF36" s="609"/>
      <c r="AG36" s="498"/>
      <c r="AH36" s="610"/>
      <c r="AI36" s="609"/>
      <c r="AJ36" s="498"/>
      <c r="AK36" s="610"/>
      <c r="AL36" s="609"/>
      <c r="AM36" s="498"/>
      <c r="AN36" s="610"/>
      <c r="AO36" s="340"/>
      <c r="AP36" s="340"/>
      <c r="AQ36" s="610"/>
      <c r="AR36" s="611"/>
      <c r="AS36" s="612"/>
      <c r="AT36" s="613"/>
    </row>
    <row r="37" spans="1:46" s="472" customFormat="1" ht="18.75" customHeight="1" x14ac:dyDescent="0.3">
      <c r="A37" s="585" t="s">
        <v>303</v>
      </c>
      <c r="B37" s="609"/>
      <c r="C37" s="498"/>
      <c r="D37" s="436"/>
      <c r="E37" s="609"/>
      <c r="F37" s="498"/>
      <c r="G37" s="436"/>
      <c r="H37" s="609"/>
      <c r="I37" s="498"/>
      <c r="J37" s="436"/>
      <c r="K37" s="609"/>
      <c r="L37" s="498"/>
      <c r="M37" s="436"/>
      <c r="N37" s="609"/>
      <c r="O37" s="498"/>
      <c r="P37" s="436"/>
      <c r="Q37" s="609"/>
      <c r="R37" s="498"/>
      <c r="S37" s="436"/>
      <c r="T37" s="609"/>
      <c r="U37" s="498"/>
      <c r="V37" s="436"/>
      <c r="W37" s="609"/>
      <c r="X37" s="498"/>
      <c r="Y37" s="436"/>
      <c r="Z37" s="609"/>
      <c r="AA37" s="498"/>
      <c r="AB37" s="436"/>
      <c r="AC37" s="609"/>
      <c r="AD37" s="498"/>
      <c r="AE37" s="436"/>
      <c r="AF37" s="609"/>
      <c r="AG37" s="498"/>
      <c r="AH37" s="436"/>
      <c r="AI37" s="609"/>
      <c r="AJ37" s="498"/>
      <c r="AK37" s="436"/>
      <c r="AL37" s="609"/>
      <c r="AM37" s="498"/>
      <c r="AN37" s="436"/>
      <c r="AO37" s="340"/>
      <c r="AP37" s="340"/>
      <c r="AQ37" s="436"/>
      <c r="AR37" s="614"/>
      <c r="AS37" s="615"/>
      <c r="AT37" s="616"/>
    </row>
    <row r="38" spans="1:46" s="449" customFormat="1" ht="18.75" customHeight="1" x14ac:dyDescent="0.3">
      <c r="A38" s="580" t="s">
        <v>304</v>
      </c>
      <c r="B38" s="596">
        <v>3.49</v>
      </c>
      <c r="C38" s="493"/>
      <c r="D38" s="340">
        <f t="shared" ref="D38:D44" si="28">IF(B38=0, "    ---- ", IF(ABS(ROUND(100/B38*C38-100,1))&lt;999,ROUND(100/B38*C38-100,1),IF(ROUND(100/B38*C38-100,1)&gt;999,999,-999)))</f>
        <v>-100</v>
      </c>
      <c r="E38" s="596">
        <v>25.720842480000016</v>
      </c>
      <c r="F38" s="493">
        <v>310.34256166</v>
      </c>
      <c r="G38" s="340">
        <f t="shared" ref="G38:G45" si="29">IF(E38=0, "    ---- ", IF(ABS(ROUND(100/E38*F38-100,1))&lt;999,ROUND(100/E38*F38-100,1),IF(ROUND(100/E38*F38-100,1)&gt;999,999,-999)))</f>
        <v>999</v>
      </c>
      <c r="H38" s="596">
        <v>4.5825202299999992</v>
      </c>
      <c r="I38" s="493">
        <v>21.896278609999996</v>
      </c>
      <c r="J38" s="340">
        <f t="shared" ref="J38:J44" si="30">IF(H38=0, "    ---- ", IF(ABS(ROUND(100/H38*I38-100,1))&lt;999,ROUND(100/H38*I38-100,1),IF(ROUND(100/H38*I38-100,1)&gt;999,999,-999)))</f>
        <v>377.8</v>
      </c>
      <c r="K38" s="596">
        <v>-5.2220000000000004</v>
      </c>
      <c r="L38" s="493">
        <v>6.1599000000000004</v>
      </c>
      <c r="M38" s="340">
        <f t="shared" ref="M38:M44" si="31">IF(K38=0, "    ---- ", IF(ABS(ROUND(100/K38*L38-100,1))&lt;999,ROUND(100/K38*L38-100,1),IF(ROUND(100/K38*L38-100,1)&gt;999,999,-999)))</f>
        <v>-218</v>
      </c>
      <c r="N38" s="596">
        <v>3</v>
      </c>
      <c r="O38" s="493">
        <v>14</v>
      </c>
      <c r="P38" s="340">
        <f t="shared" ref="P38:P44" si="32">IF(N38=0, "    ---- ", IF(ABS(ROUND(100/N38*O38-100,1))&lt;999,ROUND(100/N38*O38-100,1),IF(ROUND(100/N38*O38-100,1)&gt;999,999,-999)))</f>
        <v>366.7</v>
      </c>
      <c r="Q38" s="596"/>
      <c r="R38" s="493"/>
      <c r="S38" s="340"/>
      <c r="T38" s="596">
        <v>111.58918088999999</v>
      </c>
      <c r="U38" s="493">
        <v>372.27883307999997</v>
      </c>
      <c r="V38" s="340">
        <f t="shared" ref="V38:V45" si="33">IF(T38=0, "    ---- ", IF(ABS(ROUND(100/T38*U38-100,1))&lt;999,ROUND(100/T38*U38-100,1),IF(ROUND(100/T38*U38-100,1)&gt;999,999,-999)))</f>
        <v>233.6</v>
      </c>
      <c r="W38" s="596">
        <v>-30.7</v>
      </c>
      <c r="X38" s="493">
        <v>81.610570769999981</v>
      </c>
      <c r="Y38" s="340">
        <f t="shared" ref="Y38:Y45" si="34">IF(W38=0, "    ---- ", IF(ABS(ROUND(100/W38*X38-100,1))&lt;999,ROUND(100/W38*X38-100,1),IF(ROUND(100/W38*X38-100,1)&gt;999,999,-999)))</f>
        <v>-365.8</v>
      </c>
      <c r="Z38" s="596">
        <v>-22</v>
      </c>
      <c r="AA38" s="493">
        <v>189</v>
      </c>
      <c r="AB38" s="340">
        <f t="shared" ref="AB38:AB44" si="35">IF(Z38=0, "    ---- ", IF(ABS(ROUND(100/Z38*AA38-100,1))&lt;999,ROUND(100/Z38*AA38-100,1),IF(ROUND(100/Z38*AA38-100,1)&gt;999,999,-999)))</f>
        <v>-959.1</v>
      </c>
      <c r="AC38" s="596"/>
      <c r="AD38" s="493"/>
      <c r="AE38" s="340"/>
      <c r="AF38" s="596">
        <v>-36.093703120000008</v>
      </c>
      <c r="AG38" s="493">
        <v>63.841289290004937</v>
      </c>
      <c r="AH38" s="340">
        <f t="shared" ref="AH38:AH44" si="36">IF(AF38=0, "    ---- ", IF(ABS(ROUND(100/AF38*AG38-100,1))&lt;999,ROUND(100/AF38*AG38-100,1),IF(ROUND(100/AF38*AG38-100,1)&gt;999,999,-999)))</f>
        <v>-276.89999999999998</v>
      </c>
      <c r="AI38" s="596">
        <v>1449</v>
      </c>
      <c r="AJ38" s="493">
        <v>1226</v>
      </c>
      <c r="AK38" s="340">
        <f t="shared" ref="AK38:AK45" si="37">IF(AI38=0, "    ---- ", IF(ABS(ROUND(100/AI38*AJ38-100,1))&lt;999,ROUND(100/AI38*AJ38-100,1),IF(ROUND(100/AI38*AJ38-100,1)&gt;999,999,-999)))</f>
        <v>-15.4</v>
      </c>
      <c r="AL38" s="596"/>
      <c r="AM38" s="493"/>
      <c r="AN38" s="340"/>
      <c r="AO38" s="340">
        <f t="shared" si="14"/>
        <v>1503.3668404800001</v>
      </c>
      <c r="AP38" s="340">
        <f t="shared" si="14"/>
        <v>2285.1294334100048</v>
      </c>
      <c r="AQ38" s="340">
        <f t="shared" si="12"/>
        <v>52</v>
      </c>
      <c r="AR38" s="598"/>
      <c r="AS38" s="617"/>
      <c r="AT38" s="515"/>
    </row>
    <row r="39" spans="1:46" s="449" customFormat="1" ht="18.75" customHeight="1" x14ac:dyDescent="0.3">
      <c r="A39" s="580" t="s">
        <v>305</v>
      </c>
      <c r="B39" s="596"/>
      <c r="C39" s="493"/>
      <c r="D39" s="340"/>
      <c r="E39" s="596">
        <v>2.5101550000000001</v>
      </c>
      <c r="F39" s="493">
        <v>2.871413</v>
      </c>
      <c r="G39" s="340">
        <f t="shared" si="29"/>
        <v>14.4</v>
      </c>
      <c r="H39" s="596"/>
      <c r="I39" s="493"/>
      <c r="J39" s="340"/>
      <c r="K39" s="596"/>
      <c r="L39" s="493"/>
      <c r="M39" s="340"/>
      <c r="N39" s="596"/>
      <c r="O39" s="493"/>
      <c r="P39" s="340"/>
      <c r="Q39" s="596">
        <v>0.41050500000000001</v>
      </c>
      <c r="R39" s="493"/>
      <c r="S39" s="340">
        <f t="shared" ref="S39:S44" si="38">IF(Q39=0, "    ---- ", IF(ABS(ROUND(100/Q39*R39-100,1))&lt;999,ROUND(100/Q39*R39-100,1),IF(ROUND(100/Q39*R39-100,1)&gt;999,999,-999)))</f>
        <v>-100</v>
      </c>
      <c r="T39" s="596">
        <v>2.08116272</v>
      </c>
      <c r="U39" s="493">
        <v>7.7720612300000003</v>
      </c>
      <c r="V39" s="340">
        <f t="shared" si="33"/>
        <v>273.39999999999998</v>
      </c>
      <c r="W39" s="596">
        <v>0</v>
      </c>
      <c r="X39" s="493">
        <v>-1.692188E-2</v>
      </c>
      <c r="Y39" s="340" t="str">
        <f t="shared" si="34"/>
        <v xml:space="preserve">    ---- </v>
      </c>
      <c r="Z39" s="596">
        <v>2</v>
      </c>
      <c r="AA39" s="493">
        <v>5</v>
      </c>
      <c r="AB39" s="340">
        <f t="shared" si="35"/>
        <v>150</v>
      </c>
      <c r="AC39" s="596"/>
      <c r="AD39" s="493"/>
      <c r="AE39" s="340"/>
      <c r="AF39" s="596">
        <v>1.33180959</v>
      </c>
      <c r="AG39" s="493">
        <v>4.9848598499999994</v>
      </c>
      <c r="AH39" s="340">
        <f t="shared" si="36"/>
        <v>274.3</v>
      </c>
      <c r="AI39" s="596">
        <v>2</v>
      </c>
      <c r="AJ39" s="493">
        <v>16</v>
      </c>
      <c r="AK39" s="340">
        <f t="shared" si="37"/>
        <v>700</v>
      </c>
      <c r="AL39" s="596"/>
      <c r="AM39" s="493"/>
      <c r="AN39" s="340"/>
      <c r="AO39" s="340">
        <f t="shared" si="14"/>
        <v>9.9231273099999999</v>
      </c>
      <c r="AP39" s="340">
        <f t="shared" si="14"/>
        <v>36.611412200000004</v>
      </c>
      <c r="AQ39" s="340">
        <f t="shared" si="12"/>
        <v>269</v>
      </c>
      <c r="AR39" s="340"/>
      <c r="AS39" s="618"/>
      <c r="AT39" s="340"/>
    </row>
    <row r="40" spans="1:46" s="449" customFormat="1" ht="18.75" customHeight="1" x14ac:dyDescent="0.3">
      <c r="A40" s="580" t="s">
        <v>306</v>
      </c>
      <c r="B40" s="596"/>
      <c r="C40" s="493"/>
      <c r="D40" s="340"/>
      <c r="E40" s="596">
        <v>-68.347258229999994</v>
      </c>
      <c r="F40" s="493">
        <v>-104.86931712999998</v>
      </c>
      <c r="G40" s="340">
        <f t="shared" si="29"/>
        <v>53.4</v>
      </c>
      <c r="H40" s="596">
        <v>-4.5373922800000006</v>
      </c>
      <c r="I40" s="493">
        <v>-8.2513763299999994</v>
      </c>
      <c r="J40" s="340">
        <f t="shared" si="30"/>
        <v>81.900000000000006</v>
      </c>
      <c r="K40" s="596"/>
      <c r="L40" s="493"/>
      <c r="M40" s="340"/>
      <c r="N40" s="596">
        <v>-2</v>
      </c>
      <c r="O40" s="493">
        <v>-4</v>
      </c>
      <c r="P40" s="340">
        <f t="shared" si="32"/>
        <v>100</v>
      </c>
      <c r="Q40" s="596"/>
      <c r="R40" s="493"/>
      <c r="S40" s="340"/>
      <c r="T40" s="596">
        <v>-60.392508770000006</v>
      </c>
      <c r="U40" s="493">
        <v>-78.177887330000004</v>
      </c>
      <c r="V40" s="340">
        <f t="shared" si="33"/>
        <v>29.4</v>
      </c>
      <c r="W40" s="596">
        <v>-26.82</v>
      </c>
      <c r="X40" s="493">
        <v>-41.593575889999997</v>
      </c>
      <c r="Y40" s="340">
        <f t="shared" si="34"/>
        <v>55.1</v>
      </c>
      <c r="Z40" s="596">
        <v>-26</v>
      </c>
      <c r="AA40" s="493">
        <v>-29</v>
      </c>
      <c r="AB40" s="340">
        <f t="shared" si="35"/>
        <v>11.5</v>
      </c>
      <c r="AC40" s="596"/>
      <c r="AD40" s="493"/>
      <c r="AE40" s="340"/>
      <c r="AF40" s="596">
        <v>-0.99211520060000014</v>
      </c>
      <c r="AG40" s="493">
        <v>-0.59114153849999984</v>
      </c>
      <c r="AH40" s="340">
        <f t="shared" si="36"/>
        <v>-40.4</v>
      </c>
      <c r="AI40" s="596">
        <v>-89</v>
      </c>
      <c r="AJ40" s="493">
        <v>-360</v>
      </c>
      <c r="AK40" s="340">
        <f t="shared" si="37"/>
        <v>304.5</v>
      </c>
      <c r="AL40" s="596"/>
      <c r="AM40" s="493"/>
      <c r="AN40" s="340"/>
      <c r="AO40" s="340">
        <f t="shared" si="14"/>
        <v>-278.08927448060001</v>
      </c>
      <c r="AP40" s="340">
        <f t="shared" si="14"/>
        <v>-626.48329821849995</v>
      </c>
      <c r="AQ40" s="340">
        <f t="shared" si="12"/>
        <v>125.3</v>
      </c>
      <c r="AR40" s="340"/>
      <c r="AS40" s="618"/>
      <c r="AT40" s="340"/>
    </row>
    <row r="41" spans="1:46" s="620" customFormat="1" ht="18.75" customHeight="1" x14ac:dyDescent="0.3">
      <c r="A41" s="608" t="s">
        <v>307</v>
      </c>
      <c r="B41" s="609">
        <f>SUM(B38:B40)</f>
        <v>3.49</v>
      </c>
      <c r="C41" s="498"/>
      <c r="D41" s="436">
        <f t="shared" si="28"/>
        <v>-100</v>
      </c>
      <c r="E41" s="609">
        <v>-40.116260749999981</v>
      </c>
      <c r="F41" s="498">
        <f>SUM(F38:F40)</f>
        <v>208.34465753000003</v>
      </c>
      <c r="G41" s="436">
        <f t="shared" si="29"/>
        <v>-619.4</v>
      </c>
      <c r="H41" s="609">
        <v>4.5127949999998584E-2</v>
      </c>
      <c r="I41" s="498">
        <f>SUM(I38:I40)</f>
        <v>13.644902279999997</v>
      </c>
      <c r="J41" s="436">
        <f t="shared" si="30"/>
        <v>999</v>
      </c>
      <c r="K41" s="609">
        <v>-5.2220000000000004</v>
      </c>
      <c r="L41" s="498">
        <f>SUM(L38:L40)</f>
        <v>6.1599000000000004</v>
      </c>
      <c r="M41" s="436">
        <f t="shared" si="31"/>
        <v>-218</v>
      </c>
      <c r="N41" s="609">
        <v>1</v>
      </c>
      <c r="O41" s="498">
        <f>SUM(O38:O40)</f>
        <v>10</v>
      </c>
      <c r="P41" s="436">
        <f t="shared" si="32"/>
        <v>900</v>
      </c>
      <c r="Q41" s="609">
        <v>0.41050500000000001</v>
      </c>
      <c r="R41" s="498"/>
      <c r="S41" s="436">
        <f t="shared" si="38"/>
        <v>-100</v>
      </c>
      <c r="T41" s="609">
        <v>53.277834839999983</v>
      </c>
      <c r="U41" s="498">
        <v>301.87300698000001</v>
      </c>
      <c r="V41" s="436">
        <f t="shared" si="33"/>
        <v>466.6</v>
      </c>
      <c r="W41" s="609">
        <v>-57.519999999999996</v>
      </c>
      <c r="X41" s="498">
        <f>SUM(X38:X40)</f>
        <v>40.000072999999986</v>
      </c>
      <c r="Y41" s="436">
        <f t="shared" si="34"/>
        <v>-169.5</v>
      </c>
      <c r="Z41" s="609">
        <v>-46</v>
      </c>
      <c r="AA41" s="498">
        <f>SUM(AA38:AA40)</f>
        <v>165</v>
      </c>
      <c r="AB41" s="436">
        <f t="shared" si="35"/>
        <v>-458.7</v>
      </c>
      <c r="AC41" s="609">
        <v>0</v>
      </c>
      <c r="AD41" s="498"/>
      <c r="AE41" s="340" t="str">
        <f>IF(AC41=0, "    ---- ", IF(ABS(ROUND(100/AC41*AD41-100,1))&lt;999,ROUND(100/AC41*AD41-100,1),IF(ROUND(100/AC41*AD41-100,1)&gt;999,999,-999)))</f>
        <v xml:space="preserve">    ---- </v>
      </c>
      <c r="AF41" s="609">
        <v>-35.754008730600006</v>
      </c>
      <c r="AG41" s="498">
        <f>SUM(AG38:AG40)</f>
        <v>68.235007601504932</v>
      </c>
      <c r="AH41" s="436">
        <f t="shared" si="36"/>
        <v>-290.8</v>
      </c>
      <c r="AI41" s="609">
        <v>1362</v>
      </c>
      <c r="AJ41" s="498">
        <f>SUM(AJ38:AJ40)</f>
        <v>882</v>
      </c>
      <c r="AK41" s="436">
        <f t="shared" si="37"/>
        <v>-35.200000000000003</v>
      </c>
      <c r="AL41" s="609"/>
      <c r="AM41" s="498"/>
      <c r="AN41" s="436"/>
      <c r="AO41" s="340">
        <f t="shared" si="14"/>
        <v>1235.2006933094001</v>
      </c>
      <c r="AP41" s="340">
        <f t="shared" si="14"/>
        <v>1695.2575473915049</v>
      </c>
      <c r="AQ41" s="436">
        <f t="shared" si="12"/>
        <v>37.200000000000003</v>
      </c>
      <c r="AR41" s="436"/>
      <c r="AS41" s="619"/>
      <c r="AT41" s="436"/>
    </row>
    <row r="42" spans="1:46" s="620" customFormat="1" ht="18.75" customHeight="1" x14ac:dyDescent="0.3">
      <c r="A42" s="608" t="s">
        <v>308</v>
      </c>
      <c r="B42" s="609">
        <f>B35+B41</f>
        <v>67.281999999999712</v>
      </c>
      <c r="C42" s="498"/>
      <c r="D42" s="436">
        <f t="shared" si="28"/>
        <v>-100</v>
      </c>
      <c r="E42" s="609">
        <v>191.77197119000192</v>
      </c>
      <c r="F42" s="498">
        <f>F35+F41</f>
        <v>187.99163841000075</v>
      </c>
      <c r="G42" s="436">
        <f t="shared" si="29"/>
        <v>-2</v>
      </c>
      <c r="H42" s="609">
        <v>36.353939299999752</v>
      </c>
      <c r="I42" s="498">
        <f>I35+I41</f>
        <v>236.2464680800008</v>
      </c>
      <c r="J42" s="436">
        <f t="shared" si="30"/>
        <v>549.9</v>
      </c>
      <c r="K42" s="609">
        <v>-22.841999999999906</v>
      </c>
      <c r="L42" s="498">
        <f>L35+L41</f>
        <v>8.2748999999998532</v>
      </c>
      <c r="M42" s="436">
        <f t="shared" si="31"/>
        <v>-136.19999999999999</v>
      </c>
      <c r="N42" s="609">
        <v>54</v>
      </c>
      <c r="O42" s="498">
        <f>O35+O41</f>
        <v>59</v>
      </c>
      <c r="P42" s="436">
        <f t="shared" si="32"/>
        <v>9.3000000000000007</v>
      </c>
      <c r="Q42" s="609">
        <v>2.4632159000000011</v>
      </c>
      <c r="R42" s="498"/>
      <c r="S42" s="436">
        <f t="shared" si="38"/>
        <v>-100</v>
      </c>
      <c r="T42" s="609">
        <v>70.916980489999744</v>
      </c>
      <c r="U42" s="498">
        <v>539.23209849999876</v>
      </c>
      <c r="V42" s="436">
        <f t="shared" si="33"/>
        <v>660.4</v>
      </c>
      <c r="W42" s="609">
        <v>163.98997043000111</v>
      </c>
      <c r="X42" s="498">
        <f>X35+X41</f>
        <v>330.8560519999989</v>
      </c>
      <c r="Y42" s="436">
        <f t="shared" si="34"/>
        <v>101.8</v>
      </c>
      <c r="Z42" s="609">
        <v>48</v>
      </c>
      <c r="AA42" s="498">
        <f>AA35+AA41</f>
        <v>293</v>
      </c>
      <c r="AB42" s="436">
        <f t="shared" si="35"/>
        <v>510.4</v>
      </c>
      <c r="AC42" s="609">
        <v>13.853324129999958</v>
      </c>
      <c r="AD42" s="498"/>
      <c r="AE42" s="436">
        <f>IF(AC42=0, "    ---- ", IF(ABS(ROUND(100/AC42*AD42-100,1))&lt;999,ROUND(100/AC42*AD42-100,1),IF(ROUND(100/AC42*AD42-100,1)&gt;999,999,-999)))</f>
        <v>-100</v>
      </c>
      <c r="AF42" s="609">
        <v>-2.5480441100011646</v>
      </c>
      <c r="AG42" s="498">
        <f>AG35+AG41</f>
        <v>88.578318670005572</v>
      </c>
      <c r="AH42" s="436">
        <f t="shared" si="36"/>
        <v>-999</v>
      </c>
      <c r="AI42" s="609">
        <v>1165</v>
      </c>
      <c r="AJ42" s="498">
        <f>AJ35+AJ41</f>
        <v>486</v>
      </c>
      <c r="AK42" s="436">
        <f t="shared" si="37"/>
        <v>-58.3</v>
      </c>
      <c r="AL42" s="609">
        <v>-7.1</v>
      </c>
      <c r="AM42" s="498">
        <f>AM35+AM41</f>
        <v>-11</v>
      </c>
      <c r="AN42" s="436">
        <f t="shared" ref="AN42:AN44" si="39">IF(AL42=0, "    ---- ", IF(ABS(ROUND(100/AL42*AM42-100,1))&lt;999,ROUND(100/AL42*AM42-100,1),IF(ROUND(100/AL42*AM42-100,1)&gt;999,999,-999)))</f>
        <v>54.9</v>
      </c>
      <c r="AO42" s="340">
        <f t="shared" si="14"/>
        <v>1771.924817300001</v>
      </c>
      <c r="AP42" s="340">
        <f t="shared" si="14"/>
        <v>2229.1794756600048</v>
      </c>
      <c r="AQ42" s="436">
        <f t="shared" si="12"/>
        <v>25.8</v>
      </c>
      <c r="AR42" s="436"/>
      <c r="AS42" s="619"/>
      <c r="AT42" s="436"/>
    </row>
    <row r="43" spans="1:46" s="449" customFormat="1" ht="18.75" customHeight="1" x14ac:dyDescent="0.3">
      <c r="A43" s="580" t="s">
        <v>309</v>
      </c>
      <c r="B43" s="596">
        <v>-16.821000000000002</v>
      </c>
      <c r="C43" s="493"/>
      <c r="D43" s="340">
        <f t="shared" si="28"/>
        <v>-100</v>
      </c>
      <c r="E43" s="596">
        <v>-35.392471999999998</v>
      </c>
      <c r="F43" s="493">
        <v>-43.500520999999999</v>
      </c>
      <c r="G43" s="340">
        <f t="shared" si="29"/>
        <v>22.9</v>
      </c>
      <c r="H43" s="596">
        <v>-15.5954335</v>
      </c>
      <c r="I43" s="493">
        <v>-65.376398870000003</v>
      </c>
      <c r="J43" s="340">
        <f t="shared" si="30"/>
        <v>319.2</v>
      </c>
      <c r="K43" s="596">
        <v>2.0939999999999999</v>
      </c>
      <c r="L43" s="493">
        <v>-1.5168999999999999</v>
      </c>
      <c r="M43" s="340">
        <f t="shared" si="31"/>
        <v>-172.4</v>
      </c>
      <c r="N43" s="596">
        <v>-14</v>
      </c>
      <c r="O43" s="493">
        <v>-15</v>
      </c>
      <c r="P43" s="340">
        <f t="shared" si="32"/>
        <v>7.1</v>
      </c>
      <c r="Q43" s="596">
        <v>-0.860545</v>
      </c>
      <c r="R43" s="493"/>
      <c r="S43" s="340">
        <f t="shared" si="38"/>
        <v>-100</v>
      </c>
      <c r="T43" s="596">
        <v>-3.799046474999999</v>
      </c>
      <c r="U43" s="493">
        <v>-117.817463475</v>
      </c>
      <c r="V43" s="340">
        <f t="shared" si="33"/>
        <v>999</v>
      </c>
      <c r="W43" s="596">
        <v>-41.08</v>
      </c>
      <c r="X43" s="493">
        <v>-78.781106940000001</v>
      </c>
      <c r="Y43" s="340">
        <f t="shared" si="34"/>
        <v>91.8</v>
      </c>
      <c r="Z43" s="596">
        <v>-33</v>
      </c>
      <c r="AA43" s="493"/>
      <c r="AB43" s="340">
        <f t="shared" si="35"/>
        <v>-100</v>
      </c>
      <c r="AC43" s="693">
        <v>-0.61642300000000005</v>
      </c>
      <c r="AD43" s="493"/>
      <c r="AE43" s="340"/>
      <c r="AF43" s="596">
        <v>5.7208670000000001</v>
      </c>
      <c r="AG43" s="493">
        <v>-20.753216999999999</v>
      </c>
      <c r="AH43" s="340">
        <f t="shared" si="36"/>
        <v>-462.8</v>
      </c>
      <c r="AI43" s="596">
        <v>545</v>
      </c>
      <c r="AJ43" s="493">
        <v>303</v>
      </c>
      <c r="AK43" s="340">
        <f t="shared" si="37"/>
        <v>-44.4</v>
      </c>
      <c r="AL43" s="596"/>
      <c r="AM43" s="493"/>
      <c r="AN43" s="340"/>
      <c r="AO43" s="340">
        <f t="shared" si="14"/>
        <v>393.12691502500002</v>
      </c>
      <c r="AP43" s="340">
        <f t="shared" si="14"/>
        <v>-39.745607285000006</v>
      </c>
      <c r="AQ43" s="340">
        <f t="shared" si="12"/>
        <v>-110.1</v>
      </c>
      <c r="AR43" s="340"/>
      <c r="AS43" s="618"/>
      <c r="AT43" s="340"/>
    </row>
    <row r="44" spans="1:46" s="620" customFormat="1" ht="18.75" customHeight="1" x14ac:dyDescent="0.3">
      <c r="A44" s="608" t="s">
        <v>415</v>
      </c>
      <c r="B44" s="609">
        <f>B42+B43</f>
        <v>50.460999999999714</v>
      </c>
      <c r="C44" s="498"/>
      <c r="D44" s="436">
        <f t="shared" si="28"/>
        <v>-100</v>
      </c>
      <c r="E44" s="609">
        <v>156.37949919000192</v>
      </c>
      <c r="F44" s="498">
        <f>F42+F43</f>
        <v>144.49111741000075</v>
      </c>
      <c r="G44" s="436">
        <f t="shared" si="29"/>
        <v>-7.6</v>
      </c>
      <c r="H44" s="609">
        <v>20.758505799999753</v>
      </c>
      <c r="I44" s="498">
        <f>I42+I43</f>
        <v>170.87006921000079</v>
      </c>
      <c r="J44" s="436">
        <f t="shared" si="30"/>
        <v>723.1</v>
      </c>
      <c r="K44" s="609">
        <v>-20.747999999999905</v>
      </c>
      <c r="L44" s="498">
        <f>L42+L43</f>
        <v>6.7579999999998535</v>
      </c>
      <c r="M44" s="436">
        <f t="shared" si="31"/>
        <v>-132.6</v>
      </c>
      <c r="N44" s="609">
        <v>40</v>
      </c>
      <c r="O44" s="498">
        <f>O42+O43</f>
        <v>44</v>
      </c>
      <c r="P44" s="436">
        <f t="shared" si="32"/>
        <v>10</v>
      </c>
      <c r="Q44" s="609">
        <v>1.602670900000001</v>
      </c>
      <c r="R44" s="498"/>
      <c r="S44" s="436">
        <f t="shared" si="38"/>
        <v>-100</v>
      </c>
      <c r="T44" s="609">
        <v>67.117934014999747</v>
      </c>
      <c r="U44" s="498">
        <v>421.41463502499874</v>
      </c>
      <c r="V44" s="436">
        <f t="shared" si="33"/>
        <v>527.9</v>
      </c>
      <c r="W44" s="609">
        <v>122.90997043000111</v>
      </c>
      <c r="X44" s="498">
        <f>X42+X43</f>
        <v>252.0749450599989</v>
      </c>
      <c r="Y44" s="436">
        <f t="shared" si="34"/>
        <v>105.1</v>
      </c>
      <c r="Z44" s="609">
        <v>15</v>
      </c>
      <c r="AA44" s="498">
        <f>AA42+AA43</f>
        <v>293</v>
      </c>
      <c r="AB44" s="436">
        <f t="shared" si="35"/>
        <v>999</v>
      </c>
      <c r="AC44" s="609">
        <v>13.236901129999959</v>
      </c>
      <c r="AD44" s="498"/>
      <c r="AE44" s="436">
        <f>IF(AC44=0, "    ---- ", IF(ABS(ROUND(100/AC44*AD44-100,1))&lt;999,ROUND(100/AC44*AD44-100,1),IF(ROUND(100/AC44*AD44-100,1)&gt;999,999,-999)))</f>
        <v>-100</v>
      </c>
      <c r="AF44" s="609">
        <v>3.1728228899988355</v>
      </c>
      <c r="AG44" s="498">
        <f>AG42+AG43</f>
        <v>67.82510167000558</v>
      </c>
      <c r="AH44" s="436">
        <f t="shared" si="36"/>
        <v>999</v>
      </c>
      <c r="AI44" s="609">
        <v>1710</v>
      </c>
      <c r="AJ44" s="498">
        <f>AJ42+AJ43</f>
        <v>789</v>
      </c>
      <c r="AK44" s="436">
        <f t="shared" si="37"/>
        <v>-53.9</v>
      </c>
      <c r="AL44" s="609">
        <v>-7.1</v>
      </c>
      <c r="AM44" s="498">
        <f>AM42+AM43</f>
        <v>-11</v>
      </c>
      <c r="AN44" s="436">
        <f t="shared" si="39"/>
        <v>54.9</v>
      </c>
      <c r="AO44" s="340">
        <f t="shared" si="14"/>
        <v>2165.051732325001</v>
      </c>
      <c r="AP44" s="340">
        <f t="shared" si="14"/>
        <v>2189.4338683750047</v>
      </c>
      <c r="AQ44" s="436">
        <f t="shared" si="12"/>
        <v>1.1000000000000001</v>
      </c>
      <c r="AR44" s="436"/>
      <c r="AS44" s="619"/>
      <c r="AT44" s="436"/>
    </row>
    <row r="45" spans="1:46" s="449" customFormat="1" ht="18.75" customHeight="1" x14ac:dyDescent="0.3">
      <c r="A45" s="580" t="s">
        <v>416</v>
      </c>
      <c r="B45" s="596"/>
      <c r="C45" s="493"/>
      <c r="D45" s="340"/>
      <c r="E45" s="596">
        <v>9.0198332299999997</v>
      </c>
      <c r="F45" s="493"/>
      <c r="G45" s="340">
        <f t="shared" si="29"/>
        <v>-100</v>
      </c>
      <c r="H45" s="596"/>
      <c r="I45" s="493"/>
      <c r="J45" s="340"/>
      <c r="K45" s="596"/>
      <c r="L45" s="493"/>
      <c r="M45" s="340"/>
      <c r="N45" s="596"/>
      <c r="O45" s="493"/>
      <c r="P45" s="340"/>
      <c r="Q45" s="596"/>
      <c r="R45" s="493"/>
      <c r="S45" s="340"/>
      <c r="T45" s="596">
        <v>320.77533093499994</v>
      </c>
      <c r="U45" s="493">
        <v>32.733161074999998</v>
      </c>
      <c r="V45" s="340">
        <f t="shared" si="33"/>
        <v>-89.8</v>
      </c>
      <c r="W45" s="596">
        <v>17.53</v>
      </c>
      <c r="X45" s="493">
        <v>4.4026600399999998</v>
      </c>
      <c r="Y45" s="340">
        <f t="shared" si="34"/>
        <v>-74.900000000000006</v>
      </c>
      <c r="Z45" s="596"/>
      <c r="AA45" s="493"/>
      <c r="AB45" s="340"/>
      <c r="AC45" s="596"/>
      <c r="AD45" s="493"/>
      <c r="AE45" s="340"/>
      <c r="AF45" s="596"/>
      <c r="AG45" s="493"/>
      <c r="AH45" s="340"/>
      <c r="AI45" s="596">
        <v>-6</v>
      </c>
      <c r="AJ45" s="493">
        <v>-11</v>
      </c>
      <c r="AK45" s="340">
        <f t="shared" si="37"/>
        <v>83.3</v>
      </c>
      <c r="AL45" s="596"/>
      <c r="AM45" s="493"/>
      <c r="AN45" s="340"/>
      <c r="AO45" s="340">
        <f t="shared" si="14"/>
        <v>341.32516416499993</v>
      </c>
      <c r="AP45" s="340">
        <f t="shared" si="14"/>
        <v>26.135821114999999</v>
      </c>
      <c r="AQ45" s="340">
        <f t="shared" si="12"/>
        <v>-92.3</v>
      </c>
      <c r="AR45" s="340"/>
      <c r="AS45" s="618"/>
      <c r="AT45" s="340"/>
    </row>
    <row r="46" spans="1:46" s="620" customFormat="1" ht="18.75" customHeight="1" x14ac:dyDescent="0.3">
      <c r="A46" s="607" t="s">
        <v>310</v>
      </c>
      <c r="B46" s="621">
        <f>B44+B45</f>
        <v>50.460999999999714</v>
      </c>
      <c r="C46" s="499"/>
      <c r="D46" s="443">
        <f>IF(B46=0, "    ---- ", IF(ABS(ROUND(100/B46*C46-100,1))&lt;999,ROUND(100/B46*C46-100,1),IF(ROUND(100/B46*C46-100,1)&gt;999,999,-999)))</f>
        <v>-100</v>
      </c>
      <c r="E46" s="621">
        <v>165.39933242000191</v>
      </c>
      <c r="F46" s="499">
        <f>F44+F45</f>
        <v>144.49111741000075</v>
      </c>
      <c r="G46" s="443">
        <f>IF(E46=0, "    ---- ", IF(ABS(ROUND(100/E46*F46-100,1))&lt;999,ROUND(100/E46*F46-100,1),IF(ROUND(100/E46*F46-100,1)&gt;999,999,-999)))</f>
        <v>-12.6</v>
      </c>
      <c r="H46" s="621">
        <v>20.758505799999753</v>
      </c>
      <c r="I46" s="499">
        <f>I44+I45</f>
        <v>170.87006921000079</v>
      </c>
      <c r="J46" s="443">
        <f>IF(H46=0, "    ---- ", IF(ABS(ROUND(100/H46*I46-100,1))&lt;999,ROUND(100/H46*I46-100,1),IF(ROUND(100/H46*I46-100,1)&gt;999,999,-999)))</f>
        <v>723.1</v>
      </c>
      <c r="K46" s="621">
        <v>-20.747999999999905</v>
      </c>
      <c r="L46" s="499">
        <f>L44+L45</f>
        <v>6.7579999999998535</v>
      </c>
      <c r="M46" s="443">
        <f>IF(K46=0, "    ---- ", IF(ABS(ROUND(100/K46*L46-100,1))&lt;999,ROUND(100/K46*L46-100,1),IF(ROUND(100/K46*L46-100,1)&gt;999,999,-999)))</f>
        <v>-132.6</v>
      </c>
      <c r="N46" s="621">
        <v>40</v>
      </c>
      <c r="O46" s="499">
        <f>O44+O45</f>
        <v>44</v>
      </c>
      <c r="P46" s="443">
        <f>IF(N46=0, "    ---- ", IF(ABS(ROUND(100/N46*O46-100,1))&lt;999,ROUND(100/N46*O46-100,1),IF(ROUND(100/N46*O46-100,1)&gt;999,999,-999)))</f>
        <v>10</v>
      </c>
      <c r="Q46" s="621">
        <v>1.602670900000001</v>
      </c>
      <c r="R46" s="499"/>
      <c r="S46" s="443">
        <f>IF(Q46=0, "    ---- ", IF(ABS(ROUND(100/Q46*R46-100,1))&lt;999,ROUND(100/Q46*R46-100,1),IF(ROUND(100/Q46*R46-100,1)&gt;999,999,-999)))</f>
        <v>-100</v>
      </c>
      <c r="T46" s="621">
        <v>387.89326494999966</v>
      </c>
      <c r="U46" s="499">
        <v>454.14779609999874</v>
      </c>
      <c r="V46" s="443">
        <f>IF(T46=0, "    ---- ", IF(ABS(ROUND(100/T46*U46-100,1))&lt;999,ROUND(100/T46*U46-100,1),IF(ROUND(100/T46*U46-100,1)&gt;999,999,-999)))</f>
        <v>17.100000000000001</v>
      </c>
      <c r="W46" s="621">
        <v>140.4399704300011</v>
      </c>
      <c r="X46" s="499">
        <f>X44+X45</f>
        <v>256.47760509999887</v>
      </c>
      <c r="Y46" s="443">
        <f>IF(W46=0, "    ---- ", IF(ABS(ROUND(100/W46*X46-100,1))&lt;999,ROUND(100/W46*X46-100,1),IF(ROUND(100/W46*X46-100,1)&gt;999,999,-999)))</f>
        <v>82.6</v>
      </c>
      <c r="Z46" s="621">
        <v>15</v>
      </c>
      <c r="AA46" s="499">
        <f>AA44+AA45</f>
        <v>293</v>
      </c>
      <c r="AB46" s="443">
        <f>IF(Z46=0, "    ---- ", IF(ABS(ROUND(100/Z46*AA46-100,1))&lt;999,ROUND(100/Z46*AA46-100,1),IF(ROUND(100/Z46*AA46-100,1)&gt;999,999,-999)))</f>
        <v>999</v>
      </c>
      <c r="AC46" s="621">
        <v>13.236901129999959</v>
      </c>
      <c r="AD46" s="499"/>
      <c r="AE46" s="443">
        <f>IF(AC46=0, "    ---- ", IF(ABS(ROUND(100/AC46*AD46-100,1))&lt;999,ROUND(100/AC46*AD46-100,1),IF(ROUND(100/AC46*AD46-100,1)&gt;999,999,-999)))</f>
        <v>-100</v>
      </c>
      <c r="AF46" s="621">
        <v>3.1728228899988355</v>
      </c>
      <c r="AG46" s="499">
        <f>AG44+AG45</f>
        <v>67.82510167000558</v>
      </c>
      <c r="AH46" s="443">
        <f>IF(AF46=0, "    ---- ", IF(ABS(ROUND(100/AF46*AG46-100,1))&lt;999,ROUND(100/AF46*AG46-100,1),IF(ROUND(100/AF46*AG46-100,1)&gt;999,999,-999)))</f>
        <v>999</v>
      </c>
      <c r="AI46" s="621">
        <v>1704</v>
      </c>
      <c r="AJ46" s="499">
        <f>AJ44+AJ45</f>
        <v>778</v>
      </c>
      <c r="AK46" s="443">
        <f>IF(AI46=0, "    ---- ", IF(ABS(ROUND(100/AI46*AJ46-100,1))&lt;999,ROUND(100/AI46*AJ46-100,1),IF(ROUND(100/AI46*AJ46-100,1)&gt;999,999,-999)))</f>
        <v>-54.3</v>
      </c>
      <c r="AL46" s="621">
        <v>-7.1</v>
      </c>
      <c r="AM46" s="499">
        <f>AM44+AM45</f>
        <v>-11</v>
      </c>
      <c r="AN46" s="443">
        <f>IF(AL46=0, "    ---- ", IF(ABS(ROUND(100/AL46*AM46-100,1))&lt;999,ROUND(100/AL46*AM46-100,1),IF(ROUND(100/AL46*AM46-100,1)&gt;999,999,-999)))</f>
        <v>54.9</v>
      </c>
      <c r="AO46" s="340">
        <f t="shared" si="14"/>
        <v>2506.3768964900009</v>
      </c>
      <c r="AP46" s="340">
        <f t="shared" si="14"/>
        <v>2215.5696894900047</v>
      </c>
      <c r="AQ46" s="443">
        <f t="shared" si="12"/>
        <v>-11.6</v>
      </c>
      <c r="AR46" s="622"/>
      <c r="AS46" s="623"/>
      <c r="AT46" s="624"/>
    </row>
    <row r="47" spans="1:46" s="620" customFormat="1" ht="18.75" customHeight="1" x14ac:dyDescent="0.3">
      <c r="A47" s="625"/>
      <c r="B47" s="626"/>
      <c r="C47" s="626"/>
      <c r="D47" s="627"/>
      <c r="E47" s="626"/>
      <c r="F47" s="626"/>
      <c r="G47" s="610"/>
      <c r="H47" s="626"/>
      <c r="I47" s="626"/>
      <c r="J47" s="610"/>
      <c r="K47" s="626"/>
      <c r="L47" s="626"/>
      <c r="M47" s="610"/>
      <c r="N47" s="626"/>
      <c r="O47" s="626"/>
      <c r="P47" s="627"/>
      <c r="Q47" s="626"/>
      <c r="R47" s="626"/>
      <c r="S47" s="610"/>
      <c r="T47" s="626"/>
      <c r="U47" s="626"/>
      <c r="V47" s="610"/>
      <c r="W47" s="626"/>
      <c r="X47" s="626"/>
      <c r="Y47" s="610"/>
      <c r="Z47" s="626"/>
      <c r="AA47" s="626"/>
      <c r="AB47" s="610"/>
      <c r="AC47" s="626"/>
      <c r="AD47" s="626"/>
      <c r="AE47" s="610"/>
      <c r="AF47" s="626"/>
      <c r="AG47" s="626"/>
      <c r="AH47" s="610"/>
      <c r="AI47" s="626"/>
      <c r="AJ47" s="626"/>
      <c r="AK47" s="610"/>
      <c r="AL47" s="626"/>
      <c r="AM47" s="626"/>
      <c r="AN47" s="610"/>
      <c r="AO47" s="627"/>
      <c r="AP47" s="627"/>
      <c r="AQ47" s="610"/>
      <c r="AR47" s="628"/>
      <c r="AS47" s="628"/>
      <c r="AT47" s="629"/>
    </row>
    <row r="48" spans="1:46" s="620" customFormat="1" ht="18.75" customHeight="1" x14ac:dyDescent="0.3">
      <c r="A48" s="512" t="s">
        <v>311</v>
      </c>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0"/>
      <c r="AR48" s="630"/>
      <c r="AS48" s="630"/>
      <c r="AT48" s="630"/>
    </row>
    <row r="49" spans="1:46" s="449" customFormat="1" ht="18.75" customHeight="1" x14ac:dyDescent="0.3">
      <c r="A49" s="630" t="s">
        <v>312</v>
      </c>
      <c r="B49" s="630"/>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630"/>
      <c r="AM49" s="630"/>
      <c r="AN49" s="630"/>
      <c r="AO49" s="630"/>
      <c r="AP49" s="630"/>
      <c r="AQ49" s="630"/>
      <c r="AR49" s="630"/>
      <c r="AS49" s="630"/>
      <c r="AT49" s="630"/>
    </row>
    <row r="50" spans="1:46" s="449" customFormat="1" ht="18.75" customHeight="1" x14ac:dyDescent="0.3">
      <c r="A50" s="630" t="s">
        <v>313</v>
      </c>
      <c r="B50" s="630"/>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630"/>
      <c r="AM50" s="630"/>
      <c r="AN50" s="630"/>
      <c r="AO50" s="630"/>
      <c r="AP50" s="630"/>
      <c r="AQ50" s="630"/>
      <c r="AR50" s="630"/>
      <c r="AS50" s="630"/>
      <c r="AT50" s="630"/>
    </row>
    <row r="51" spans="1:46" s="449" customFormat="1" ht="18.75" customHeight="1" x14ac:dyDescent="0.3">
      <c r="A51" s="630" t="s">
        <v>314</v>
      </c>
      <c r="B51" s="630"/>
      <c r="C51" s="630"/>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row>
    <row r="52" spans="1:46" s="449" customFormat="1" ht="18.75" customHeight="1" x14ac:dyDescent="0.3">
      <c r="A52" s="630" t="s">
        <v>315</v>
      </c>
      <c r="B52" s="630"/>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AT52" s="630"/>
    </row>
    <row r="53" spans="1:46" s="449" customFormat="1" ht="18.75" customHeight="1" x14ac:dyDescent="0.3">
      <c r="A53" s="630" t="s">
        <v>316</v>
      </c>
      <c r="B53" s="630"/>
      <c r="C53" s="630"/>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0"/>
      <c r="AQ53" s="630"/>
      <c r="AR53" s="630"/>
      <c r="AS53" s="630"/>
      <c r="AT53" s="630"/>
    </row>
    <row r="54" spans="1:46" s="449" customFormat="1" ht="18.75" customHeight="1" x14ac:dyDescent="0.3">
      <c r="A54" s="630" t="s">
        <v>317</v>
      </c>
      <c r="B54" s="630"/>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630"/>
    </row>
    <row r="55" spans="1:46" s="449" customFormat="1" ht="18.75" customHeight="1" x14ac:dyDescent="0.3">
      <c r="A55" s="630" t="s">
        <v>318</v>
      </c>
      <c r="B55" s="630"/>
      <c r="C55" s="630"/>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row>
    <row r="56" spans="1:46" s="449" customFormat="1" ht="18.75" customHeight="1" x14ac:dyDescent="0.3">
      <c r="A56" s="630" t="s">
        <v>319</v>
      </c>
      <c r="B56" s="630"/>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row>
    <row r="57" spans="1:46" s="449" customFormat="1" ht="18.75" customHeight="1" x14ac:dyDescent="0.3">
      <c r="A57" s="630" t="s">
        <v>320</v>
      </c>
      <c r="B57" s="630"/>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0"/>
      <c r="AR57" s="630"/>
      <c r="AS57" s="630"/>
      <c r="AT57" s="630"/>
    </row>
    <row r="58" spans="1:46" s="620" customFormat="1" ht="18.75" customHeight="1" x14ac:dyDescent="0.3">
      <c r="A58" s="513" t="s">
        <v>321</v>
      </c>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row>
    <row r="59" spans="1:46" s="452" customFormat="1" ht="18.75" customHeight="1" x14ac:dyDescent="0.3">
      <c r="A59" s="449" t="s">
        <v>245</v>
      </c>
      <c r="B59" s="449"/>
    </row>
    <row r="60" spans="1:46" s="452" customFormat="1" ht="18.75" customHeight="1" x14ac:dyDescent="0.3">
      <c r="A60" s="449" t="s">
        <v>246</v>
      </c>
    </row>
    <row r="61" spans="1:46" s="452" customFormat="1" ht="18.75" customHeight="1" x14ac:dyDescent="0.3">
      <c r="A61" s="449" t="s">
        <v>247</v>
      </c>
    </row>
    <row r="62" spans="1:46" s="452" customFormat="1" ht="18.75" x14ac:dyDescent="0.3"/>
    <row r="63" spans="1:46" s="450" customFormat="1" x14ac:dyDescent="0.2"/>
  </sheetData>
  <mergeCells count="26">
    <mergeCell ref="AF6:AH6"/>
    <mergeCell ref="AI6:AK6"/>
    <mergeCell ref="AO6:AQ6"/>
    <mergeCell ref="AI5:AK5"/>
    <mergeCell ref="AO5:AQ5"/>
    <mergeCell ref="AL6:AN6"/>
    <mergeCell ref="AL5:AN5"/>
    <mergeCell ref="AC6:AE6"/>
    <mergeCell ref="B6:D6"/>
    <mergeCell ref="E6:G6"/>
    <mergeCell ref="H6:J6"/>
    <mergeCell ref="K6:M6"/>
    <mergeCell ref="N6:P6"/>
    <mergeCell ref="Q6:S6"/>
    <mergeCell ref="T6:V6"/>
    <mergeCell ref="W6:Y6"/>
    <mergeCell ref="Z6:AB6"/>
    <mergeCell ref="B5:D5"/>
    <mergeCell ref="E5:G5"/>
    <mergeCell ref="H5:J5"/>
    <mergeCell ref="K5:M5"/>
    <mergeCell ref="AF5:AH5"/>
    <mergeCell ref="N5:P5"/>
    <mergeCell ref="Z5:AB5"/>
    <mergeCell ref="Q5:S5"/>
    <mergeCell ref="T5:V5"/>
  </mergeCells>
  <conditionalFormatting sqref="B14">
    <cfRule type="expression" dxfId="237" priority="180">
      <formula>#REF! ="14≠11+12+13"</formula>
    </cfRule>
  </conditionalFormatting>
  <conditionalFormatting sqref="B21">
    <cfRule type="expression" dxfId="236" priority="179">
      <formula>#REF! ="22≠19+20+21"</formula>
    </cfRule>
  </conditionalFormatting>
  <conditionalFormatting sqref="B30">
    <cfRule type="expression" dxfId="235" priority="178">
      <formula>#REF! ="30≠24+25+26+27+28+29"</formula>
    </cfRule>
  </conditionalFormatting>
  <conditionalFormatting sqref="B35">
    <cfRule type="expression" dxfId="234" priority="201">
      <formula>#REF! ="35≠14+15+16+17+22+30+31+32+33+34"</formula>
    </cfRule>
  </conditionalFormatting>
  <conditionalFormatting sqref="B46">
    <cfRule type="expression" dxfId="233" priority="202">
      <formula>#REF! ="46≠35+38+39+40+43+45"</formula>
    </cfRule>
  </conditionalFormatting>
  <conditionalFormatting sqref="W30">
    <cfRule type="expression" dxfId="232" priority="101">
      <formula>#REF! ="30≠24+25+26+27+28+29"</formula>
    </cfRule>
  </conditionalFormatting>
  <conditionalFormatting sqref="W35">
    <cfRule type="expression" dxfId="231" priority="102">
      <formula>#REF! ="35≠14+15+16+17+22+30+31+32+33+34"</formula>
    </cfRule>
  </conditionalFormatting>
  <conditionalFormatting sqref="W46">
    <cfRule type="expression" dxfId="230" priority="103">
      <formula>#REF! ="46≠35+38+39+40+43+45"</formula>
    </cfRule>
  </conditionalFormatting>
  <conditionalFormatting sqref="W14">
    <cfRule type="expression" dxfId="229" priority="104">
      <formula>#REF! ="14≠11+12+13"</formula>
    </cfRule>
  </conditionalFormatting>
  <conditionalFormatting sqref="W21">
    <cfRule type="expression" dxfId="228" priority="105">
      <formula>#REF! ="22≠19+20+21"</formula>
    </cfRule>
  </conditionalFormatting>
  <conditionalFormatting sqref="E30">
    <cfRule type="expression" dxfId="227" priority="91">
      <formula>#REF! ="30≠24+25+26+27+28+29"</formula>
    </cfRule>
  </conditionalFormatting>
  <conditionalFormatting sqref="E35">
    <cfRule type="expression" dxfId="226" priority="92">
      <formula>#REF! ="35≠14+15+16+17+22+30+31+32+33+34"</formula>
    </cfRule>
  </conditionalFormatting>
  <conditionalFormatting sqref="E46">
    <cfRule type="expression" dxfId="225" priority="93">
      <formula>#REF! ="46≠35+38+39+40+43+45"</formula>
    </cfRule>
  </conditionalFormatting>
  <conditionalFormatting sqref="E14">
    <cfRule type="expression" dxfId="224" priority="94">
      <formula>#REF! ="14≠11+12+13"</formula>
    </cfRule>
  </conditionalFormatting>
  <conditionalFormatting sqref="E21">
    <cfRule type="expression" dxfId="223" priority="95">
      <formula>#REF! ="22≠19+20+21"</formula>
    </cfRule>
  </conditionalFormatting>
  <conditionalFormatting sqref="H30">
    <cfRule type="expression" dxfId="222" priority="81">
      <formula>#REF! ="30≠24+25+26+27+28+29"</formula>
    </cfRule>
  </conditionalFormatting>
  <conditionalFormatting sqref="H35">
    <cfRule type="expression" dxfId="221" priority="82">
      <formula>#REF! ="35≠14+15+16+17+22+30+31+32+33+34"</formula>
    </cfRule>
  </conditionalFormatting>
  <conditionalFormatting sqref="H46">
    <cfRule type="expression" dxfId="220" priority="83">
      <formula>#REF! ="46≠35+38+39+40+43+45"</formula>
    </cfRule>
  </conditionalFormatting>
  <conditionalFormatting sqref="H14">
    <cfRule type="expression" dxfId="219" priority="84">
      <formula>#REF! ="14≠11+12+13"</formula>
    </cfRule>
  </conditionalFormatting>
  <conditionalFormatting sqref="H21">
    <cfRule type="expression" dxfId="218" priority="85">
      <formula>#REF! ="22≠19+20+21"</formula>
    </cfRule>
  </conditionalFormatting>
  <conditionalFormatting sqref="AI30">
    <cfRule type="expression" dxfId="217" priority="71">
      <formula>#REF! ="30≠24+25+26+27+28+29"</formula>
    </cfRule>
  </conditionalFormatting>
  <conditionalFormatting sqref="AI35">
    <cfRule type="expression" dxfId="216" priority="72">
      <formula>#REF! ="35≠14+15+16+17+22+30+31+32+33+34"</formula>
    </cfRule>
  </conditionalFormatting>
  <conditionalFormatting sqref="AI46">
    <cfRule type="expression" dxfId="215" priority="73">
      <formula>#REF! ="46≠35+38+39+40+43+45"</formula>
    </cfRule>
  </conditionalFormatting>
  <conditionalFormatting sqref="AI14">
    <cfRule type="expression" dxfId="214" priority="74">
      <formula>#REF! ="14≠11+12+13"</formula>
    </cfRule>
  </conditionalFormatting>
  <conditionalFormatting sqref="AI21">
    <cfRule type="expression" dxfId="213" priority="75">
      <formula>#REF! ="22≠19+20+21"</formula>
    </cfRule>
  </conditionalFormatting>
  <conditionalFormatting sqref="Z30">
    <cfRule type="expression" dxfId="212" priority="61">
      <formula>#REF! ="30≠24+25+26+27+28+29"</formula>
    </cfRule>
  </conditionalFormatting>
  <conditionalFormatting sqref="Z35">
    <cfRule type="expression" dxfId="211" priority="62">
      <formula>#REF! ="35≠14+15+16+17+22+30+31+32+33+34"</formula>
    </cfRule>
  </conditionalFormatting>
  <conditionalFormatting sqref="Z46">
    <cfRule type="expression" dxfId="210" priority="63">
      <formula>#REF! ="46≠35+38+39+40+43+45"</formula>
    </cfRule>
  </conditionalFormatting>
  <conditionalFormatting sqref="Z14">
    <cfRule type="expression" dxfId="209" priority="64">
      <formula>#REF! ="14≠11+12+13"</formula>
    </cfRule>
  </conditionalFormatting>
  <conditionalFormatting sqref="Z21">
    <cfRule type="expression" dxfId="208" priority="65">
      <formula>#REF! ="22≠19+20+21"</formula>
    </cfRule>
  </conditionalFormatting>
  <conditionalFormatting sqref="AL30">
    <cfRule type="expression" dxfId="207" priority="51">
      <formula>#REF! ="30≠24+25+26+27+28+29"</formula>
    </cfRule>
  </conditionalFormatting>
  <conditionalFormatting sqref="AL35">
    <cfRule type="expression" dxfId="206" priority="52">
      <formula>#REF! ="35≠14+15+16+17+22+30+31+32+33+34"</formula>
    </cfRule>
  </conditionalFormatting>
  <conditionalFormatting sqref="AL46">
    <cfRule type="expression" dxfId="205" priority="53">
      <formula>#REF! ="46≠35+38+39+40+43+45"</formula>
    </cfRule>
  </conditionalFormatting>
  <conditionalFormatting sqref="AL14">
    <cfRule type="expression" dxfId="204" priority="54">
      <formula>#REF! ="14≠11+12+13"</formula>
    </cfRule>
  </conditionalFormatting>
  <conditionalFormatting sqref="AL21">
    <cfRule type="expression" dxfId="203" priority="55">
      <formula>#REF! ="22≠19+20+21"</formula>
    </cfRule>
  </conditionalFormatting>
  <conditionalFormatting sqref="K30">
    <cfRule type="expression" dxfId="202" priority="41">
      <formula>#REF! ="30≠24+25+26+27+28+29"</formula>
    </cfRule>
  </conditionalFormatting>
  <conditionalFormatting sqref="K35">
    <cfRule type="expression" dxfId="201" priority="42">
      <formula>#REF! ="35≠14+15+16+17+22+30+31+32+33+34"</formula>
    </cfRule>
  </conditionalFormatting>
  <conditionalFormatting sqref="K46">
    <cfRule type="expression" dxfId="200" priority="43">
      <formula>#REF! ="46≠35+38+39+40+43+45"</formula>
    </cfRule>
  </conditionalFormatting>
  <conditionalFormatting sqref="K14">
    <cfRule type="expression" dxfId="199" priority="44">
      <formula>#REF! ="14≠11+12+13"</formula>
    </cfRule>
  </conditionalFormatting>
  <conditionalFormatting sqref="K21">
    <cfRule type="expression" dxfId="198" priority="45">
      <formula>#REF! ="22≠19+20+21"</formula>
    </cfRule>
  </conditionalFormatting>
  <conditionalFormatting sqref="N30">
    <cfRule type="expression" dxfId="197" priority="31">
      <formula>#REF! ="30≠24+25+26+27+28+29"</formula>
    </cfRule>
  </conditionalFormatting>
  <conditionalFormatting sqref="N35">
    <cfRule type="expression" dxfId="196" priority="32">
      <formula>#REF! ="35≠14+15+16+17+22+30+31+32+33+34"</formula>
    </cfRule>
  </conditionalFormatting>
  <conditionalFormatting sqref="N46">
    <cfRule type="expression" dxfId="195" priority="33">
      <formula>#REF! ="46≠35+38+39+40+43+45"</formula>
    </cfRule>
  </conditionalFormatting>
  <conditionalFormatting sqref="N14">
    <cfRule type="expression" dxfId="194" priority="34">
      <formula>#REF! ="14≠11+12+13"</formula>
    </cfRule>
  </conditionalFormatting>
  <conditionalFormatting sqref="N21">
    <cfRule type="expression" dxfId="193" priority="35">
      <formula>#REF! ="22≠19+20+21"</formula>
    </cfRule>
  </conditionalFormatting>
  <conditionalFormatting sqref="AF30">
    <cfRule type="expression" dxfId="192" priority="21">
      <formula>#REF! ="30≠24+25+26+27+28+29"</formula>
    </cfRule>
  </conditionalFormatting>
  <conditionalFormatting sqref="AF35">
    <cfRule type="expression" dxfId="191" priority="22">
      <formula>#REF! ="35≠14+15+16+17+22+30+31+32+33+34"</formula>
    </cfRule>
  </conditionalFormatting>
  <conditionalFormatting sqref="AF46">
    <cfRule type="expression" dxfId="190" priority="23">
      <formula>#REF! ="46≠35+38+39+40+43+45"</formula>
    </cfRule>
  </conditionalFormatting>
  <conditionalFormatting sqref="AF14">
    <cfRule type="expression" dxfId="189" priority="24">
      <formula>#REF! ="14≠11+12+13"</formula>
    </cfRule>
  </conditionalFormatting>
  <conditionalFormatting sqref="AF21">
    <cfRule type="expression" dxfId="188" priority="25">
      <formula>#REF! ="22≠19+20+21"</formula>
    </cfRule>
  </conditionalFormatting>
  <conditionalFormatting sqref="T35">
    <cfRule type="expression" dxfId="187" priority="13">
      <formula>#REF! ="35≠14+15+16+17+22+30+31+32+33+34"</formula>
    </cfRule>
  </conditionalFormatting>
  <conditionalFormatting sqref="T46">
    <cfRule type="expression" dxfId="186" priority="14">
      <formula>#REF! ="46≠35+38+39+40+43+45"</formula>
    </cfRule>
  </conditionalFormatting>
  <conditionalFormatting sqref="T21">
    <cfRule type="expression" dxfId="185" priority="15">
      <formula>#REF! ="22≠19+20+21"</formula>
    </cfRule>
  </conditionalFormatting>
  <conditionalFormatting sqref="T14">
    <cfRule type="expression" dxfId="184" priority="12">
      <formula>#REF! ="14≠11+12+13"</formula>
    </cfRule>
  </conditionalFormatting>
  <conditionalFormatting sqref="T30">
    <cfRule type="expression" dxfId="183" priority="11">
      <formula>#REF! ="30≠24+25+26+27+28+29"</formula>
    </cfRule>
  </conditionalFormatting>
  <conditionalFormatting sqref="Q30">
    <cfRule type="expression" dxfId="182" priority="6">
      <formula>#REF! ="30≠24+25+26+27+28+29"</formula>
    </cfRule>
  </conditionalFormatting>
  <conditionalFormatting sqref="Q35">
    <cfRule type="expression" dxfId="181" priority="7">
      <formula>#REF! ="35≠14+15+16+17+22+30+31+32+33+34"</formula>
    </cfRule>
  </conditionalFormatting>
  <conditionalFormatting sqref="Q46">
    <cfRule type="expression" dxfId="180" priority="8">
      <formula>#REF! ="46≠35+38+39+40+43+45"</formula>
    </cfRule>
  </conditionalFormatting>
  <conditionalFormatting sqref="Q14">
    <cfRule type="expression" dxfId="179" priority="9">
      <formula>#REF! ="14≠11+12+13"</formula>
    </cfRule>
  </conditionalFormatting>
  <conditionalFormatting sqref="Q21">
    <cfRule type="expression" dxfId="178" priority="10">
      <formula>#REF! ="22≠19+20+21"</formula>
    </cfRule>
  </conditionalFormatting>
  <conditionalFormatting sqref="AC30">
    <cfRule type="expression" dxfId="177" priority="1">
      <formula>#REF! ="30≠24+25+26+27+28+29"</formula>
    </cfRule>
  </conditionalFormatting>
  <conditionalFormatting sqref="AC35">
    <cfRule type="expression" dxfId="176" priority="2">
      <formula>#REF! ="35≠14+15+16+17+22+30+31+32+33+34"</formula>
    </cfRule>
  </conditionalFormatting>
  <conditionalFormatting sqref="AC46">
    <cfRule type="expression" dxfId="175" priority="3">
      <formula>#REF! ="46≠35+38+39+40+43+45"</formula>
    </cfRule>
  </conditionalFormatting>
  <conditionalFormatting sqref="AC14">
    <cfRule type="expression" dxfId="174" priority="4">
      <formula>#REF! ="14≠11+12+13"</formula>
    </cfRule>
  </conditionalFormatting>
  <conditionalFormatting sqref="AC21">
    <cfRule type="expression" dxfId="173" priority="5">
      <formula>#REF! ="22≠19+20+21"</formula>
    </cfRule>
  </conditionalFormatting>
  <conditionalFormatting sqref="R14 AD14 C14 X14 F14 I14 AJ14 AA14 AM14 L14 O14 AG14 U14">
    <cfRule type="expression" dxfId="172" priority="479">
      <formula>#REF! ="14≠11+12+13"</formula>
    </cfRule>
  </conditionalFormatting>
  <conditionalFormatting sqref="R21 AD21 C21 X21 F21 I21 AJ21 AA21 AM21 L21 O21 AG21 U21">
    <cfRule type="expression" dxfId="171" priority="481">
      <formula>#REF! ="22≠19+20+21"</formula>
    </cfRule>
  </conditionalFormatting>
  <conditionalFormatting sqref="R30 AD30 AR30:AS30 C30 X30 F30 I30 AJ30 AA30 AM30 L30 O30 AG30 U30">
    <cfRule type="expression" dxfId="170" priority="483">
      <formula>#REF! ="30≠24+25+26+27+28+29"</formula>
    </cfRule>
  </conditionalFormatting>
  <conditionalFormatting sqref="R35 AD35 AR35:AS35 C35 X35 F35 I35 AJ35 AA35 AM35 L35 O35 AG35 U35">
    <cfRule type="expression" dxfId="169" priority="486">
      <formula>#REF! ="35≠14+15+16+17+22+30+31+32+33+34"</formula>
    </cfRule>
  </conditionalFormatting>
  <conditionalFormatting sqref="R46 AD46 AR46:AS46 C46 X46 F46 I46 AJ46 AA46 AM46 L46 O46 AG46 U46">
    <cfRule type="expression" dxfId="168" priority="489">
      <formula>#REF! ="46≠35+38+39+40+43+45"</formula>
    </cfRule>
  </conditionalFormatting>
  <hyperlinks>
    <hyperlink ref="B1" location="Innhold!A1" display="Tilbake" xr:uid="{00000000-0004-0000-1E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E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50" customWidth="1"/>
    <col min="2" max="40" width="11.7109375" style="450" customWidth="1"/>
    <col min="41" max="42" width="13" style="450" customWidth="1"/>
    <col min="43" max="43" width="11.7109375" style="450" customWidth="1"/>
    <col min="44" max="44" width="13" style="450" bestFit="1" customWidth="1"/>
    <col min="45" max="45" width="13.140625" style="450" customWidth="1"/>
    <col min="46" max="16384" width="11.42578125" style="450"/>
  </cols>
  <sheetData>
    <row r="1" spans="1:57" ht="20.25" customHeight="1" x14ac:dyDescent="0.3">
      <c r="A1" s="453" t="s">
        <v>167</v>
      </c>
      <c r="B1" s="454" t="s">
        <v>52</v>
      </c>
      <c r="C1" s="455"/>
      <c r="D1" s="455"/>
      <c r="E1" s="455"/>
      <c r="F1" s="455"/>
      <c r="G1" s="455"/>
      <c r="H1" s="455"/>
      <c r="I1" s="455"/>
      <c r="J1" s="455"/>
      <c r="K1" s="455"/>
      <c r="L1" s="455"/>
      <c r="M1" s="455"/>
    </row>
    <row r="2" spans="1:57" ht="20.100000000000001" customHeight="1" x14ac:dyDescent="0.3">
      <c r="A2" s="453" t="s">
        <v>168</v>
      </c>
    </row>
    <row r="3" spans="1:57" ht="20.100000000000001" customHeight="1" x14ac:dyDescent="0.3">
      <c r="A3" s="456" t="s">
        <v>169</v>
      </c>
      <c r="B3" s="457"/>
      <c r="C3" s="457"/>
      <c r="D3" s="457"/>
      <c r="E3" s="457"/>
      <c r="F3" s="457"/>
      <c r="G3" s="457"/>
      <c r="H3" s="457"/>
      <c r="I3" s="457"/>
      <c r="J3" s="457"/>
      <c r="K3" s="457"/>
      <c r="L3" s="457"/>
      <c r="M3" s="457"/>
    </row>
    <row r="4" spans="1:57" ht="18.75" customHeight="1" x14ac:dyDescent="0.25">
      <c r="A4" s="458" t="s">
        <v>424</v>
      </c>
      <c r="B4" s="459"/>
      <c r="C4" s="459"/>
      <c r="D4" s="460"/>
      <c r="E4" s="459"/>
      <c r="F4" s="459"/>
      <c r="G4" s="460"/>
      <c r="H4" s="461"/>
      <c r="I4" s="459"/>
      <c r="J4" s="460"/>
      <c r="K4" s="461"/>
      <c r="L4" s="459"/>
      <c r="M4" s="460"/>
      <c r="N4" s="462"/>
      <c r="O4" s="462"/>
      <c r="P4" s="462"/>
      <c r="Q4" s="463"/>
      <c r="R4" s="462"/>
      <c r="S4" s="464"/>
      <c r="T4" s="463"/>
      <c r="U4" s="462"/>
      <c r="V4" s="464"/>
      <c r="W4" s="463"/>
      <c r="X4" s="462"/>
      <c r="Y4" s="464"/>
      <c r="Z4" s="463"/>
      <c r="AA4" s="462"/>
      <c r="AB4" s="464"/>
      <c r="AC4" s="463"/>
      <c r="AD4" s="462"/>
      <c r="AE4" s="464"/>
      <c r="AF4" s="463"/>
      <c r="AG4" s="462"/>
      <c r="AH4" s="464"/>
      <c r="AI4" s="463"/>
      <c r="AJ4" s="462"/>
      <c r="AK4" s="464"/>
      <c r="AL4" s="463"/>
      <c r="AM4" s="462"/>
      <c r="AN4" s="464"/>
      <c r="AO4" s="644"/>
      <c r="AP4" s="645"/>
      <c r="AQ4" s="646"/>
      <c r="AR4" s="644"/>
      <c r="AS4" s="645"/>
      <c r="AT4" s="646"/>
      <c r="AU4" s="641"/>
      <c r="AV4" s="641"/>
      <c r="AW4" s="465"/>
      <c r="AX4" s="465"/>
      <c r="AY4" s="465"/>
      <c r="AZ4" s="465"/>
      <c r="BA4" s="465"/>
      <c r="BB4" s="465"/>
      <c r="BC4" s="465"/>
      <c r="BD4" s="465"/>
      <c r="BE4" s="465"/>
    </row>
    <row r="5" spans="1:57" ht="18.75" customHeight="1" x14ac:dyDescent="0.3">
      <c r="A5" s="466" t="s">
        <v>99</v>
      </c>
      <c r="B5" s="737" t="s">
        <v>434</v>
      </c>
      <c r="C5" s="738"/>
      <c r="D5" s="739"/>
      <c r="E5" s="737" t="s">
        <v>170</v>
      </c>
      <c r="F5" s="738"/>
      <c r="G5" s="739"/>
      <c r="H5" s="737" t="s">
        <v>383</v>
      </c>
      <c r="I5" s="738"/>
      <c r="J5" s="739"/>
      <c r="K5" s="737" t="s">
        <v>171</v>
      </c>
      <c r="L5" s="738"/>
      <c r="M5" s="739"/>
      <c r="N5" s="737" t="s">
        <v>172</v>
      </c>
      <c r="O5" s="738"/>
      <c r="P5" s="739"/>
      <c r="Q5" s="684" t="s">
        <v>173</v>
      </c>
      <c r="R5" s="685"/>
      <c r="S5" s="686"/>
      <c r="T5" s="668" t="s">
        <v>173</v>
      </c>
      <c r="U5" s="669"/>
      <c r="V5" s="670"/>
      <c r="W5" s="647"/>
      <c r="X5" s="648"/>
      <c r="Y5" s="649"/>
      <c r="Z5" s="737" t="s">
        <v>174</v>
      </c>
      <c r="AA5" s="738"/>
      <c r="AB5" s="739"/>
      <c r="AC5" s="684"/>
      <c r="AD5" s="685"/>
      <c r="AE5" s="686"/>
      <c r="AF5" s="750" t="s">
        <v>67</v>
      </c>
      <c r="AG5" s="751"/>
      <c r="AH5" s="752"/>
      <c r="AI5" s="737" t="s">
        <v>72</v>
      </c>
      <c r="AJ5" s="738"/>
      <c r="AK5" s="739"/>
      <c r="AL5" s="744" t="s">
        <v>404</v>
      </c>
      <c r="AM5" s="745"/>
      <c r="AN5" s="746"/>
      <c r="AO5" s="737" t="s">
        <v>2</v>
      </c>
      <c r="AP5" s="738"/>
      <c r="AQ5" s="739"/>
      <c r="AR5" s="737" t="s">
        <v>2</v>
      </c>
      <c r="AS5" s="738"/>
      <c r="AT5" s="739"/>
      <c r="AU5" s="642"/>
      <c r="AV5" s="642"/>
      <c r="AW5" s="740"/>
      <c r="AX5" s="740"/>
      <c r="AY5" s="740"/>
      <c r="AZ5" s="740"/>
      <c r="BA5" s="740"/>
      <c r="BB5" s="740"/>
      <c r="BC5" s="740"/>
      <c r="BD5" s="740"/>
      <c r="BE5" s="740"/>
    </row>
    <row r="6" spans="1:57" ht="21" customHeight="1" x14ac:dyDescent="0.3">
      <c r="A6" s="468"/>
      <c r="B6" s="741" t="s">
        <v>175</v>
      </c>
      <c r="C6" s="742"/>
      <c r="D6" s="743"/>
      <c r="E6" s="741" t="s">
        <v>176</v>
      </c>
      <c r="F6" s="742"/>
      <c r="G6" s="743"/>
      <c r="H6" s="741" t="s">
        <v>176</v>
      </c>
      <c r="I6" s="742"/>
      <c r="J6" s="743"/>
      <c r="K6" s="741" t="s">
        <v>176</v>
      </c>
      <c r="L6" s="742"/>
      <c r="M6" s="743"/>
      <c r="N6" s="741" t="s">
        <v>177</v>
      </c>
      <c r="O6" s="742"/>
      <c r="P6" s="743"/>
      <c r="Q6" s="741" t="s">
        <v>89</v>
      </c>
      <c r="R6" s="742"/>
      <c r="S6" s="743"/>
      <c r="T6" s="741" t="s">
        <v>63</v>
      </c>
      <c r="U6" s="742"/>
      <c r="V6" s="743"/>
      <c r="W6" s="741" t="s">
        <v>65</v>
      </c>
      <c r="X6" s="742"/>
      <c r="Y6" s="743"/>
      <c r="Z6" s="741" t="s">
        <v>175</v>
      </c>
      <c r="AA6" s="742"/>
      <c r="AB6" s="743"/>
      <c r="AC6" s="741" t="s">
        <v>71</v>
      </c>
      <c r="AD6" s="742"/>
      <c r="AE6" s="743"/>
      <c r="AF6" s="753" t="s">
        <v>400</v>
      </c>
      <c r="AG6" s="754"/>
      <c r="AH6" s="755"/>
      <c r="AI6" s="741" t="s">
        <v>176</v>
      </c>
      <c r="AJ6" s="742"/>
      <c r="AK6" s="743"/>
      <c r="AL6" s="747" t="s">
        <v>176</v>
      </c>
      <c r="AM6" s="748"/>
      <c r="AN6" s="749"/>
      <c r="AO6" s="741" t="s">
        <v>178</v>
      </c>
      <c r="AP6" s="742"/>
      <c r="AQ6" s="743"/>
      <c r="AR6" s="741" t="s">
        <v>178</v>
      </c>
      <c r="AS6" s="742"/>
      <c r="AT6" s="743"/>
      <c r="AU6" s="642"/>
      <c r="AV6" s="642"/>
      <c r="AW6" s="740"/>
      <c r="AX6" s="740"/>
      <c r="AY6" s="740"/>
      <c r="AZ6" s="740"/>
      <c r="BA6" s="740"/>
      <c r="BB6" s="740"/>
      <c r="BC6" s="740"/>
      <c r="BD6" s="740"/>
      <c r="BE6" s="740"/>
    </row>
    <row r="7" spans="1:57" ht="18.75" customHeight="1" x14ac:dyDescent="0.3">
      <c r="A7" s="468"/>
      <c r="B7" s="491"/>
      <c r="C7" s="491"/>
      <c r="D7" s="469" t="s">
        <v>80</v>
      </c>
      <c r="E7" s="491"/>
      <c r="F7" s="491"/>
      <c r="G7" s="469" t="s">
        <v>80</v>
      </c>
      <c r="H7" s="491"/>
      <c r="I7" s="491"/>
      <c r="J7" s="469" t="s">
        <v>80</v>
      </c>
      <c r="K7" s="491"/>
      <c r="L7" s="491"/>
      <c r="M7" s="469" t="s">
        <v>80</v>
      </c>
      <c r="N7" s="491"/>
      <c r="O7" s="491"/>
      <c r="P7" s="469" t="s">
        <v>80</v>
      </c>
      <c r="Q7" s="491"/>
      <c r="R7" s="491"/>
      <c r="S7" s="469" t="s">
        <v>80</v>
      </c>
      <c r="T7" s="491"/>
      <c r="U7" s="491"/>
      <c r="V7" s="469" t="s">
        <v>80</v>
      </c>
      <c r="W7" s="491"/>
      <c r="X7" s="491"/>
      <c r="Y7" s="469" t="s">
        <v>80</v>
      </c>
      <c r="Z7" s="491"/>
      <c r="AA7" s="491"/>
      <c r="AB7" s="469" t="s">
        <v>80</v>
      </c>
      <c r="AC7" s="491"/>
      <c r="AD7" s="491"/>
      <c r="AE7" s="469" t="s">
        <v>80</v>
      </c>
      <c r="AF7" s="491"/>
      <c r="AG7" s="491"/>
      <c r="AH7" s="469" t="s">
        <v>80</v>
      </c>
      <c r="AI7" s="491"/>
      <c r="AJ7" s="491"/>
      <c r="AK7" s="469" t="s">
        <v>80</v>
      </c>
      <c r="AL7" s="491"/>
      <c r="AM7" s="491"/>
      <c r="AN7" s="469" t="s">
        <v>80</v>
      </c>
      <c r="AO7" s="491"/>
      <c r="AP7" s="491"/>
      <c r="AQ7" s="469" t="s">
        <v>80</v>
      </c>
      <c r="AR7" s="491"/>
      <c r="AS7" s="491"/>
      <c r="AT7" s="469" t="s">
        <v>80</v>
      </c>
      <c r="AU7" s="643"/>
      <c r="AV7" s="643"/>
      <c r="AW7" s="467"/>
      <c r="AX7" s="467"/>
      <c r="AY7" s="467"/>
      <c r="AZ7" s="467"/>
      <c r="BA7" s="467"/>
      <c r="BB7" s="467"/>
      <c r="BC7" s="467"/>
      <c r="BD7" s="467"/>
      <c r="BE7" s="467"/>
    </row>
    <row r="8" spans="1:57" ht="18.75" customHeight="1" x14ac:dyDescent="0.25">
      <c r="A8" s="445" t="s">
        <v>179</v>
      </c>
      <c r="B8" s="551">
        <v>2022</v>
      </c>
      <c r="C8" s="551">
        <v>2023</v>
      </c>
      <c r="D8" s="446" t="s">
        <v>82</v>
      </c>
      <c r="E8" s="551">
        <f t="shared" ref="E8" si="0">$B$8</f>
        <v>2022</v>
      </c>
      <c r="F8" s="551">
        <f t="shared" ref="F8" si="1">$C$8</f>
        <v>2023</v>
      </c>
      <c r="G8" s="446" t="s">
        <v>82</v>
      </c>
      <c r="H8" s="551">
        <f t="shared" ref="H8" si="2">$B$8</f>
        <v>2022</v>
      </c>
      <c r="I8" s="551">
        <f t="shared" ref="I8" si="3">$C$8</f>
        <v>2023</v>
      </c>
      <c r="J8" s="446" t="s">
        <v>82</v>
      </c>
      <c r="K8" s="551">
        <f t="shared" ref="K8" si="4">$B$8</f>
        <v>2022</v>
      </c>
      <c r="L8" s="551">
        <f t="shared" ref="L8" si="5">$C$8</f>
        <v>2023</v>
      </c>
      <c r="M8" s="446" t="s">
        <v>82</v>
      </c>
      <c r="N8" s="551">
        <f t="shared" ref="N8" si="6">$B$8</f>
        <v>2022</v>
      </c>
      <c r="O8" s="551">
        <f t="shared" ref="O8" si="7">$C$8</f>
        <v>2023</v>
      </c>
      <c r="P8" s="446" t="s">
        <v>82</v>
      </c>
      <c r="Q8" s="551">
        <f t="shared" ref="Q8" si="8">$B$8</f>
        <v>2022</v>
      </c>
      <c r="R8" s="551">
        <f t="shared" ref="R8" si="9">$C$8</f>
        <v>2023</v>
      </c>
      <c r="S8" s="446" t="s">
        <v>82</v>
      </c>
      <c r="T8" s="551">
        <f t="shared" ref="T8" si="10">$B$8</f>
        <v>2022</v>
      </c>
      <c r="U8" s="551">
        <f t="shared" ref="U8" si="11">$C$8</f>
        <v>2023</v>
      </c>
      <c r="V8" s="446" t="s">
        <v>82</v>
      </c>
      <c r="W8" s="551">
        <f t="shared" ref="W8" si="12">$B$8</f>
        <v>2022</v>
      </c>
      <c r="X8" s="551">
        <f t="shared" ref="X8" si="13">$C$8</f>
        <v>2023</v>
      </c>
      <c r="Y8" s="446" t="s">
        <v>82</v>
      </c>
      <c r="Z8" s="551">
        <f t="shared" ref="Z8" si="14">$B$8</f>
        <v>2022</v>
      </c>
      <c r="AA8" s="551">
        <f t="shared" ref="AA8" si="15">$C$8</f>
        <v>2023</v>
      </c>
      <c r="AB8" s="446" t="s">
        <v>82</v>
      </c>
      <c r="AC8" s="551">
        <f t="shared" ref="AC8" si="16">$B$8</f>
        <v>2022</v>
      </c>
      <c r="AD8" s="551">
        <f t="shared" ref="AD8" si="17">$C$8</f>
        <v>2023</v>
      </c>
      <c r="AE8" s="446" t="s">
        <v>82</v>
      </c>
      <c r="AF8" s="551">
        <f t="shared" ref="AF8" si="18">$B$8</f>
        <v>2022</v>
      </c>
      <c r="AG8" s="551">
        <f t="shared" ref="AG8" si="19">$C$8</f>
        <v>2023</v>
      </c>
      <c r="AH8" s="446" t="s">
        <v>82</v>
      </c>
      <c r="AI8" s="551">
        <f t="shared" ref="AI8" si="20">$B$8</f>
        <v>2022</v>
      </c>
      <c r="AJ8" s="551">
        <f t="shared" ref="AJ8" si="21">$C$8</f>
        <v>2023</v>
      </c>
      <c r="AK8" s="446" t="s">
        <v>82</v>
      </c>
      <c r="AL8" s="551">
        <f>$B$8</f>
        <v>2022</v>
      </c>
      <c r="AM8" s="551">
        <f>$C$8</f>
        <v>2023</v>
      </c>
      <c r="AN8" s="446" t="s">
        <v>82</v>
      </c>
      <c r="AO8" s="551">
        <f t="shared" ref="AO8" si="22">$B$8</f>
        <v>2022</v>
      </c>
      <c r="AP8" s="551">
        <f t="shared" ref="AP8" si="23">$C$8</f>
        <v>2023</v>
      </c>
      <c r="AQ8" s="446" t="s">
        <v>82</v>
      </c>
      <c r="AR8" s="551">
        <f t="shared" ref="AR8" si="24">$B$8</f>
        <v>2022</v>
      </c>
      <c r="AS8" s="551">
        <f t="shared" ref="AS8" si="25">$C$8</f>
        <v>2023</v>
      </c>
      <c r="AT8" s="446" t="s">
        <v>82</v>
      </c>
      <c r="AU8" s="471"/>
      <c r="AV8" s="470"/>
      <c r="AW8" s="471"/>
      <c r="AX8" s="471"/>
      <c r="AY8" s="470"/>
      <c r="AZ8" s="471"/>
      <c r="BA8" s="471"/>
      <c r="BB8" s="470"/>
      <c r="BC8" s="471"/>
      <c r="BD8" s="471"/>
      <c r="BE8" s="470"/>
    </row>
    <row r="9" spans="1:57" ht="18.75" customHeight="1" x14ac:dyDescent="0.3">
      <c r="A9" s="447"/>
      <c r="B9" s="632"/>
      <c r="C9" s="433"/>
      <c r="D9" s="433"/>
      <c r="E9" s="632"/>
      <c r="F9" s="433"/>
      <c r="G9" s="433"/>
      <c r="H9" s="632"/>
      <c r="I9" s="433"/>
      <c r="J9" s="433"/>
      <c r="K9" s="632"/>
      <c r="L9" s="433"/>
      <c r="M9" s="433"/>
      <c r="N9" s="595"/>
      <c r="O9" s="434"/>
      <c r="P9" s="434"/>
      <c r="Q9" s="634"/>
      <c r="R9" s="435"/>
      <c r="S9" s="340"/>
      <c r="T9" s="595"/>
      <c r="U9" s="434"/>
      <c r="V9" s="340"/>
      <c r="W9" s="595"/>
      <c r="X9" s="434"/>
      <c r="Y9" s="340"/>
      <c r="Z9" s="595"/>
      <c r="AA9" s="434"/>
      <c r="AB9" s="340"/>
      <c r="AC9" s="595"/>
      <c r="AD9" s="434"/>
      <c r="AE9" s="340"/>
      <c r="AF9" s="595"/>
      <c r="AG9" s="434"/>
      <c r="AH9" s="340"/>
      <c r="AI9" s="595"/>
      <c r="AJ9" s="434"/>
      <c r="AK9" s="340"/>
      <c r="AL9" s="595"/>
      <c r="AM9" s="434"/>
      <c r="AN9" s="340"/>
      <c r="AO9" s="434"/>
      <c r="AP9" s="434"/>
      <c r="AQ9" s="340"/>
      <c r="AR9" s="434"/>
      <c r="AS9" s="434"/>
      <c r="AT9" s="340"/>
    </row>
    <row r="10" spans="1:57" s="451" customFormat="1" ht="18.75" customHeight="1" x14ac:dyDescent="0.3">
      <c r="A10" s="608" t="s">
        <v>180</v>
      </c>
      <c r="B10" s="633"/>
      <c r="C10" s="436"/>
      <c r="D10" s="436"/>
      <c r="E10" s="633"/>
      <c r="F10" s="436"/>
      <c r="G10" s="436"/>
      <c r="H10" s="633"/>
      <c r="I10" s="436"/>
      <c r="J10" s="436"/>
      <c r="K10" s="633"/>
      <c r="L10" s="436"/>
      <c r="M10" s="436"/>
      <c r="N10" s="595"/>
      <c r="O10" s="434"/>
      <c r="P10" s="434"/>
      <c r="Q10" s="634"/>
      <c r="R10" s="435"/>
      <c r="S10" s="340"/>
      <c r="T10" s="595"/>
      <c r="U10" s="434"/>
      <c r="V10" s="340"/>
      <c r="W10" s="595"/>
      <c r="X10" s="434"/>
      <c r="Y10" s="340"/>
      <c r="Z10" s="595"/>
      <c r="AA10" s="434"/>
      <c r="AB10" s="340"/>
      <c r="AC10" s="595"/>
      <c r="AD10" s="434"/>
      <c r="AE10" s="340"/>
      <c r="AF10" s="595"/>
      <c r="AG10" s="434"/>
      <c r="AH10" s="340"/>
      <c r="AI10" s="595"/>
      <c r="AJ10" s="434"/>
      <c r="AK10" s="340"/>
      <c r="AL10" s="595"/>
      <c r="AM10" s="434"/>
      <c r="AN10" s="340"/>
      <c r="AO10" s="434"/>
      <c r="AP10" s="434"/>
      <c r="AQ10" s="340"/>
      <c r="AR10" s="434"/>
      <c r="AS10" s="434"/>
      <c r="AT10" s="340"/>
    </row>
    <row r="11" spans="1:57" s="451" customFormat="1" ht="18.75" customHeight="1" x14ac:dyDescent="0.3">
      <c r="A11" s="448"/>
      <c r="B11" s="633"/>
      <c r="C11" s="436"/>
      <c r="D11" s="436"/>
      <c r="E11" s="633"/>
      <c r="F11" s="436"/>
      <c r="G11" s="436"/>
      <c r="H11" s="633"/>
      <c r="I11" s="436"/>
      <c r="J11" s="436"/>
      <c r="K11" s="633"/>
      <c r="L11" s="436"/>
      <c r="M11" s="436"/>
      <c r="N11" s="595"/>
      <c r="O11" s="434"/>
      <c r="P11" s="434"/>
      <c r="Q11" s="634"/>
      <c r="R11" s="435"/>
      <c r="S11" s="340"/>
      <c r="T11" s="595"/>
      <c r="U11" s="434"/>
      <c r="V11" s="340"/>
      <c r="W11" s="595"/>
      <c r="X11" s="434"/>
      <c r="Y11" s="340"/>
      <c r="Z11" s="595"/>
      <c r="AA11" s="434"/>
      <c r="AB11" s="340"/>
      <c r="AC11" s="595"/>
      <c r="AD11" s="434"/>
      <c r="AE11" s="340"/>
      <c r="AF11" s="595"/>
      <c r="AG11" s="434"/>
      <c r="AH11" s="340"/>
      <c r="AI11" s="595"/>
      <c r="AJ11" s="434"/>
      <c r="AK11" s="340"/>
      <c r="AL11" s="595"/>
      <c r="AM11" s="434"/>
      <c r="AN11" s="340"/>
      <c r="AO11" s="434"/>
      <c r="AP11" s="434"/>
      <c r="AQ11" s="340"/>
      <c r="AR11" s="434"/>
      <c r="AS11" s="434"/>
      <c r="AT11" s="340"/>
    </row>
    <row r="12" spans="1:57" s="451" customFormat="1" ht="20.100000000000001" customHeight="1" x14ac:dyDescent="0.3">
      <c r="A12" s="608" t="s">
        <v>181</v>
      </c>
      <c r="B12" s="198"/>
      <c r="C12" s="437"/>
      <c r="D12" s="437"/>
      <c r="E12" s="198"/>
      <c r="F12" s="437"/>
      <c r="G12" s="437"/>
      <c r="H12" s="198"/>
      <c r="I12" s="437"/>
      <c r="J12" s="437"/>
      <c r="K12" s="198"/>
      <c r="L12" s="437"/>
      <c r="M12" s="437"/>
      <c r="N12" s="595"/>
      <c r="O12" s="434"/>
      <c r="P12" s="434"/>
      <c r="Q12" s="634"/>
      <c r="R12" s="435"/>
      <c r="S12" s="340"/>
      <c r="T12" s="595"/>
      <c r="U12" s="434"/>
      <c r="V12" s="340"/>
      <c r="W12" s="595"/>
      <c r="X12" s="434"/>
      <c r="Y12" s="340"/>
      <c r="Z12" s="595"/>
      <c r="AA12" s="434"/>
      <c r="AB12" s="340"/>
      <c r="AC12" s="595"/>
      <c r="AD12" s="434"/>
      <c r="AE12" s="340"/>
      <c r="AF12" s="595"/>
      <c r="AG12" s="434"/>
      <c r="AH12" s="340"/>
      <c r="AI12" s="595"/>
      <c r="AJ12" s="434"/>
      <c r="AK12" s="340"/>
      <c r="AL12" s="595"/>
      <c r="AM12" s="434"/>
      <c r="AN12" s="340"/>
      <c r="AO12" s="434"/>
      <c r="AP12" s="434"/>
      <c r="AQ12" s="340"/>
      <c r="AR12" s="434"/>
      <c r="AS12" s="434"/>
      <c r="AT12" s="340"/>
    </row>
    <row r="13" spans="1:57" s="451" customFormat="1" ht="20.100000000000001" customHeight="1" x14ac:dyDescent="0.3">
      <c r="A13" s="608" t="s">
        <v>182</v>
      </c>
      <c r="B13" s="198"/>
      <c r="C13" s="437"/>
      <c r="D13" s="437"/>
      <c r="E13" s="198"/>
      <c r="F13" s="437"/>
      <c r="G13" s="437"/>
      <c r="H13" s="198"/>
      <c r="I13" s="437"/>
      <c r="J13" s="437"/>
      <c r="K13" s="198"/>
      <c r="L13" s="437"/>
      <c r="M13" s="437"/>
      <c r="N13" s="104"/>
      <c r="O13" s="526"/>
      <c r="P13" s="526"/>
      <c r="Q13" s="634"/>
      <c r="R13" s="557"/>
      <c r="S13" s="438"/>
      <c r="T13" s="104"/>
      <c r="U13" s="526"/>
      <c r="V13" s="438"/>
      <c r="W13" s="104"/>
      <c r="X13" s="526"/>
      <c r="Y13" s="438"/>
      <c r="Z13" s="104"/>
      <c r="AA13" s="526"/>
      <c r="AB13" s="438"/>
      <c r="AC13" s="104"/>
      <c r="AD13" s="526"/>
      <c r="AE13" s="438"/>
      <c r="AF13" s="104"/>
      <c r="AG13" s="526"/>
      <c r="AH13" s="438"/>
      <c r="AI13" s="104"/>
      <c r="AJ13" s="526"/>
      <c r="AK13" s="438"/>
      <c r="AL13" s="104"/>
      <c r="AM13" s="526"/>
      <c r="AN13" s="438"/>
      <c r="AO13" s="526"/>
      <c r="AP13" s="526"/>
      <c r="AQ13" s="438"/>
      <c r="AR13" s="526"/>
      <c r="AS13" s="526"/>
      <c r="AT13" s="438"/>
    </row>
    <row r="14" spans="1:57" s="451" customFormat="1" ht="20.100000000000001" customHeight="1" x14ac:dyDescent="0.3">
      <c r="A14" s="580" t="s">
        <v>183</v>
      </c>
      <c r="B14" s="196"/>
      <c r="C14" s="438"/>
      <c r="D14" s="438"/>
      <c r="E14" s="196"/>
      <c r="F14" s="438"/>
      <c r="G14" s="438"/>
      <c r="H14" s="196"/>
      <c r="I14" s="438"/>
      <c r="J14" s="438"/>
      <c r="K14" s="196"/>
      <c r="L14" s="438"/>
      <c r="M14" s="438"/>
      <c r="N14" s="104">
        <v>4</v>
      </c>
      <c r="O14" s="526">
        <v>1</v>
      </c>
      <c r="P14" s="526">
        <f t="shared" ref="P14" si="26">IF(N14=0, "    ---- ", IF(ABS(ROUND(100/N14*O14-100,1))&lt;999,ROUND(100/N14*O14-100,1),IF(ROUND(100/N14*O14-100,1)&gt;999,999,-999)))</f>
        <v>-75</v>
      </c>
      <c r="Q14" s="634"/>
      <c r="R14" s="557"/>
      <c r="S14" s="438"/>
      <c r="T14" s="104">
        <v>994.54083375000005</v>
      </c>
      <c r="U14" s="526">
        <v>1389.1472147500001</v>
      </c>
      <c r="V14" s="438">
        <f t="shared" ref="V14:V28" si="27">IF(T14=0, "    ---- ", IF(ABS(ROUND(100/T14*U14-100,1))&lt;999,ROUND(100/T14*U14-100,1),IF(ROUND(100/T14*U14-100,1)&gt;999,999,-999)))</f>
        <v>39.700000000000003</v>
      </c>
      <c r="W14" s="104">
        <v>0</v>
      </c>
      <c r="X14" s="526">
        <v>0</v>
      </c>
      <c r="Y14" s="438" t="str">
        <f t="shared" ref="Y14:Y19" si="28">IF(W14=0, "    ---- ", IF(ABS(ROUND(100/W14*X14-100,1))&lt;999,ROUND(100/W14*X14-100,1),IF(ROUND(100/W14*X14-100,1)&gt;999,999,-999)))</f>
        <v xml:space="preserve">    ---- </v>
      </c>
      <c r="Z14" s="104"/>
      <c r="AA14" s="526"/>
      <c r="AB14" s="438"/>
      <c r="AC14" s="104"/>
      <c r="AD14" s="526"/>
      <c r="AE14" s="438"/>
      <c r="AF14" s="104"/>
      <c r="AG14" s="526"/>
      <c r="AH14" s="438"/>
      <c r="AI14" s="104"/>
      <c r="AJ14" s="526"/>
      <c r="AK14" s="438"/>
      <c r="AL14" s="104"/>
      <c r="AM14" s="526"/>
      <c r="AN14" s="438"/>
      <c r="AO14" s="526">
        <f>B14+E14+H14+K14+N14+T14+W14+Z14+AF14+AI14</f>
        <v>998.54083375000005</v>
      </c>
      <c r="AP14" s="526">
        <f>C14+F14+I14+L14+O14+U14+X14+AA14+AG14+AJ14</f>
        <v>1390.1472147500001</v>
      </c>
      <c r="AQ14" s="438">
        <f t="shared" ref="AQ14:AQ28" si="29">IF(AO14=0, "    ---- ", IF(ABS(ROUND(100/AO14*AP14-100,1))&lt;999,ROUND(100/AO14*AP14-100,1),IF(ROUND(100/AO14*AP14-100,1)&gt;999,999,-999)))</f>
        <v>39.200000000000003</v>
      </c>
      <c r="AR14" s="526">
        <f>B14+E14+H14+K14+N14+Q14+T14+W14+Z14+AC14+AF14+AI14+AL14</f>
        <v>998.54083375000005</v>
      </c>
      <c r="AS14" s="526">
        <f>C14+F14+I14+L14+O14+R14+U14+X14+AA14+AD14+AG14+AJ14+AM14</f>
        <v>1390.1472147500001</v>
      </c>
      <c r="AT14" s="438">
        <f t="shared" ref="AT14:AT29" si="30">IF(AR14=0, "    ---- ", IF(ABS(ROUND(100/AR14*AS14-100,1))&lt;999,ROUND(100/AR14*AS14-100,1),IF(ROUND(100/AR14*AS14-100,1)&gt;999,999,-999)))</f>
        <v>39.200000000000003</v>
      </c>
    </row>
    <row r="15" spans="1:57" s="451" customFormat="1" ht="20.100000000000001" customHeight="1" x14ac:dyDescent="0.3">
      <c r="A15" s="580" t="s">
        <v>184</v>
      </c>
      <c r="B15" s="196"/>
      <c r="C15" s="438"/>
      <c r="D15" s="438"/>
      <c r="E15" s="196">
        <v>1477.837</v>
      </c>
      <c r="F15" s="438">
        <v>1511.22</v>
      </c>
      <c r="G15" s="438">
        <f t="shared" ref="G15:G28" si="31">IF(E15=0, "    ---- ", IF(ABS(ROUND(100/E15*F15-100,1))&lt;999,ROUND(100/E15*F15-100,1),IF(ROUND(100/E15*F15-100,1)&gt;999,999,-999)))</f>
        <v>2.2999999999999998</v>
      </c>
      <c r="H15" s="196"/>
      <c r="I15" s="438"/>
      <c r="J15" s="438"/>
      <c r="K15" s="196"/>
      <c r="L15" s="438"/>
      <c r="M15" s="438"/>
      <c r="N15" s="104"/>
      <c r="O15" s="526"/>
      <c r="P15" s="526"/>
      <c r="Q15" s="634"/>
      <c r="R15" s="557"/>
      <c r="S15" s="438"/>
      <c r="T15" s="104">
        <v>8860.0997963600003</v>
      </c>
      <c r="U15" s="526">
        <v>9199.8728551100012</v>
      </c>
      <c r="V15" s="438">
        <f t="shared" si="27"/>
        <v>3.8</v>
      </c>
      <c r="W15" s="104">
        <v>5</v>
      </c>
      <c r="X15" s="526">
        <v>4</v>
      </c>
      <c r="Y15" s="438">
        <f t="shared" si="28"/>
        <v>-20</v>
      </c>
      <c r="Z15" s="104">
        <v>1357</v>
      </c>
      <c r="AA15" s="526">
        <f>997+309</f>
        <v>1306</v>
      </c>
      <c r="AB15" s="438">
        <f t="shared" ref="AB15:AB28" si="32">IF(Z15=0, "    ---- ", IF(ABS(ROUND(100/Z15*AA15-100,1))&lt;999,ROUND(100/Z15*AA15-100,1),IF(ROUND(100/Z15*AA15-100,1)&gt;999,999,-999)))</f>
        <v>-3.8</v>
      </c>
      <c r="AC15" s="104"/>
      <c r="AD15" s="526"/>
      <c r="AE15" s="438"/>
      <c r="AF15" s="104">
        <v>1329.7909999999999</v>
      </c>
      <c r="AG15" s="526">
        <v>1357.2639999999999</v>
      </c>
      <c r="AH15" s="438">
        <f t="shared" ref="AH15:AH28" si="33">IF(AF15=0, "    ---- ", IF(ABS(ROUND(100/AF15*AG15-100,1))&lt;999,ROUND(100/AF15*AG15-100,1),IF(ROUND(100/AF15*AG15-100,1)&gt;999,999,-999)))</f>
        <v>2.1</v>
      </c>
      <c r="AI15" s="104">
        <v>12171</v>
      </c>
      <c r="AJ15" s="526">
        <v>13074</v>
      </c>
      <c r="AK15" s="438">
        <f t="shared" ref="AK15:AK28" si="34">IF(AI15=0, "    ---- ", IF(ABS(ROUND(100/AI15*AJ15-100,1))&lt;999,ROUND(100/AI15*AJ15-100,1),IF(ROUND(100/AI15*AJ15-100,1)&gt;999,999,-999)))</f>
        <v>7.4</v>
      </c>
      <c r="AL15" s="104"/>
      <c r="AM15" s="526"/>
      <c r="AN15" s="438"/>
      <c r="AO15" s="526">
        <f t="shared" ref="AO15:AP29" si="35">B15+E15+H15+K15+N15+T15+W15+Z15+AF15+AI15</f>
        <v>25200.727796359999</v>
      </c>
      <c r="AP15" s="526">
        <f t="shared" si="35"/>
        <v>26452.35685511</v>
      </c>
      <c r="AQ15" s="438">
        <f t="shared" si="29"/>
        <v>5</v>
      </c>
      <c r="AR15" s="526">
        <f t="shared" ref="AR15:AS29" si="36">B15+E15+H15+K15+N15+Q15+T15+W15+Z15+AC15+AF15+AI15+AL15</f>
        <v>25200.727796359999</v>
      </c>
      <c r="AS15" s="526">
        <f t="shared" si="36"/>
        <v>26452.35685511</v>
      </c>
      <c r="AT15" s="438">
        <f t="shared" si="30"/>
        <v>5</v>
      </c>
    </row>
    <row r="16" spans="1:57" s="451" customFormat="1" ht="20.100000000000001" customHeight="1" x14ac:dyDescent="0.3">
      <c r="A16" s="580" t="s">
        <v>185</v>
      </c>
      <c r="B16" s="196"/>
      <c r="C16" s="438"/>
      <c r="D16" s="438"/>
      <c r="E16" s="196">
        <v>17181.284115989998</v>
      </c>
      <c r="F16" s="438">
        <f>SUM(F17+F19)</f>
        <v>18445.72347809</v>
      </c>
      <c r="G16" s="438">
        <f t="shared" si="31"/>
        <v>7.4</v>
      </c>
      <c r="H16" s="196">
        <v>349.22580758999999</v>
      </c>
      <c r="I16" s="438">
        <f>SUM(I17+I19)</f>
        <v>519.38901019000002</v>
      </c>
      <c r="J16" s="438">
        <f>IF(H16=0, "    ---- ", IF(ABS(ROUND(100/H16*I16-100,1))&lt;999,ROUND(100/H16*I16-100,1),IF(ROUND(100/H16*I16-100,1)&gt;999,999,-999)))</f>
        <v>48.7</v>
      </c>
      <c r="K16" s="196">
        <v>97.715999999999994</v>
      </c>
      <c r="L16" s="438">
        <f>SUM(L17+L19)</f>
        <v>118.19</v>
      </c>
      <c r="M16" s="438">
        <f t="shared" ref="M16:M17" si="37">IF(K16=0, "    ---- ", IF(ABS(ROUND(100/K16*L16-100,1))&lt;999,ROUND(100/K16*L16-100,1),IF(ROUND(100/K16*L16-100,1)&gt;999,999,-999)))</f>
        <v>21</v>
      </c>
      <c r="N16" s="104">
        <v>282</v>
      </c>
      <c r="O16" s="526">
        <f>SUM(O17+O19)</f>
        <v>229</v>
      </c>
      <c r="P16" s="526">
        <f t="shared" ref="P16" si="38">IF(N16=0, "    ---- ", IF(ABS(ROUND(100/N16*O16-100,1))&lt;999,ROUND(100/N16*O16-100,1),IF(ROUND(100/N16*O16-100,1)&gt;999,999,-999)))</f>
        <v>-18.8</v>
      </c>
      <c r="Q16" s="634"/>
      <c r="R16" s="557"/>
      <c r="S16" s="438"/>
      <c r="T16" s="104">
        <v>19351.888915069998</v>
      </c>
      <c r="U16" s="526">
        <v>20796.337948209999</v>
      </c>
      <c r="V16" s="438">
        <f t="shared" si="27"/>
        <v>7.5</v>
      </c>
      <c r="W16" s="104">
        <v>0</v>
      </c>
      <c r="X16" s="526">
        <f>SUM(X17+X19)</f>
        <v>0</v>
      </c>
      <c r="Y16" s="438" t="str">
        <f t="shared" si="28"/>
        <v xml:space="preserve">    ---- </v>
      </c>
      <c r="Z16" s="104">
        <v>5090</v>
      </c>
      <c r="AA16" s="526">
        <f>SUM(AA17+AA19)</f>
        <v>5363</v>
      </c>
      <c r="AB16" s="438">
        <f t="shared" si="32"/>
        <v>5.4</v>
      </c>
      <c r="AC16" s="104"/>
      <c r="AD16" s="526"/>
      <c r="AE16" s="438"/>
      <c r="AF16" s="104">
        <v>1175.788</v>
      </c>
      <c r="AG16" s="526">
        <f>SUM(AG17+AG19)</f>
        <v>1255.2529999999999</v>
      </c>
      <c r="AH16" s="438">
        <f t="shared" si="33"/>
        <v>6.8</v>
      </c>
      <c r="AI16" s="104">
        <v>11168</v>
      </c>
      <c r="AJ16" s="526">
        <f>SUM(AJ17+AJ19)</f>
        <v>18052</v>
      </c>
      <c r="AK16" s="438">
        <f t="shared" si="34"/>
        <v>61.6</v>
      </c>
      <c r="AL16" s="104"/>
      <c r="AM16" s="526"/>
      <c r="AN16" s="438"/>
      <c r="AO16" s="526">
        <f t="shared" si="35"/>
        <v>54695.902838649999</v>
      </c>
      <c r="AP16" s="526">
        <f t="shared" si="35"/>
        <v>64778.893436489991</v>
      </c>
      <c r="AQ16" s="438">
        <f t="shared" si="29"/>
        <v>18.399999999999999</v>
      </c>
      <c r="AR16" s="526">
        <f t="shared" si="36"/>
        <v>54695.902838649999</v>
      </c>
      <c r="AS16" s="526">
        <f t="shared" si="36"/>
        <v>64778.893436489991</v>
      </c>
      <c r="AT16" s="438">
        <f t="shared" si="30"/>
        <v>18.399999999999999</v>
      </c>
    </row>
    <row r="17" spans="1:46" s="451" customFormat="1" ht="20.100000000000001" customHeight="1" x14ac:dyDescent="0.3">
      <c r="A17" s="580" t="s">
        <v>186</v>
      </c>
      <c r="B17" s="196"/>
      <c r="C17" s="438"/>
      <c r="D17" s="438"/>
      <c r="E17" s="196">
        <v>14553.726430479999</v>
      </c>
      <c r="F17" s="438">
        <v>15861.344079959999</v>
      </c>
      <c r="G17" s="438">
        <f t="shared" si="31"/>
        <v>9</v>
      </c>
      <c r="H17" s="196"/>
      <c r="I17" s="438"/>
      <c r="J17" s="438"/>
      <c r="K17" s="196">
        <v>97.715999999999994</v>
      </c>
      <c r="L17" s="438">
        <v>118.19</v>
      </c>
      <c r="M17" s="438">
        <f t="shared" si="37"/>
        <v>21</v>
      </c>
      <c r="N17" s="104"/>
      <c r="O17" s="526"/>
      <c r="P17" s="526"/>
      <c r="Q17" s="634"/>
      <c r="R17" s="557"/>
      <c r="S17" s="438"/>
      <c r="T17" s="104">
        <v>6550.0786466600002</v>
      </c>
      <c r="U17" s="526">
        <v>7542.0583201099998</v>
      </c>
      <c r="V17" s="438">
        <f t="shared" si="27"/>
        <v>15.1</v>
      </c>
      <c r="W17" s="104">
        <v>0</v>
      </c>
      <c r="X17" s="526">
        <v>0</v>
      </c>
      <c r="Y17" s="438" t="str">
        <f t="shared" si="28"/>
        <v xml:space="preserve">    ---- </v>
      </c>
      <c r="Z17" s="104">
        <v>10</v>
      </c>
      <c r="AA17" s="526">
        <v>0</v>
      </c>
      <c r="AB17" s="438">
        <f t="shared" si="32"/>
        <v>-100</v>
      </c>
      <c r="AC17" s="104"/>
      <c r="AD17" s="526"/>
      <c r="AE17" s="438"/>
      <c r="AF17" s="104">
        <v>40.267000000000003</v>
      </c>
      <c r="AG17" s="526">
        <v>38.241</v>
      </c>
      <c r="AH17" s="438">
        <f t="shared" si="33"/>
        <v>-5</v>
      </c>
      <c r="AI17" s="104"/>
      <c r="AJ17" s="526"/>
      <c r="AK17" s="438"/>
      <c r="AL17" s="104"/>
      <c r="AM17" s="526"/>
      <c r="AN17" s="438"/>
      <c r="AO17" s="526">
        <f t="shared" si="35"/>
        <v>21251.788077140001</v>
      </c>
      <c r="AP17" s="526">
        <f t="shared" si="35"/>
        <v>23559.833400070002</v>
      </c>
      <c r="AQ17" s="438">
        <f t="shared" si="29"/>
        <v>10.9</v>
      </c>
      <c r="AR17" s="526">
        <f t="shared" si="36"/>
        <v>21251.788077140001</v>
      </c>
      <c r="AS17" s="526">
        <f t="shared" si="36"/>
        <v>23559.833400070002</v>
      </c>
      <c r="AT17" s="438">
        <f t="shared" si="30"/>
        <v>10.9</v>
      </c>
    </row>
    <row r="18" spans="1:46" s="451" customFormat="1" ht="20.100000000000001" customHeight="1" x14ac:dyDescent="0.3">
      <c r="A18" s="580" t="s">
        <v>187</v>
      </c>
      <c r="B18" s="196"/>
      <c r="C18" s="438"/>
      <c r="D18" s="438"/>
      <c r="E18" s="196">
        <v>14553.726430479999</v>
      </c>
      <c r="F18" s="438">
        <v>15861.344079959999</v>
      </c>
      <c r="G18" s="438">
        <f t="shared" si="31"/>
        <v>9</v>
      </c>
      <c r="H18" s="196"/>
      <c r="I18" s="438"/>
      <c r="J18" s="438"/>
      <c r="K18" s="196"/>
      <c r="L18" s="438"/>
      <c r="M18" s="438"/>
      <c r="N18" s="104"/>
      <c r="O18" s="526"/>
      <c r="P18" s="526"/>
      <c r="Q18" s="634"/>
      <c r="R18" s="557"/>
      <c r="S18" s="438"/>
      <c r="T18" s="104">
        <v>6550.0786466600002</v>
      </c>
      <c r="U18" s="526">
        <v>7542.0583201099998</v>
      </c>
      <c r="V18" s="438">
        <f t="shared" si="27"/>
        <v>15.1</v>
      </c>
      <c r="W18" s="104">
        <v>0</v>
      </c>
      <c r="X18" s="526">
        <v>0</v>
      </c>
      <c r="Y18" s="438" t="str">
        <f t="shared" si="28"/>
        <v xml:space="preserve">    ---- </v>
      </c>
      <c r="Z18" s="104"/>
      <c r="AA18" s="526"/>
      <c r="AB18" s="438"/>
      <c r="AC18" s="104"/>
      <c r="AD18" s="526"/>
      <c r="AE18" s="438"/>
      <c r="AF18" s="104">
        <v>-3.2782554626464843E-13</v>
      </c>
      <c r="AG18" s="526">
        <v>9.862029599999671</v>
      </c>
      <c r="AH18" s="438">
        <f t="shared" si="33"/>
        <v>-999</v>
      </c>
      <c r="AI18" s="104"/>
      <c r="AJ18" s="526"/>
      <c r="AK18" s="438"/>
      <c r="AL18" s="104"/>
      <c r="AM18" s="526"/>
      <c r="AN18" s="438"/>
      <c r="AO18" s="526">
        <f t="shared" si="35"/>
        <v>21103.805077140001</v>
      </c>
      <c r="AP18" s="526">
        <f t="shared" si="35"/>
        <v>23413.264429670002</v>
      </c>
      <c r="AQ18" s="438">
        <f t="shared" si="29"/>
        <v>10.9</v>
      </c>
      <c r="AR18" s="526">
        <f t="shared" si="36"/>
        <v>21103.805077140001</v>
      </c>
      <c r="AS18" s="526">
        <f t="shared" si="36"/>
        <v>23413.264429670002</v>
      </c>
      <c r="AT18" s="438">
        <f t="shared" si="30"/>
        <v>10.9</v>
      </c>
    </row>
    <row r="19" spans="1:46" s="451" customFormat="1" ht="20.100000000000001" customHeight="1" x14ac:dyDescent="0.3">
      <c r="A19" s="580" t="s">
        <v>188</v>
      </c>
      <c r="B19" s="196"/>
      <c r="C19" s="438"/>
      <c r="D19" s="438"/>
      <c r="E19" s="196">
        <v>2627.5576855100003</v>
      </c>
      <c r="F19" s="438">
        <v>2584.37939813</v>
      </c>
      <c r="G19" s="438">
        <f t="shared" si="31"/>
        <v>-1.6</v>
      </c>
      <c r="H19" s="196">
        <v>349.22580758999999</v>
      </c>
      <c r="I19" s="438">
        <v>519.38901019000002</v>
      </c>
      <c r="J19" s="438">
        <f>IF(H19=0, "    ---- ", IF(ABS(ROUND(100/H19*I19-100,1))&lt;999,ROUND(100/H19*I19-100,1),IF(ROUND(100/H19*I19-100,1)&gt;999,999,-999)))</f>
        <v>48.7</v>
      </c>
      <c r="K19" s="196"/>
      <c r="L19" s="438"/>
      <c r="M19" s="438"/>
      <c r="N19" s="104">
        <v>282</v>
      </c>
      <c r="O19" s="526">
        <v>229</v>
      </c>
      <c r="P19" s="526">
        <f t="shared" ref="P19:P28" si="39">IF(N19=0, "    ---- ", IF(ABS(ROUND(100/N19*O19-100,1))&lt;999,ROUND(100/N19*O19-100,1),IF(ROUND(100/N19*O19-100,1)&gt;999,999,-999)))</f>
        <v>-18.8</v>
      </c>
      <c r="Q19" s="634"/>
      <c r="R19" s="557"/>
      <c r="S19" s="438"/>
      <c r="T19" s="104">
        <v>12801.810268409999</v>
      </c>
      <c r="U19" s="526">
        <v>13254.279628100001</v>
      </c>
      <c r="V19" s="438">
        <f t="shared" si="27"/>
        <v>3.5</v>
      </c>
      <c r="W19" s="104">
        <v>0</v>
      </c>
      <c r="X19" s="526">
        <v>0</v>
      </c>
      <c r="Y19" s="438" t="str">
        <f t="shared" si="28"/>
        <v xml:space="preserve">    ---- </v>
      </c>
      <c r="Z19" s="104">
        <v>5080</v>
      </c>
      <c r="AA19" s="526">
        <v>5363</v>
      </c>
      <c r="AB19" s="438">
        <f t="shared" si="32"/>
        <v>5.6</v>
      </c>
      <c r="AC19" s="104"/>
      <c r="AD19" s="526"/>
      <c r="AE19" s="438"/>
      <c r="AF19" s="104">
        <v>1135.521</v>
      </c>
      <c r="AG19" s="526">
        <v>1217.0119999999999</v>
      </c>
      <c r="AH19" s="438">
        <f t="shared" si="33"/>
        <v>7.2</v>
      </c>
      <c r="AI19" s="104">
        <v>11168</v>
      </c>
      <c r="AJ19" s="526">
        <f>3126+13880+1046</f>
        <v>18052</v>
      </c>
      <c r="AK19" s="438">
        <f t="shared" si="34"/>
        <v>61.6</v>
      </c>
      <c r="AL19" s="104"/>
      <c r="AM19" s="526"/>
      <c r="AN19" s="438"/>
      <c r="AO19" s="526">
        <f t="shared" si="35"/>
        <v>33444.114761509998</v>
      </c>
      <c r="AP19" s="526">
        <f t="shared" si="35"/>
        <v>41219.06003642</v>
      </c>
      <c r="AQ19" s="438">
        <f t="shared" si="29"/>
        <v>23.2</v>
      </c>
      <c r="AR19" s="526">
        <f t="shared" si="36"/>
        <v>33444.114761509998</v>
      </c>
      <c r="AS19" s="526">
        <f t="shared" si="36"/>
        <v>41219.06003642</v>
      </c>
      <c r="AT19" s="438">
        <f t="shared" si="30"/>
        <v>23.2</v>
      </c>
    </row>
    <row r="20" spans="1:46" s="451" customFormat="1" ht="20.100000000000001" customHeight="1" x14ac:dyDescent="0.3">
      <c r="A20" s="580" t="s">
        <v>189</v>
      </c>
      <c r="B20" s="196">
        <v>860.077</v>
      </c>
      <c r="C20" s="438"/>
      <c r="D20" s="438">
        <f>IF(B20=0, "    ---- ", IF(ABS(ROUND(100/B20*C20-100,1))&lt;999,ROUND(100/B20*C20-100,1),IF(ROUND(100/B20*C20-100,1)&gt;999,999,-999)))</f>
        <v>-100</v>
      </c>
      <c r="E20" s="196">
        <v>14823.837069679999</v>
      </c>
      <c r="F20" s="438">
        <f>SUM(F21:F25)</f>
        <v>12429.991979150001</v>
      </c>
      <c r="G20" s="438">
        <f t="shared" si="31"/>
        <v>-16.100000000000001</v>
      </c>
      <c r="H20" s="196">
        <v>2506.3931357099996</v>
      </c>
      <c r="I20" s="438">
        <f>SUM(I21:I25)</f>
        <v>2389.2399318700004</v>
      </c>
      <c r="J20" s="438">
        <f>IF(H20=0, "    ---- ", IF(ABS(ROUND(100/H20*I20-100,1))&lt;999,ROUND(100/H20*I20-100,1),IF(ROUND(100/H20*I20-100,1)&gt;999,999,-999)))</f>
        <v>-4.7</v>
      </c>
      <c r="K20" s="196">
        <v>318.81799999999998</v>
      </c>
      <c r="L20" s="438">
        <f>SUM(L21:L25)</f>
        <v>278.50887999999998</v>
      </c>
      <c r="M20" s="438">
        <f t="shared" ref="M20:M28" si="40">IF(K20=0, "    ---- ", IF(ABS(ROUND(100/K20*L20-100,1))&lt;999,ROUND(100/K20*L20-100,1),IF(ROUND(100/K20*L20-100,1)&gt;999,999,-999)))</f>
        <v>-12.6</v>
      </c>
      <c r="N20" s="104">
        <v>885</v>
      </c>
      <c r="O20" s="526">
        <f>SUM(O21:O25)</f>
        <v>1257</v>
      </c>
      <c r="P20" s="526">
        <f t="shared" si="39"/>
        <v>42</v>
      </c>
      <c r="Q20" s="634"/>
      <c r="R20" s="557"/>
      <c r="S20" s="438"/>
      <c r="T20" s="104">
        <v>12187.872847820001</v>
      </c>
      <c r="U20" s="526">
        <v>12720.82066483</v>
      </c>
      <c r="V20" s="438">
        <f t="shared" si="27"/>
        <v>4.4000000000000004</v>
      </c>
      <c r="W20" s="104">
        <v>11135.050000000003</v>
      </c>
      <c r="X20" s="526">
        <f>SUM(X21:X25)</f>
        <v>10322.320000000011</v>
      </c>
      <c r="Y20" s="438">
        <f t="shared" ref="Y20:Y28" si="41">IF(W20=0, "    ---- ", IF(ABS(ROUND(100/W20*X20-100,1))&lt;999,ROUND(100/W20*X20-100,1),IF(ROUND(100/W20*X20-100,1)&gt;999,999,-999)))</f>
        <v>-7.3</v>
      </c>
      <c r="Z20" s="104">
        <v>4548</v>
      </c>
      <c r="AA20" s="526">
        <f>SUM(AA21:AA25)</f>
        <v>4831</v>
      </c>
      <c r="AB20" s="438">
        <f t="shared" si="32"/>
        <v>6.2</v>
      </c>
      <c r="AC20" s="104">
        <f>SUM(AC21:AC25)</f>
        <v>92.876365059999998</v>
      </c>
      <c r="AD20" s="526"/>
      <c r="AE20" s="438">
        <f>IF(AC20=0, "    ---- ", IF(ABS(ROUND(100/AC20*AD20-100,1))&lt;999,ROUND(100/AC20*AD20-100,1),IF(ROUND(100/AC20*AD20-100,1)&gt;999,999,-999)))</f>
        <v>-100</v>
      </c>
      <c r="AF20" s="104">
        <v>3952.3520000000003</v>
      </c>
      <c r="AG20" s="526">
        <f>SUM(AG21:AG25)</f>
        <v>3452.2570000000005</v>
      </c>
      <c r="AH20" s="438">
        <f t="shared" si="33"/>
        <v>-12.7</v>
      </c>
      <c r="AI20" s="104">
        <v>12003</v>
      </c>
      <c r="AJ20" s="526">
        <f>SUM(AJ21:AJ25)</f>
        <v>3236</v>
      </c>
      <c r="AK20" s="438">
        <f t="shared" si="34"/>
        <v>-73</v>
      </c>
      <c r="AL20" s="104"/>
      <c r="AM20" s="526">
        <f>SUM(AM21:AM25)</f>
        <v>10</v>
      </c>
      <c r="AN20" s="438" t="str">
        <f t="shared" ref="AN20:AN25" si="42">IF(AL20=0, "    ---- ", IF(ABS(ROUND(100/AL20*AM20-100,1))&lt;999,ROUND(100/AL20*AM20-100,1),IF(ROUND(100/AL20*AM20-100,1)&gt;999,999,-999)))</f>
        <v xml:space="preserve">    ---- </v>
      </c>
      <c r="AO20" s="526">
        <f t="shared" si="35"/>
        <v>63220.400053210004</v>
      </c>
      <c r="AP20" s="526">
        <f t="shared" si="35"/>
        <v>50917.138455850014</v>
      </c>
      <c r="AQ20" s="438">
        <f t="shared" si="29"/>
        <v>-19.5</v>
      </c>
      <c r="AR20" s="526">
        <f t="shared" si="36"/>
        <v>63313.276418270005</v>
      </c>
      <c r="AS20" s="526">
        <f t="shared" si="36"/>
        <v>50927.138455850014</v>
      </c>
      <c r="AT20" s="438">
        <f t="shared" si="30"/>
        <v>-19.600000000000001</v>
      </c>
    </row>
    <row r="21" spans="1:46" s="451" customFormat="1" ht="20.100000000000001" customHeight="1" x14ac:dyDescent="0.3">
      <c r="A21" s="580" t="s">
        <v>190</v>
      </c>
      <c r="B21" s="196">
        <v>7.0830000000000002</v>
      </c>
      <c r="C21" s="438"/>
      <c r="D21" s="438">
        <f>IF(B21=0, "    ---- ", IF(ABS(ROUND(100/B21*C21-100,1))&lt;999,ROUND(100/B21*C21-100,1),IF(ROUND(100/B21*C21-100,1)&gt;999,999,-999)))</f>
        <v>-100</v>
      </c>
      <c r="E21" s="196">
        <v>1417.3931122199999</v>
      </c>
      <c r="F21" s="438">
        <v>952.88812043000007</v>
      </c>
      <c r="G21" s="438">
        <f t="shared" si="31"/>
        <v>-32.799999999999997</v>
      </c>
      <c r="H21" s="196"/>
      <c r="I21" s="438"/>
      <c r="J21" s="438"/>
      <c r="K21" s="196">
        <v>47.012</v>
      </c>
      <c r="L21" s="438">
        <v>40.414879999999997</v>
      </c>
      <c r="M21" s="438">
        <f t="shared" si="40"/>
        <v>-14</v>
      </c>
      <c r="N21" s="104">
        <v>15</v>
      </c>
      <c r="O21" s="526">
        <v>8</v>
      </c>
      <c r="P21" s="526">
        <f t="shared" si="39"/>
        <v>-46.7</v>
      </c>
      <c r="Q21" s="634"/>
      <c r="R21" s="557"/>
      <c r="S21" s="438"/>
      <c r="T21" s="104">
        <v>7.6531584500000003</v>
      </c>
      <c r="U21" s="526">
        <v>6.1438499999999996</v>
      </c>
      <c r="V21" s="438">
        <f t="shared" si="27"/>
        <v>-19.7</v>
      </c>
      <c r="W21" s="104">
        <v>9.77</v>
      </c>
      <c r="X21" s="526">
        <v>57.07</v>
      </c>
      <c r="Y21" s="438">
        <f t="shared" si="41"/>
        <v>484.1</v>
      </c>
      <c r="Z21" s="104">
        <v>2176</v>
      </c>
      <c r="AA21" s="526">
        <v>2290</v>
      </c>
      <c r="AB21" s="438">
        <f t="shared" si="32"/>
        <v>5.2</v>
      </c>
      <c r="AC21" s="104"/>
      <c r="AD21" s="526"/>
      <c r="AE21" s="438"/>
      <c r="AF21" s="104">
        <v>1.355</v>
      </c>
      <c r="AG21" s="526">
        <v>1.702</v>
      </c>
      <c r="AH21" s="438">
        <f t="shared" si="33"/>
        <v>25.6</v>
      </c>
      <c r="AI21" s="104">
        <v>420</v>
      </c>
      <c r="AJ21" s="526">
        <v>343</v>
      </c>
      <c r="AK21" s="438">
        <f t="shared" si="34"/>
        <v>-18.3</v>
      </c>
      <c r="AL21" s="104"/>
      <c r="AM21" s="526"/>
      <c r="AN21" s="438"/>
      <c r="AO21" s="526">
        <f t="shared" si="35"/>
        <v>4101.2662706699994</v>
      </c>
      <c r="AP21" s="526">
        <f t="shared" si="35"/>
        <v>3699.2188504300002</v>
      </c>
      <c r="AQ21" s="438">
        <f t="shared" si="29"/>
        <v>-9.8000000000000007</v>
      </c>
      <c r="AR21" s="526">
        <f t="shared" si="36"/>
        <v>4101.2662706699994</v>
      </c>
      <c r="AS21" s="526">
        <f t="shared" si="36"/>
        <v>3699.2188504300002</v>
      </c>
      <c r="AT21" s="438">
        <f t="shared" si="30"/>
        <v>-9.8000000000000007</v>
      </c>
    </row>
    <row r="22" spans="1:46" s="451" customFormat="1" ht="20.100000000000001" customHeight="1" x14ac:dyDescent="0.3">
      <c r="A22" s="580" t="s">
        <v>191</v>
      </c>
      <c r="B22" s="196">
        <v>852.99400000000003</v>
      </c>
      <c r="C22" s="438"/>
      <c r="D22" s="438">
        <f>IF(B22=0, "    ---- ", IF(ABS(ROUND(100/B22*C22-100,1))&lt;999,ROUND(100/B22*C22-100,1),IF(ROUND(100/B22*C22-100,1)&gt;999,999,-999)))</f>
        <v>-100</v>
      </c>
      <c r="E22" s="196">
        <v>13337.62783987</v>
      </c>
      <c r="F22" s="438">
        <v>11408.318623320001</v>
      </c>
      <c r="G22" s="438">
        <f t="shared" si="31"/>
        <v>-14.5</v>
      </c>
      <c r="H22" s="196">
        <v>2467.3155290299992</v>
      </c>
      <c r="I22" s="438">
        <v>2514.9227675200004</v>
      </c>
      <c r="J22" s="438">
        <f>IF(H22=0, "    ---- ", IF(ABS(ROUND(100/H22*I22-100,1))&lt;999,ROUND(100/H22*I22-100,1),IF(ROUND(100/H22*I22-100,1)&gt;999,999,-999)))</f>
        <v>1.9</v>
      </c>
      <c r="K22" s="196">
        <v>196.73</v>
      </c>
      <c r="L22" s="438">
        <v>177.04599999999999</v>
      </c>
      <c r="M22" s="438">
        <f t="shared" si="40"/>
        <v>-10</v>
      </c>
      <c r="N22" s="104">
        <v>870</v>
      </c>
      <c r="O22" s="526">
        <v>1249</v>
      </c>
      <c r="P22" s="526">
        <f t="shared" si="39"/>
        <v>43.6</v>
      </c>
      <c r="Q22" s="634"/>
      <c r="R22" s="557"/>
      <c r="S22" s="438"/>
      <c r="T22" s="104">
        <v>9908.0016924200008</v>
      </c>
      <c r="U22" s="526">
        <v>10710.113931420001</v>
      </c>
      <c r="V22" s="438">
        <f t="shared" si="27"/>
        <v>8.1</v>
      </c>
      <c r="W22" s="104">
        <v>11198.02</v>
      </c>
      <c r="X22" s="526">
        <v>10261.13000000001</v>
      </c>
      <c r="Y22" s="438">
        <f t="shared" si="41"/>
        <v>-8.4</v>
      </c>
      <c r="Z22" s="104">
        <v>2334</v>
      </c>
      <c r="AA22" s="526">
        <v>2524</v>
      </c>
      <c r="AB22" s="438">
        <f t="shared" si="32"/>
        <v>8.1</v>
      </c>
      <c r="AC22" s="104"/>
      <c r="AD22" s="526"/>
      <c r="AE22" s="438"/>
      <c r="AF22" s="104">
        <v>3164.2330000000002</v>
      </c>
      <c r="AG22" s="526">
        <v>2725.165</v>
      </c>
      <c r="AH22" s="438">
        <f t="shared" si="33"/>
        <v>-13.9</v>
      </c>
      <c r="AI22" s="104">
        <v>10734</v>
      </c>
      <c r="AJ22" s="526">
        <v>2888</v>
      </c>
      <c r="AK22" s="438">
        <f t="shared" si="34"/>
        <v>-73.099999999999994</v>
      </c>
      <c r="AL22" s="104"/>
      <c r="AM22" s="526"/>
      <c r="AN22" s="438"/>
      <c r="AO22" s="526">
        <f t="shared" si="35"/>
        <v>55062.922061319994</v>
      </c>
      <c r="AP22" s="526">
        <f t="shared" si="35"/>
        <v>44457.696322260017</v>
      </c>
      <c r="AQ22" s="438">
        <f t="shared" si="29"/>
        <v>-19.3</v>
      </c>
      <c r="AR22" s="526">
        <f t="shared" si="36"/>
        <v>55062.922061319994</v>
      </c>
      <c r="AS22" s="526">
        <f t="shared" si="36"/>
        <v>44457.696322260017</v>
      </c>
      <c r="AT22" s="438">
        <f t="shared" si="30"/>
        <v>-19.3</v>
      </c>
    </row>
    <row r="23" spans="1:46" s="451" customFormat="1" ht="20.100000000000001" customHeight="1" x14ac:dyDescent="0.3">
      <c r="A23" s="580" t="s">
        <v>192</v>
      </c>
      <c r="B23" s="196"/>
      <c r="C23" s="438"/>
      <c r="D23" s="438"/>
      <c r="E23" s="196">
        <v>46.731959670000002</v>
      </c>
      <c r="F23" s="438">
        <v>-0.23330498000000002</v>
      </c>
      <c r="G23" s="438">
        <f t="shared" si="31"/>
        <v>-100.5</v>
      </c>
      <c r="H23" s="196">
        <v>33.197758919999998</v>
      </c>
      <c r="I23" s="438">
        <v>-185.30067593000001</v>
      </c>
      <c r="J23" s="438">
        <f>IF(H23=0, "    ---- ", IF(ABS(ROUND(100/H23*I23-100,1))&lt;999,ROUND(100/H23*I23-100,1),IF(ROUND(100/H23*I23-100,1)&gt;999,999,-999)))</f>
        <v>-658.2</v>
      </c>
      <c r="K23" s="196"/>
      <c r="L23" s="438"/>
      <c r="M23" s="438"/>
      <c r="N23" s="104"/>
      <c r="O23" s="526"/>
      <c r="P23" s="526"/>
      <c r="Q23" s="634"/>
      <c r="R23" s="557"/>
      <c r="S23" s="438"/>
      <c r="T23" s="104">
        <v>1658.2141533699998</v>
      </c>
      <c r="U23" s="526">
        <v>1295.9545695199999</v>
      </c>
      <c r="V23" s="438">
        <f t="shared" si="27"/>
        <v>-21.8</v>
      </c>
      <c r="W23" s="104">
        <v>0.11</v>
      </c>
      <c r="X23" s="526">
        <v>0.11</v>
      </c>
      <c r="Y23" s="438">
        <f t="shared" si="41"/>
        <v>0</v>
      </c>
      <c r="Z23" s="104"/>
      <c r="AA23" s="526"/>
      <c r="AB23" s="438"/>
      <c r="AC23" s="104"/>
      <c r="AD23" s="526"/>
      <c r="AE23" s="438"/>
      <c r="AF23" s="104">
        <v>290.97800000000001</v>
      </c>
      <c r="AG23" s="526">
        <v>175.46700000000001</v>
      </c>
      <c r="AH23" s="438">
        <f t="shared" si="33"/>
        <v>-39.700000000000003</v>
      </c>
      <c r="AI23" s="104"/>
      <c r="AJ23" s="526"/>
      <c r="AK23" s="438"/>
      <c r="AL23" s="104"/>
      <c r="AM23" s="526"/>
      <c r="AN23" s="438"/>
      <c r="AO23" s="526">
        <f t="shared" si="35"/>
        <v>2029.2318719599998</v>
      </c>
      <c r="AP23" s="526">
        <f t="shared" si="35"/>
        <v>1285.9975886099999</v>
      </c>
      <c r="AQ23" s="438">
        <f t="shared" si="29"/>
        <v>-36.6</v>
      </c>
      <c r="AR23" s="526">
        <f t="shared" si="36"/>
        <v>2029.2318719599998</v>
      </c>
      <c r="AS23" s="526">
        <f t="shared" si="36"/>
        <v>1285.9975886099999</v>
      </c>
      <c r="AT23" s="438">
        <f t="shared" si="30"/>
        <v>-36.6</v>
      </c>
    </row>
    <row r="24" spans="1:46" s="451" customFormat="1" ht="20.100000000000001" customHeight="1" x14ac:dyDescent="0.3">
      <c r="A24" s="580" t="s">
        <v>193</v>
      </c>
      <c r="B24" s="196"/>
      <c r="C24" s="438"/>
      <c r="D24" s="438"/>
      <c r="E24" s="196">
        <v>7.7406614999999999</v>
      </c>
      <c r="F24" s="438">
        <v>1.1288800000000001E-3</v>
      </c>
      <c r="G24" s="438">
        <f t="shared" si="31"/>
        <v>-100</v>
      </c>
      <c r="H24" s="196"/>
      <c r="I24" s="438"/>
      <c r="J24" s="438"/>
      <c r="K24" s="196"/>
      <c r="L24" s="438"/>
      <c r="M24" s="438"/>
      <c r="N24" s="104"/>
      <c r="O24" s="526"/>
      <c r="P24" s="526"/>
      <c r="Q24" s="634"/>
      <c r="R24" s="557"/>
      <c r="S24" s="438"/>
      <c r="T24" s="104">
        <v>613.99445575000004</v>
      </c>
      <c r="U24" s="526">
        <v>649.73100225999997</v>
      </c>
      <c r="V24" s="438">
        <f t="shared" si="27"/>
        <v>5.8</v>
      </c>
      <c r="W24" s="104">
        <v>0.45</v>
      </c>
      <c r="X24" s="526">
        <v>0</v>
      </c>
      <c r="Y24" s="438">
        <f t="shared" si="41"/>
        <v>-100</v>
      </c>
      <c r="Z24" s="104">
        <v>38</v>
      </c>
      <c r="AA24" s="526">
        <v>17</v>
      </c>
      <c r="AB24" s="438">
        <f t="shared" si="32"/>
        <v>-55.3</v>
      </c>
      <c r="AC24" s="104"/>
      <c r="AD24" s="526"/>
      <c r="AE24" s="438"/>
      <c r="AF24" s="104">
        <v>1.099</v>
      </c>
      <c r="AG24" s="526">
        <v>3.085</v>
      </c>
      <c r="AH24" s="438">
        <f t="shared" si="33"/>
        <v>180.7</v>
      </c>
      <c r="AI24" s="104">
        <v>849</v>
      </c>
      <c r="AJ24" s="526">
        <v>5</v>
      </c>
      <c r="AK24" s="438">
        <f t="shared" si="34"/>
        <v>-99.4</v>
      </c>
      <c r="AL24" s="104"/>
      <c r="AM24" s="526"/>
      <c r="AN24" s="438"/>
      <c r="AO24" s="526">
        <f t="shared" si="35"/>
        <v>1510.2841172500002</v>
      </c>
      <c r="AP24" s="526">
        <f t="shared" si="35"/>
        <v>674.81713114000001</v>
      </c>
      <c r="AQ24" s="438">
        <f t="shared" si="29"/>
        <v>-55.3</v>
      </c>
      <c r="AR24" s="526">
        <f t="shared" si="36"/>
        <v>1510.2841172500002</v>
      </c>
      <c r="AS24" s="526">
        <f t="shared" si="36"/>
        <v>674.81713114000001</v>
      </c>
      <c r="AT24" s="438">
        <f t="shared" si="30"/>
        <v>-55.3</v>
      </c>
    </row>
    <row r="25" spans="1:46" s="451" customFormat="1" ht="20.100000000000001" customHeight="1" x14ac:dyDescent="0.3">
      <c r="A25" s="580" t="s">
        <v>194</v>
      </c>
      <c r="B25" s="196"/>
      <c r="C25" s="438"/>
      <c r="D25" s="438"/>
      <c r="E25" s="196">
        <v>14.343496420000001</v>
      </c>
      <c r="F25" s="438">
        <v>69.017411499999994</v>
      </c>
      <c r="G25" s="438">
        <f t="shared" si="31"/>
        <v>381.2</v>
      </c>
      <c r="H25" s="196">
        <v>5.8798477599999996</v>
      </c>
      <c r="I25" s="438">
        <v>59.617840280000003</v>
      </c>
      <c r="J25" s="438">
        <f>IF(H25=0, "    ---- ", IF(ABS(ROUND(100/H25*I25-100,1))&lt;999,ROUND(100/H25*I25-100,1),IF(ROUND(100/H25*I25-100,1)&gt;999,999,-999)))</f>
        <v>913.9</v>
      </c>
      <c r="K25" s="196">
        <v>75.075999999999993</v>
      </c>
      <c r="L25" s="438">
        <v>61.048000000000002</v>
      </c>
      <c r="M25" s="438">
        <f t="shared" si="40"/>
        <v>-18.7</v>
      </c>
      <c r="N25" s="104"/>
      <c r="O25" s="526"/>
      <c r="P25" s="526"/>
      <c r="Q25" s="634"/>
      <c r="R25" s="557"/>
      <c r="S25" s="438"/>
      <c r="T25" s="104">
        <v>9.3878299999999998E-3</v>
      </c>
      <c r="U25" s="526">
        <v>58.877311630000001</v>
      </c>
      <c r="V25" s="438">
        <f t="shared" si="27"/>
        <v>999</v>
      </c>
      <c r="W25" s="104">
        <v>-73.3</v>
      </c>
      <c r="X25" s="526">
        <v>4.01</v>
      </c>
      <c r="Y25" s="438">
        <f t="shared" si="41"/>
        <v>-105.5</v>
      </c>
      <c r="Z25" s="104"/>
      <c r="AA25" s="526"/>
      <c r="AB25" s="438"/>
      <c r="AC25" s="104">
        <v>92.876365059999998</v>
      </c>
      <c r="AD25" s="526"/>
      <c r="AE25" s="438">
        <f>IF(AC25=0, "    ---- ", IF(ABS(ROUND(100/AC25*AD25-100,1))&lt;999,ROUND(100/AC25*AD25-100,1),IF(ROUND(100/AC25*AD25-100,1)&gt;999,999,-999)))</f>
        <v>-100</v>
      </c>
      <c r="AF25" s="104">
        <v>494.68700000000001</v>
      </c>
      <c r="AG25" s="526">
        <v>546.83799999999997</v>
      </c>
      <c r="AH25" s="438">
        <f t="shared" si="33"/>
        <v>10.5</v>
      </c>
      <c r="AI25" s="104"/>
      <c r="AJ25" s="526"/>
      <c r="AK25" s="438"/>
      <c r="AL25" s="104"/>
      <c r="AM25" s="526">
        <v>10</v>
      </c>
      <c r="AN25" s="438" t="str">
        <f t="shared" si="42"/>
        <v xml:space="preserve">    ---- </v>
      </c>
      <c r="AO25" s="526">
        <f t="shared" si="35"/>
        <v>516.69573201000003</v>
      </c>
      <c r="AP25" s="526">
        <f t="shared" si="35"/>
        <v>799.40856340999994</v>
      </c>
      <c r="AQ25" s="438">
        <f t="shared" si="29"/>
        <v>54.7</v>
      </c>
      <c r="AR25" s="526">
        <f t="shared" si="36"/>
        <v>609.57209707000004</v>
      </c>
      <c r="AS25" s="526">
        <f t="shared" si="36"/>
        <v>809.40856340999994</v>
      </c>
      <c r="AT25" s="438">
        <f t="shared" si="30"/>
        <v>32.799999999999997</v>
      </c>
    </row>
    <row r="26" spans="1:46" s="451" customFormat="1" ht="20.100000000000001" customHeight="1" x14ac:dyDescent="0.3">
      <c r="A26" s="580" t="s">
        <v>195</v>
      </c>
      <c r="B26" s="196"/>
      <c r="C26" s="438"/>
      <c r="D26" s="438"/>
      <c r="E26" s="196"/>
      <c r="F26" s="438"/>
      <c r="G26" s="438"/>
      <c r="H26" s="196"/>
      <c r="I26" s="438"/>
      <c r="J26" s="438"/>
      <c r="K26" s="196"/>
      <c r="L26" s="438"/>
      <c r="M26" s="438"/>
      <c r="N26" s="104"/>
      <c r="O26" s="526"/>
      <c r="P26" s="526"/>
      <c r="Q26" s="634"/>
      <c r="R26" s="557"/>
      <c r="S26" s="438"/>
      <c r="T26" s="104"/>
      <c r="U26" s="526"/>
      <c r="V26" s="438"/>
      <c r="W26" s="104">
        <v>0</v>
      </c>
      <c r="X26" s="526">
        <v>0</v>
      </c>
      <c r="Y26" s="438" t="str">
        <f t="shared" si="41"/>
        <v xml:space="preserve">    ---- </v>
      </c>
      <c r="Z26" s="104"/>
      <c r="AA26" s="526"/>
      <c r="AB26" s="438"/>
      <c r="AC26" s="104"/>
      <c r="AD26" s="526"/>
      <c r="AE26" s="438"/>
      <c r="AF26" s="104"/>
      <c r="AG26" s="526"/>
      <c r="AH26" s="438"/>
      <c r="AI26" s="104"/>
      <c r="AJ26" s="526"/>
      <c r="AK26" s="438"/>
      <c r="AL26" s="104"/>
      <c r="AM26" s="526"/>
      <c r="AN26" s="438"/>
      <c r="AO26" s="526">
        <f t="shared" si="35"/>
        <v>0</v>
      </c>
      <c r="AP26" s="526">
        <f t="shared" si="35"/>
        <v>0</v>
      </c>
      <c r="AQ26" s="438" t="str">
        <f t="shared" si="29"/>
        <v xml:space="preserve">    ---- </v>
      </c>
      <c r="AR26" s="526">
        <f t="shared" si="36"/>
        <v>0</v>
      </c>
      <c r="AS26" s="526">
        <f t="shared" si="36"/>
        <v>0</v>
      </c>
      <c r="AT26" s="438" t="str">
        <f t="shared" si="30"/>
        <v xml:space="preserve">    ---- </v>
      </c>
    </row>
    <row r="27" spans="1:46" s="451" customFormat="1" ht="20.100000000000001" customHeight="1" x14ac:dyDescent="0.3">
      <c r="A27" s="635" t="s">
        <v>196</v>
      </c>
      <c r="B27" s="196">
        <v>860.077</v>
      </c>
      <c r="C27" s="438"/>
      <c r="D27" s="438">
        <f>IF(B27=0, "    ---- ", IF(ABS(ROUND(100/B27*C27-100,1))&lt;999,ROUND(100/B27*C27-100,1),IF(ROUND(100/B27*C27-100,1)&gt;999,999,-999)))</f>
        <v>-100</v>
      </c>
      <c r="E27" s="196">
        <v>33482.958185669995</v>
      </c>
      <c r="F27" s="438">
        <f>SUM(F14+F15+F16+F20+F26)</f>
        <v>32386.935457240004</v>
      </c>
      <c r="G27" s="438">
        <f t="shared" si="31"/>
        <v>-3.3</v>
      </c>
      <c r="H27" s="196">
        <v>2855.6189432999995</v>
      </c>
      <c r="I27" s="438">
        <f>SUM(I14+I15+I16+I20+I26)</f>
        <v>2908.6289420600006</v>
      </c>
      <c r="J27" s="438">
        <f>IF(H27=0, "    ---- ", IF(ABS(ROUND(100/H27*I27-100,1))&lt;999,ROUND(100/H27*I27-100,1),IF(ROUND(100/H27*I27-100,1)&gt;999,999,-999)))</f>
        <v>1.9</v>
      </c>
      <c r="K27" s="196">
        <v>416.53399999999999</v>
      </c>
      <c r="L27" s="438">
        <f>SUM(L14+L15+L16+L20+L26)</f>
        <v>396.69887999999997</v>
      </c>
      <c r="M27" s="438">
        <f t="shared" si="40"/>
        <v>-4.8</v>
      </c>
      <c r="N27" s="104">
        <v>1171</v>
      </c>
      <c r="O27" s="526">
        <f>SUM(O14+O15+O16+O20+O26)</f>
        <v>1487</v>
      </c>
      <c r="P27" s="526">
        <f t="shared" si="39"/>
        <v>27</v>
      </c>
      <c r="Q27" s="634"/>
      <c r="R27" s="557"/>
      <c r="S27" s="438"/>
      <c r="T27" s="104">
        <v>41394.402392999997</v>
      </c>
      <c r="U27" s="526">
        <v>44106.178682900005</v>
      </c>
      <c r="V27" s="438">
        <f t="shared" si="27"/>
        <v>6.6</v>
      </c>
      <c r="W27" s="104">
        <v>11140.050000000003</v>
      </c>
      <c r="X27" s="526">
        <f>SUM(X14+X15+X16+X20+X26)</f>
        <v>10326.320000000011</v>
      </c>
      <c r="Y27" s="438">
        <f t="shared" si="41"/>
        <v>-7.3</v>
      </c>
      <c r="Z27" s="104">
        <v>10995</v>
      </c>
      <c r="AA27" s="526">
        <f>SUM(AA14+AA15+AA16+AA20+AA26)</f>
        <v>11500</v>
      </c>
      <c r="AB27" s="438">
        <f t="shared" si="32"/>
        <v>4.5999999999999996</v>
      </c>
      <c r="AC27" s="104">
        <f>SUM(AC14+AC15+AC16+AC20+AC26)</f>
        <v>92.876365059999998</v>
      </c>
      <c r="AD27" s="526"/>
      <c r="AE27" s="438">
        <f>IF(AC27=0, "    ---- ", IF(ABS(ROUND(100/AC27*AD27-100,1))&lt;999,ROUND(100/AC27*AD27-100,1),IF(ROUND(100/AC27*AD27-100,1)&gt;999,999,-999)))</f>
        <v>-100</v>
      </c>
      <c r="AF27" s="104">
        <v>6457.9310000000005</v>
      </c>
      <c r="AG27" s="526">
        <f>SUM(AG14+AG15+AG16+AG20+AG26)</f>
        <v>6064.7740000000003</v>
      </c>
      <c r="AH27" s="438">
        <f t="shared" si="33"/>
        <v>-6.1</v>
      </c>
      <c r="AI27" s="104">
        <v>35342</v>
      </c>
      <c r="AJ27" s="526">
        <f>SUM(AJ14+AJ15+AJ16+AJ20+AJ26)</f>
        <v>34362</v>
      </c>
      <c r="AK27" s="438">
        <f t="shared" si="34"/>
        <v>-2.8</v>
      </c>
      <c r="AL27" s="104"/>
      <c r="AM27" s="526">
        <f>SUM(AM14+AM15+AM16+AM20+AM26)</f>
        <v>10</v>
      </c>
      <c r="AN27" s="438" t="str">
        <f t="shared" ref="AN27:AN28" si="43">IF(AL27=0, "    ---- ", IF(ABS(ROUND(100/AL27*AM27-100,1))&lt;999,ROUND(100/AL27*AM27-100,1),IF(ROUND(100/AL27*AM27-100,1)&gt;999,999,-999)))</f>
        <v xml:space="preserve">    ---- </v>
      </c>
      <c r="AO27" s="526">
        <f t="shared" si="35"/>
        <v>144115.57152196998</v>
      </c>
      <c r="AP27" s="526">
        <f t="shared" si="35"/>
        <v>143538.53596220003</v>
      </c>
      <c r="AQ27" s="438">
        <f t="shared" si="29"/>
        <v>-0.4</v>
      </c>
      <c r="AR27" s="526">
        <f t="shared" si="36"/>
        <v>144208.44788702996</v>
      </c>
      <c r="AS27" s="526">
        <f t="shared" si="36"/>
        <v>143548.53596220003</v>
      </c>
      <c r="AT27" s="438">
        <f t="shared" si="30"/>
        <v>-0.5</v>
      </c>
    </row>
    <row r="28" spans="1:46" s="451" customFormat="1" ht="20.100000000000001" customHeight="1" x14ac:dyDescent="0.3">
      <c r="A28" s="580" t="s">
        <v>197</v>
      </c>
      <c r="B28" s="196">
        <v>182.01400000000001</v>
      </c>
      <c r="C28" s="438"/>
      <c r="D28" s="438">
        <f>IF(B28=0, "    ---- ", IF(ABS(ROUND(100/B28*C28-100,1))&lt;999,ROUND(100/B28*C28-100,1),IF(ROUND(100/B28*C28-100,1)&gt;999,999,-999)))</f>
        <v>-100</v>
      </c>
      <c r="E28" s="196">
        <v>804.62099999999998</v>
      </c>
      <c r="F28" s="438">
        <v>750.11800000000005</v>
      </c>
      <c r="G28" s="438">
        <f t="shared" si="31"/>
        <v>-6.8</v>
      </c>
      <c r="H28" s="196">
        <v>1124.5761119700001</v>
      </c>
      <c r="I28" s="438">
        <v>976.53377700999988</v>
      </c>
      <c r="J28" s="438">
        <f>IF(H28=0, "    ---- ", IF(ABS(ROUND(100/H28*I28-100,1))&lt;999,ROUND(100/H28*I28-100,1),IF(ROUND(100/H28*I28-100,1)&gt;999,999,-999)))</f>
        <v>-13.2</v>
      </c>
      <c r="K28" s="196">
        <v>590.726</v>
      </c>
      <c r="L28" s="438">
        <v>630.56169999999997</v>
      </c>
      <c r="M28" s="438">
        <f t="shared" si="40"/>
        <v>6.7</v>
      </c>
      <c r="N28" s="104">
        <v>394</v>
      </c>
      <c r="O28" s="526">
        <v>272</v>
      </c>
      <c r="P28" s="526">
        <f t="shared" si="39"/>
        <v>-31</v>
      </c>
      <c r="Q28" s="634">
        <v>167.64422300000001</v>
      </c>
      <c r="R28" s="557"/>
      <c r="S28" s="438">
        <f t="shared" ref="S28" si="44">IF(Q28=0, "    ---- ", IF(ABS(ROUND(100/Q28*R28-100,1))&lt;999,ROUND(100/Q28*R28-100,1),IF(ROUND(100/Q28*R28-100,1)&gt;999,999,-999)))</f>
        <v>-100</v>
      </c>
      <c r="T28" s="104">
        <v>3984.9577634499997</v>
      </c>
      <c r="U28" s="526">
        <v>4389.6230678800002</v>
      </c>
      <c r="V28" s="438">
        <f t="shared" si="27"/>
        <v>10.199999999999999</v>
      </c>
      <c r="W28" s="104">
        <v>1347.34</v>
      </c>
      <c r="X28" s="526">
        <v>1421.93</v>
      </c>
      <c r="Y28" s="438">
        <f t="shared" si="41"/>
        <v>5.5</v>
      </c>
      <c r="Z28" s="104">
        <v>1408</v>
      </c>
      <c r="AA28" s="526">
        <f>72+188+976+37</f>
        <v>1273</v>
      </c>
      <c r="AB28" s="438">
        <f t="shared" si="32"/>
        <v>-9.6</v>
      </c>
      <c r="AC28" s="104"/>
      <c r="AD28" s="526"/>
      <c r="AE28" s="438"/>
      <c r="AF28" s="104">
        <v>669.58199999999999</v>
      </c>
      <c r="AG28" s="526">
        <v>728.70699999999999</v>
      </c>
      <c r="AH28" s="438">
        <f t="shared" si="33"/>
        <v>8.8000000000000007</v>
      </c>
      <c r="AI28" s="104">
        <v>8944</v>
      </c>
      <c r="AJ28" s="526">
        <f>1609+37145+3146+62</f>
        <v>41962</v>
      </c>
      <c r="AK28" s="438">
        <f t="shared" si="34"/>
        <v>369.2</v>
      </c>
      <c r="AL28" s="104">
        <v>4</v>
      </c>
      <c r="AM28" s="526">
        <v>5</v>
      </c>
      <c r="AN28" s="438">
        <f t="shared" si="43"/>
        <v>25</v>
      </c>
      <c r="AO28" s="526">
        <f t="shared" si="35"/>
        <v>19449.816875420001</v>
      </c>
      <c r="AP28" s="526">
        <f t="shared" si="35"/>
        <v>52404.473544890003</v>
      </c>
      <c r="AQ28" s="438">
        <f t="shared" si="29"/>
        <v>169.4</v>
      </c>
      <c r="AR28" s="526">
        <f t="shared" si="36"/>
        <v>19621.461098420001</v>
      </c>
      <c r="AS28" s="526">
        <f t="shared" si="36"/>
        <v>52409.473544890003</v>
      </c>
      <c r="AT28" s="438">
        <f t="shared" si="30"/>
        <v>167.1</v>
      </c>
    </row>
    <row r="29" spans="1:46" s="451" customFormat="1" ht="20.100000000000001" customHeight="1" x14ac:dyDescent="0.3">
      <c r="A29" s="580" t="s">
        <v>198</v>
      </c>
      <c r="B29" s="196">
        <v>1042.0909999999999</v>
      </c>
      <c r="C29" s="438"/>
      <c r="D29" s="438">
        <f>IF(B29=0, "    ---- ", IF(ABS(ROUND(100/B29*C29-100,1))&lt;999,ROUND(100/B29*C29-100,1),IF(ROUND(100/B29*C29-100,1)&gt;999,999,-999)))</f>
        <v>-100</v>
      </c>
      <c r="E29" s="196">
        <v>34287.579185669994</v>
      </c>
      <c r="F29" s="438">
        <f>SUM(F27+F28)</f>
        <v>33137.053457240007</v>
      </c>
      <c r="G29" s="438">
        <f>IF(E29=0, "    ---- ", IF(ABS(ROUND(100/E29*F29-100,1))&lt;999,ROUND(100/E29*F29-100,1),IF(ROUND(100/E29*F29-100,1)&gt;999,999,-999)))</f>
        <v>-3.4</v>
      </c>
      <c r="H29" s="196">
        <v>3980.1950552699996</v>
      </c>
      <c r="I29" s="438">
        <f>SUM(I27+I28)</f>
        <v>3885.1627190700005</v>
      </c>
      <c r="J29" s="438">
        <f>IF(H29=0, "    ---- ", IF(ABS(ROUND(100/H29*I29-100,1))&lt;999,ROUND(100/H29*I29-100,1),IF(ROUND(100/H29*I29-100,1)&gt;999,999,-999)))</f>
        <v>-2.4</v>
      </c>
      <c r="K29" s="196">
        <v>1007.26</v>
      </c>
      <c r="L29" s="438">
        <f>SUM(L27+L28)</f>
        <v>1027.2605799999999</v>
      </c>
      <c r="M29" s="438">
        <f>IF(K29=0, "    ---- ", IF(ABS(ROUND(100/K29*L29-100,1))&lt;999,ROUND(100/K29*L29-100,1),IF(ROUND(100/K29*L29-100,1)&gt;999,999,-999)))</f>
        <v>2</v>
      </c>
      <c r="N29" s="196">
        <v>1565</v>
      </c>
      <c r="O29" s="438">
        <f>SUM(O27+O28)</f>
        <v>1759</v>
      </c>
      <c r="P29" s="438">
        <f>IF(N29=0, "    ---- ", IF(ABS(ROUND(100/N29*O29-100,1))&lt;999,ROUND(100/N29*O29-100,1),IF(ROUND(100/N29*O29-100,1)&gt;999,999,-999)))</f>
        <v>12.4</v>
      </c>
      <c r="Q29" s="196">
        <v>167.64422300000001</v>
      </c>
      <c r="R29" s="438"/>
      <c r="S29" s="438">
        <f>IF(Q29=0, "    ---- ", IF(ABS(ROUND(100/Q29*R29-100,1))&lt;999,ROUND(100/Q29*R29-100,1),IF(ROUND(100/Q29*R29-100,1)&gt;999,999,-999)))</f>
        <v>-100</v>
      </c>
      <c r="T29" s="196">
        <v>45379.360156449999</v>
      </c>
      <c r="U29" s="438">
        <v>48495.801750780003</v>
      </c>
      <c r="V29" s="438">
        <f>IF(T29=0, "    ---- ", IF(ABS(ROUND(100/T29*U29-100,1))&lt;999,ROUND(100/T29*U29-100,1),IF(ROUND(100/T29*U29-100,1)&gt;999,999,-999)))</f>
        <v>6.9</v>
      </c>
      <c r="W29" s="196">
        <v>12487.390000000003</v>
      </c>
      <c r="X29" s="438">
        <f>SUM(X27+X28)</f>
        <v>11748.250000000011</v>
      </c>
      <c r="Y29" s="438">
        <f>IF(W29=0, "    ---- ", IF(ABS(ROUND(100/W29*X29-100,1))&lt;999,ROUND(100/W29*X29-100,1),IF(ROUND(100/W29*X29-100,1)&gt;999,999,-999)))</f>
        <v>-5.9</v>
      </c>
      <c r="Z29" s="196">
        <v>12403</v>
      </c>
      <c r="AA29" s="438">
        <f>SUM(AA27+AA28)</f>
        <v>12773</v>
      </c>
      <c r="AB29" s="438">
        <f>IF(Z29=0, "    ---- ", IF(ABS(ROUND(100/Z29*AA29-100,1))&lt;999,ROUND(100/Z29*AA29-100,1),IF(ROUND(100/Z29*AA29-100,1)&gt;999,999,-999)))</f>
        <v>3</v>
      </c>
      <c r="AC29" s="196">
        <f>SUM(AC27+AC28)</f>
        <v>92.876365059999998</v>
      </c>
      <c r="AD29" s="438"/>
      <c r="AE29" s="438">
        <f>IF(AC29=0, "    ---- ", IF(ABS(ROUND(100/AC29*AD29-100,1))&lt;999,ROUND(100/AC29*AD29-100,1),IF(ROUND(100/AC29*AD29-100,1)&gt;999,999,-999)))</f>
        <v>-100</v>
      </c>
      <c r="AF29" s="196">
        <v>7127.5130000000008</v>
      </c>
      <c r="AG29" s="438">
        <f>SUM(AG27+AG28)</f>
        <v>6793.4810000000007</v>
      </c>
      <c r="AH29" s="438">
        <f>IF(AF29=0, "    ---- ", IF(ABS(ROUND(100/AF29*AG29-100,1))&lt;999,ROUND(100/AF29*AG29-100,1),IF(ROUND(100/AF29*AG29-100,1)&gt;999,999,-999)))</f>
        <v>-4.7</v>
      </c>
      <c r="AI29" s="196">
        <v>44286</v>
      </c>
      <c r="AJ29" s="438">
        <f>SUM(AJ27+AJ28)</f>
        <v>76324</v>
      </c>
      <c r="AK29" s="438">
        <f>IF(AI29=0, "    ---- ", IF(ABS(ROUND(100/AI29*AJ29-100,1))&lt;999,ROUND(100/AI29*AJ29-100,1),IF(ROUND(100/AI29*AJ29-100,1)&gt;999,999,-999)))</f>
        <v>72.3</v>
      </c>
      <c r="AL29" s="196">
        <v>4</v>
      </c>
      <c r="AM29" s="438">
        <f>SUM(AM27+AM28)</f>
        <v>15</v>
      </c>
      <c r="AN29" s="438">
        <f>IF(AL29=0, "    ---- ", IF(ABS(ROUND(100/AL29*AM29-100,1))&lt;999,ROUND(100/AL29*AM29-100,1),IF(ROUND(100/AL29*AM29-100,1)&gt;999,999,-999)))</f>
        <v>275</v>
      </c>
      <c r="AO29" s="526">
        <f t="shared" si="35"/>
        <v>163565.38839739002</v>
      </c>
      <c r="AP29" s="526">
        <f t="shared" si="35"/>
        <v>195943.00950709003</v>
      </c>
      <c r="AQ29" s="438">
        <f>IF(AO29=0, "    ---- ", IF(ABS(ROUND(100/AO29*AP29-100,1))&lt;999,ROUND(100/AO29*AP29-100,1),IF(ROUND(100/AO29*AP29-100,1)&gt;999,999,-999)))</f>
        <v>19.8</v>
      </c>
      <c r="AR29" s="526">
        <f t="shared" si="36"/>
        <v>163829.90898544999</v>
      </c>
      <c r="AS29" s="526">
        <f t="shared" si="36"/>
        <v>195958.00950709003</v>
      </c>
      <c r="AT29" s="636">
        <f t="shared" si="30"/>
        <v>19.600000000000001</v>
      </c>
    </row>
    <row r="30" spans="1:46" s="451" customFormat="1" ht="20.100000000000001" customHeight="1" x14ac:dyDescent="0.3">
      <c r="A30" s="580"/>
      <c r="B30" s="595"/>
      <c r="C30" s="434"/>
      <c r="D30" s="438"/>
      <c r="E30" s="595"/>
      <c r="F30" s="434"/>
      <c r="G30" s="438"/>
      <c r="H30" s="595"/>
      <c r="I30" s="434"/>
      <c r="J30" s="438"/>
      <c r="K30" s="595"/>
      <c r="L30" s="434"/>
      <c r="M30" s="438"/>
      <c r="N30" s="196"/>
      <c r="O30" s="438"/>
      <c r="P30" s="434"/>
      <c r="Q30" s="104"/>
      <c r="R30" s="434"/>
      <c r="S30" s="340"/>
      <c r="T30" s="595"/>
      <c r="U30" s="434"/>
      <c r="V30" s="340"/>
      <c r="W30" s="595"/>
      <c r="X30" s="434"/>
      <c r="Y30" s="340"/>
      <c r="Z30" s="595"/>
      <c r="AA30" s="434"/>
      <c r="AB30" s="340"/>
      <c r="AC30" s="595"/>
      <c r="AD30" s="434"/>
      <c r="AE30" s="340"/>
      <c r="AF30" s="595"/>
      <c r="AG30" s="434"/>
      <c r="AH30" s="340"/>
      <c r="AI30" s="595"/>
      <c r="AJ30" s="434"/>
      <c r="AK30" s="340"/>
      <c r="AL30" s="595"/>
      <c r="AM30" s="434"/>
      <c r="AN30" s="340"/>
      <c r="AO30" s="434"/>
      <c r="AP30" s="434"/>
      <c r="AQ30" s="340"/>
      <c r="AR30" s="434"/>
      <c r="AS30" s="434"/>
      <c r="AT30" s="439"/>
    </row>
    <row r="31" spans="1:46" s="451" customFormat="1" ht="20.100000000000001" customHeight="1" x14ac:dyDescent="0.3">
      <c r="A31" s="608" t="s">
        <v>199</v>
      </c>
      <c r="B31" s="196"/>
      <c r="C31" s="438"/>
      <c r="D31" s="438"/>
      <c r="E31" s="196"/>
      <c r="F31" s="438"/>
      <c r="G31" s="438"/>
      <c r="H31" s="196"/>
      <c r="I31" s="438"/>
      <c r="J31" s="438"/>
      <c r="K31" s="196"/>
      <c r="L31" s="438"/>
      <c r="M31" s="438"/>
      <c r="N31" s="196"/>
      <c r="O31" s="438"/>
      <c r="P31" s="434"/>
      <c r="Q31" s="196"/>
      <c r="R31" s="438"/>
      <c r="S31" s="340"/>
      <c r="T31" s="196"/>
      <c r="U31" s="438"/>
      <c r="V31" s="340"/>
      <c r="W31" s="196"/>
      <c r="X31" s="438"/>
      <c r="Y31" s="340"/>
      <c r="Z31" s="196"/>
      <c r="AA31" s="438"/>
      <c r="AB31" s="340"/>
      <c r="AC31" s="196"/>
      <c r="AD31" s="438"/>
      <c r="AE31" s="340"/>
      <c r="AF31" s="196"/>
      <c r="AG31" s="438"/>
      <c r="AH31" s="340"/>
      <c r="AI31" s="196"/>
      <c r="AJ31" s="438"/>
      <c r="AK31" s="340"/>
      <c r="AL31" s="196"/>
      <c r="AM31" s="438"/>
      <c r="AN31" s="340"/>
      <c r="AO31" s="434"/>
      <c r="AP31" s="434"/>
      <c r="AQ31" s="340"/>
      <c r="AR31" s="434"/>
      <c r="AS31" s="434"/>
      <c r="AT31" s="439"/>
    </row>
    <row r="32" spans="1:46" s="451" customFormat="1" ht="20.100000000000001" customHeight="1" x14ac:dyDescent="0.3">
      <c r="A32" s="608" t="s">
        <v>200</v>
      </c>
      <c r="B32" s="196"/>
      <c r="C32" s="438"/>
      <c r="D32" s="340"/>
      <c r="E32" s="196"/>
      <c r="F32" s="438"/>
      <c r="G32" s="340"/>
      <c r="H32" s="196"/>
      <c r="I32" s="438"/>
      <c r="J32" s="340"/>
      <c r="K32" s="196"/>
      <c r="L32" s="438"/>
      <c r="M32" s="340"/>
      <c r="N32" s="196"/>
      <c r="O32" s="438"/>
      <c r="P32" s="434"/>
      <c r="Q32" s="196"/>
      <c r="R32" s="438"/>
      <c r="S32" s="340"/>
      <c r="T32" s="196"/>
      <c r="U32" s="438"/>
      <c r="V32" s="340"/>
      <c r="W32" s="196"/>
      <c r="X32" s="438"/>
      <c r="Y32" s="340"/>
      <c r="Z32" s="196"/>
      <c r="AA32" s="438"/>
      <c r="AB32" s="340"/>
      <c r="AC32" s="196"/>
      <c r="AD32" s="438"/>
      <c r="AE32" s="340"/>
      <c r="AF32" s="196"/>
      <c r="AG32" s="438"/>
      <c r="AH32" s="340"/>
      <c r="AI32" s="196"/>
      <c r="AJ32" s="438"/>
      <c r="AK32" s="340"/>
      <c r="AL32" s="196"/>
      <c r="AM32" s="438"/>
      <c r="AN32" s="340"/>
      <c r="AO32" s="434"/>
      <c r="AP32" s="434"/>
      <c r="AQ32" s="340"/>
      <c r="AR32" s="434"/>
      <c r="AS32" s="434"/>
      <c r="AT32" s="439"/>
    </row>
    <row r="33" spans="1:46" s="451" customFormat="1" ht="20.100000000000001" customHeight="1" x14ac:dyDescent="0.3">
      <c r="A33" s="580" t="s">
        <v>201</v>
      </c>
      <c r="B33" s="196"/>
      <c r="C33" s="438"/>
      <c r="D33" s="438"/>
      <c r="E33" s="196">
        <v>19.31040771</v>
      </c>
      <c r="F33" s="438">
        <v>14.22554581</v>
      </c>
      <c r="G33" s="438">
        <f t="shared" ref="G33:G93" si="45">IF(E33=0, "    ---- ", IF(ABS(ROUND(100/E33*F33-100,1))&lt;999,ROUND(100/E33*F33-100,1),IF(ROUND(100/E33*F33-100,1)&gt;999,999,-999)))</f>
        <v>-26.3</v>
      </c>
      <c r="H33" s="196"/>
      <c r="I33" s="438"/>
      <c r="J33" s="438"/>
      <c r="K33" s="196"/>
      <c r="L33" s="438"/>
      <c r="M33" s="438"/>
      <c r="N33" s="196"/>
      <c r="O33" s="438"/>
      <c r="P33" s="434"/>
      <c r="Q33" s="196"/>
      <c r="R33" s="438"/>
      <c r="S33" s="340"/>
      <c r="T33" s="196"/>
      <c r="U33" s="438"/>
      <c r="V33" s="340"/>
      <c r="W33" s="196"/>
      <c r="X33" s="438"/>
      <c r="Y33" s="340"/>
      <c r="Z33" s="196"/>
      <c r="AA33" s="438"/>
      <c r="AB33" s="340"/>
      <c r="AC33" s="196"/>
      <c r="AD33" s="438"/>
      <c r="AE33" s="340"/>
      <c r="AF33" s="196"/>
      <c r="AG33" s="438"/>
      <c r="AH33" s="340"/>
      <c r="AI33" s="196"/>
      <c r="AJ33" s="438"/>
      <c r="AK33" s="340"/>
      <c r="AL33" s="196"/>
      <c r="AM33" s="438"/>
      <c r="AN33" s="340"/>
      <c r="AO33" s="526">
        <f t="shared" ref="AO33:AP46" si="46">B33+E33+H33+K33+N33+T33+W33+Z33+AF33+AI33</f>
        <v>19.31040771</v>
      </c>
      <c r="AP33" s="526">
        <f t="shared" si="46"/>
        <v>14.22554581</v>
      </c>
      <c r="AQ33" s="340">
        <f t="shared" ref="AQ33:AQ93" si="47">IF(AO33=0, "    ---- ", IF(ABS(ROUND(100/AO33*AP33-100,1))&lt;999,ROUND(100/AO33*AP33-100,1),IF(ROUND(100/AO33*AP33-100,1)&gt;999,999,-999)))</f>
        <v>-26.3</v>
      </c>
      <c r="AR33" s="526">
        <f t="shared" ref="AR33:AS46" si="48">B33+E33+H33+K33+N33+Q33+T33+W33+Z33+AC33+AF33+AI33+AL33</f>
        <v>19.31040771</v>
      </c>
      <c r="AS33" s="526">
        <f t="shared" si="48"/>
        <v>14.22554581</v>
      </c>
      <c r="AT33" s="439">
        <f t="shared" ref="AT33:AT93" si="49">IF(AR33=0, "    ---- ", IF(ABS(ROUND(100/AR33*AS33-100,1))&lt;999,ROUND(100/AR33*AS33-100,1),IF(ROUND(100/AR33*AS33-100,1)&gt;999,999,-999)))</f>
        <v>-26.3</v>
      </c>
    </row>
    <row r="34" spans="1:46" s="451" customFormat="1" ht="20.100000000000001" customHeight="1" x14ac:dyDescent="0.3">
      <c r="A34" s="580" t="s">
        <v>202</v>
      </c>
      <c r="B34" s="196"/>
      <c r="C34" s="438"/>
      <c r="D34" s="438"/>
      <c r="E34" s="196">
        <v>29488.204000000002</v>
      </c>
      <c r="F34" s="438">
        <v>23451.417000000001</v>
      </c>
      <c r="G34" s="438">
        <f t="shared" si="45"/>
        <v>-20.5</v>
      </c>
      <c r="H34" s="196">
        <v>445.57893290999999</v>
      </c>
      <c r="I34" s="438">
        <v>446.63463938999996</v>
      </c>
      <c r="J34" s="438">
        <f t="shared" ref="J34:J38" si="50">IF(H34=0, "    ---- ", IF(ABS(ROUND(100/H34*I34-100,1))&lt;999,ROUND(100/H34*I34-100,1),IF(ROUND(100/H34*I34-100,1)&gt;999,999,-999)))</f>
        <v>0.2</v>
      </c>
      <c r="K34" s="196"/>
      <c r="L34" s="438"/>
      <c r="M34" s="438"/>
      <c r="N34" s="196">
        <v>1227</v>
      </c>
      <c r="O34" s="438">
        <v>745</v>
      </c>
      <c r="P34" s="434">
        <f>IF(N34=0, "    ---- ", IF(ABS(ROUND(100/N34*O34-100,1))&lt;999,ROUND(100/N34*O34-100,1),IF(ROUND(100/N34*O34-100,1)&gt;999,999,-999)))</f>
        <v>-39.299999999999997</v>
      </c>
      <c r="Q34" s="196"/>
      <c r="R34" s="438"/>
      <c r="S34" s="340"/>
      <c r="T34" s="196">
        <v>87420.170698050002</v>
      </c>
      <c r="U34" s="438">
        <v>95004.052344770011</v>
      </c>
      <c r="V34" s="340">
        <f>IF(T34=0, "    ---- ", IF(ABS(ROUND(100/T34*U34-100,1))&lt;999,ROUND(100/T34*U34-100,1),IF(ROUND(100/T34*U34-100,1)&gt;999,999,-999)))</f>
        <v>8.6999999999999993</v>
      </c>
      <c r="W34" s="196">
        <v>8098.6189766999996</v>
      </c>
      <c r="X34" s="438">
        <v>7276.9608049999997</v>
      </c>
      <c r="Y34" s="340">
        <f t="shared" ref="Y34:Y93" si="51">IF(W34=0, "    ---- ", IF(ABS(ROUND(100/W34*X34-100,1))&lt;999,ROUND(100/W34*X34-100,1),IF(ROUND(100/W34*X34-100,1)&gt;999,999,-999)))</f>
        <v>-10.1</v>
      </c>
      <c r="Z34" s="196">
        <v>21362</v>
      </c>
      <c r="AA34" s="438">
        <f>14106+7119</f>
        <v>21225</v>
      </c>
      <c r="AB34" s="340">
        <f t="shared" ref="AB34:AB41" si="52">IF(Z34=0, "    ---- ", IF(ABS(ROUND(100/Z34*AA34-100,1))&lt;999,ROUND(100/Z34*AA34-100,1),IF(ROUND(100/Z34*AA34-100,1)&gt;999,999,-999)))</f>
        <v>-0.6</v>
      </c>
      <c r="AC34" s="196"/>
      <c r="AD34" s="438"/>
      <c r="AE34" s="340"/>
      <c r="AF34" s="196">
        <v>6247.4250000000002</v>
      </c>
      <c r="AG34" s="438">
        <v>5709.28</v>
      </c>
      <c r="AH34" s="340">
        <f t="shared" ref="AH34:AH93" si="53">IF(AF34=0, "    ---- ", IF(ABS(ROUND(100/AF34*AG34-100,1))&lt;999,ROUND(100/AF34*AG34-100,1),IF(ROUND(100/AF34*AG34-100,1)&gt;999,999,-999)))</f>
        <v>-8.6</v>
      </c>
      <c r="AI34" s="196">
        <v>23551</v>
      </c>
      <c r="AJ34" s="438">
        <v>24023</v>
      </c>
      <c r="AK34" s="340">
        <f t="shared" ref="AK34:AK93" si="54">IF(AI34=0, "    ---- ", IF(ABS(ROUND(100/AI34*AJ34-100,1))&lt;999,ROUND(100/AI34*AJ34-100,1),IF(ROUND(100/AI34*AJ34-100,1)&gt;999,999,-999)))</f>
        <v>2</v>
      </c>
      <c r="AL34" s="196"/>
      <c r="AM34" s="438"/>
      <c r="AN34" s="340"/>
      <c r="AO34" s="526">
        <f t="shared" si="46"/>
        <v>177839.99760766001</v>
      </c>
      <c r="AP34" s="526">
        <f t="shared" si="46"/>
        <v>177881.34478916001</v>
      </c>
      <c r="AQ34" s="340">
        <f t="shared" si="47"/>
        <v>0</v>
      </c>
      <c r="AR34" s="526">
        <f t="shared" si="48"/>
        <v>177839.99760766001</v>
      </c>
      <c r="AS34" s="526">
        <f t="shared" si="48"/>
        <v>177881.34478916001</v>
      </c>
      <c r="AT34" s="439">
        <f t="shared" si="49"/>
        <v>0</v>
      </c>
    </row>
    <row r="35" spans="1:46" s="451" customFormat="1" ht="20.100000000000001" customHeight="1" x14ac:dyDescent="0.3">
      <c r="A35" s="580" t="s">
        <v>203</v>
      </c>
      <c r="B35" s="196"/>
      <c r="C35" s="438"/>
      <c r="D35" s="438"/>
      <c r="E35" s="196">
        <v>98068.878918009999</v>
      </c>
      <c r="F35" s="438">
        <f>SUM(F36+F38)</f>
        <v>125177.07988723999</v>
      </c>
      <c r="G35" s="438">
        <f t="shared" si="45"/>
        <v>27.6</v>
      </c>
      <c r="H35" s="196">
        <v>827.30643831999998</v>
      </c>
      <c r="I35" s="438">
        <f>SUM(I36+I38)</f>
        <v>2394.6690328499999</v>
      </c>
      <c r="J35" s="438">
        <f t="shared" si="50"/>
        <v>189.5</v>
      </c>
      <c r="K35" s="196">
        <v>304.63400000000001</v>
      </c>
      <c r="L35" s="438">
        <f>SUM(L36+L38)</f>
        <v>461.62700000000001</v>
      </c>
      <c r="M35" s="438">
        <f t="shared" ref="M35:M36" si="55">IF(K35=0, "    ---- ", IF(ABS(ROUND(100/K35*L35-100,1))&lt;999,ROUND(100/K35*L35-100,1),IF(ROUND(100/K35*L35-100,1)&gt;999,999,-999)))</f>
        <v>51.5</v>
      </c>
      <c r="N35" s="196">
        <v>5861</v>
      </c>
      <c r="O35" s="438">
        <f>SUM(O36+O38)</f>
        <v>7302</v>
      </c>
      <c r="P35" s="434">
        <f>IF(N35=0, "    ---- ", IF(ABS(ROUND(100/N35*O35-100,1))&lt;999,ROUND(100/N35*O35-100,1),IF(ROUND(100/N35*O35-100,1)&gt;999,999,-999)))</f>
        <v>24.6</v>
      </c>
      <c r="Q35" s="196"/>
      <c r="R35" s="438"/>
      <c r="S35" s="340"/>
      <c r="T35" s="196">
        <v>260815.19212838</v>
      </c>
      <c r="U35" s="438">
        <v>271503.69608594</v>
      </c>
      <c r="V35" s="340">
        <f>IF(T35=0, "    ---- ", IF(ABS(ROUND(100/T35*U35-100,1))&lt;999,ROUND(100/T35*U35-100,1),IF(ROUND(100/T35*U35-100,1)&gt;999,999,-999)))</f>
        <v>4.0999999999999996</v>
      </c>
      <c r="W35" s="196">
        <v>34531.989664920002</v>
      </c>
      <c r="X35" s="438">
        <f>SUM(X36+X38)</f>
        <v>39694.305325359899</v>
      </c>
      <c r="Y35" s="340">
        <f t="shared" si="51"/>
        <v>14.9</v>
      </c>
      <c r="Z35" s="196">
        <v>26368</v>
      </c>
      <c r="AA35" s="438">
        <f>SUM(AA36+AA38)</f>
        <v>26330</v>
      </c>
      <c r="AB35" s="340">
        <f t="shared" si="52"/>
        <v>-0.1</v>
      </c>
      <c r="AC35" s="196"/>
      <c r="AD35" s="438"/>
      <c r="AE35" s="340"/>
      <c r="AF35" s="196">
        <v>7980.1890000000003</v>
      </c>
      <c r="AG35" s="438">
        <f>SUM(AG36+AG38)</f>
        <v>10004.217000000001</v>
      </c>
      <c r="AH35" s="340">
        <f t="shared" si="53"/>
        <v>25.4</v>
      </c>
      <c r="AI35" s="196">
        <v>132287</v>
      </c>
      <c r="AJ35" s="438">
        <f>SUM(AJ36+AJ38)</f>
        <v>156772</v>
      </c>
      <c r="AK35" s="340">
        <f t="shared" si="54"/>
        <v>18.5</v>
      </c>
      <c r="AL35" s="196"/>
      <c r="AM35" s="438"/>
      <c r="AN35" s="340"/>
      <c r="AO35" s="526">
        <f t="shared" si="46"/>
        <v>567044.19014963007</v>
      </c>
      <c r="AP35" s="526">
        <f t="shared" si="46"/>
        <v>639639.59433138999</v>
      </c>
      <c r="AQ35" s="340">
        <f t="shared" si="47"/>
        <v>12.8</v>
      </c>
      <c r="AR35" s="526">
        <f t="shared" si="48"/>
        <v>567044.19014963007</v>
      </c>
      <c r="AS35" s="526">
        <f t="shared" si="48"/>
        <v>639639.59433138999</v>
      </c>
      <c r="AT35" s="439">
        <f t="shared" si="49"/>
        <v>12.8</v>
      </c>
    </row>
    <row r="36" spans="1:46" s="451" customFormat="1" ht="20.100000000000001" customHeight="1" x14ac:dyDescent="0.3">
      <c r="A36" s="580" t="s">
        <v>204</v>
      </c>
      <c r="B36" s="196"/>
      <c r="C36" s="438"/>
      <c r="D36" s="340"/>
      <c r="E36" s="196">
        <v>73222.062635449998</v>
      </c>
      <c r="F36" s="438">
        <v>105506.30593012</v>
      </c>
      <c r="G36" s="340">
        <f t="shared" si="45"/>
        <v>44.1</v>
      </c>
      <c r="H36" s="196"/>
      <c r="I36" s="438">
        <v>0.61252888000000005</v>
      </c>
      <c r="J36" s="438" t="str">
        <f t="shared" si="50"/>
        <v xml:space="preserve">    ---- </v>
      </c>
      <c r="K36" s="196">
        <v>304.63400000000001</v>
      </c>
      <c r="L36" s="438">
        <v>461.62700000000001</v>
      </c>
      <c r="M36" s="438">
        <f t="shared" si="55"/>
        <v>51.5</v>
      </c>
      <c r="N36" s="196"/>
      <c r="O36" s="438"/>
      <c r="P36" s="434"/>
      <c r="Q36" s="196"/>
      <c r="R36" s="438"/>
      <c r="S36" s="340"/>
      <c r="T36" s="196">
        <v>18748.497139419997</v>
      </c>
      <c r="U36" s="438">
        <v>0</v>
      </c>
      <c r="V36" s="340">
        <f>IF(T36=0, "    ---- ", IF(ABS(ROUND(100/T36*U36-100,1))&lt;999,ROUND(100/T36*U36-100,1),IF(ROUND(100/T36*U36-100,1)&gt;999,999,-999)))</f>
        <v>-100</v>
      </c>
      <c r="W36" s="196">
        <v>3.4000000000000003E-7</v>
      </c>
      <c r="X36" s="438">
        <v>3.4000000000000003E-7</v>
      </c>
      <c r="Y36" s="340">
        <f t="shared" si="51"/>
        <v>0</v>
      </c>
      <c r="Z36" s="196"/>
      <c r="AA36" s="438"/>
      <c r="AB36" s="340"/>
      <c r="AC36" s="196"/>
      <c r="AD36" s="438"/>
      <c r="AE36" s="340"/>
      <c r="AF36" s="196">
        <v>312.17899999999997</v>
      </c>
      <c r="AG36" s="438">
        <v>576.673</v>
      </c>
      <c r="AH36" s="340">
        <f t="shared" si="53"/>
        <v>84.7</v>
      </c>
      <c r="AI36" s="196">
        <v>8426</v>
      </c>
      <c r="AJ36" s="438"/>
      <c r="AK36" s="340">
        <f t="shared" si="54"/>
        <v>-100</v>
      </c>
      <c r="AL36" s="196"/>
      <c r="AM36" s="438"/>
      <c r="AN36" s="340"/>
      <c r="AO36" s="526">
        <f t="shared" si="46"/>
        <v>101013.37277521001</v>
      </c>
      <c r="AP36" s="526">
        <f t="shared" si="46"/>
        <v>106545.21845933999</v>
      </c>
      <c r="AQ36" s="340">
        <f t="shared" si="47"/>
        <v>5.5</v>
      </c>
      <c r="AR36" s="526">
        <f t="shared" si="48"/>
        <v>101013.37277521001</v>
      </c>
      <c r="AS36" s="526">
        <f t="shared" si="48"/>
        <v>106545.21845933999</v>
      </c>
      <c r="AT36" s="439">
        <f t="shared" si="49"/>
        <v>5.5</v>
      </c>
    </row>
    <row r="37" spans="1:46" s="451" customFormat="1" ht="20.100000000000001" customHeight="1" x14ac:dyDescent="0.3">
      <c r="A37" s="580" t="s">
        <v>187</v>
      </c>
      <c r="B37" s="196"/>
      <c r="C37" s="438"/>
      <c r="D37" s="438"/>
      <c r="E37" s="196">
        <v>73222.062635449998</v>
      </c>
      <c r="F37" s="438">
        <v>105506.30593012</v>
      </c>
      <c r="G37" s="438">
        <f t="shared" si="45"/>
        <v>44.1</v>
      </c>
      <c r="H37" s="196"/>
      <c r="I37" s="438">
        <v>0.61252888000000005</v>
      </c>
      <c r="J37" s="438" t="str">
        <f t="shared" si="50"/>
        <v xml:space="preserve">    ---- </v>
      </c>
      <c r="K37" s="196"/>
      <c r="L37" s="438"/>
      <c r="M37" s="438"/>
      <c r="N37" s="196"/>
      <c r="O37" s="438"/>
      <c r="P37" s="434"/>
      <c r="Q37" s="196"/>
      <c r="R37" s="438"/>
      <c r="S37" s="340"/>
      <c r="T37" s="196">
        <v>18748.497139419997</v>
      </c>
      <c r="U37" s="438">
        <v>0</v>
      </c>
      <c r="V37" s="340">
        <f>IF(T37=0, "    ---- ", IF(ABS(ROUND(100/T37*U37-100,1))&lt;999,ROUND(100/T37*U37-100,1),IF(ROUND(100/T37*U37-100,1)&gt;999,999,-999)))</f>
        <v>-100</v>
      </c>
      <c r="W37" s="196">
        <v>3.4000000000000003E-7</v>
      </c>
      <c r="X37" s="438">
        <v>3.4000000000000003E-7</v>
      </c>
      <c r="Y37" s="340">
        <f t="shared" si="51"/>
        <v>0</v>
      </c>
      <c r="Z37" s="196"/>
      <c r="AA37" s="438"/>
      <c r="AB37" s="340"/>
      <c r="AC37" s="196"/>
      <c r="AD37" s="438"/>
      <c r="AE37" s="340"/>
      <c r="AF37" s="196">
        <v>-8.4750354290008545E-13</v>
      </c>
      <c r="AG37" s="438">
        <v>244.95735291999912</v>
      </c>
      <c r="AH37" s="340">
        <f t="shared" si="53"/>
        <v>-999</v>
      </c>
      <c r="AI37" s="196">
        <v>8426</v>
      </c>
      <c r="AJ37" s="438"/>
      <c r="AK37" s="340">
        <f t="shared" si="54"/>
        <v>-100</v>
      </c>
      <c r="AL37" s="196"/>
      <c r="AM37" s="438"/>
      <c r="AN37" s="340"/>
      <c r="AO37" s="526">
        <f t="shared" si="46"/>
        <v>100396.55977521</v>
      </c>
      <c r="AP37" s="526">
        <f t="shared" si="46"/>
        <v>105751.87581226</v>
      </c>
      <c r="AQ37" s="340">
        <f t="shared" si="47"/>
        <v>5.3</v>
      </c>
      <c r="AR37" s="526">
        <f t="shared" si="48"/>
        <v>100396.55977521</v>
      </c>
      <c r="AS37" s="526">
        <f t="shared" si="48"/>
        <v>105751.87581226</v>
      </c>
      <c r="AT37" s="439">
        <f t="shared" si="49"/>
        <v>5.3</v>
      </c>
    </row>
    <row r="38" spans="1:46" s="451" customFormat="1" ht="20.100000000000001" customHeight="1" x14ac:dyDescent="0.3">
      <c r="A38" s="580" t="s">
        <v>205</v>
      </c>
      <c r="B38" s="196"/>
      <c r="C38" s="438"/>
      <c r="D38" s="438"/>
      <c r="E38" s="196">
        <v>24846.816282560001</v>
      </c>
      <c r="F38" s="438">
        <v>19670.77395712</v>
      </c>
      <c r="G38" s="438">
        <f t="shared" si="45"/>
        <v>-20.8</v>
      </c>
      <c r="H38" s="196">
        <v>827.30643831999998</v>
      </c>
      <c r="I38" s="438">
        <v>2394.05650397</v>
      </c>
      <c r="J38" s="438">
        <f t="shared" si="50"/>
        <v>189.4</v>
      </c>
      <c r="K38" s="196"/>
      <c r="L38" s="438"/>
      <c r="M38" s="438"/>
      <c r="N38" s="196">
        <v>5861</v>
      </c>
      <c r="O38" s="438">
        <v>7302</v>
      </c>
      <c r="P38" s="434">
        <f t="shared" ref="P38:P57" si="56">IF(N38=0, "    ---- ", IF(ABS(ROUND(100/N38*O38-100,1))&lt;999,ROUND(100/N38*O38-100,1),IF(ROUND(100/N38*O38-100,1)&gt;999,999,-999)))</f>
        <v>24.6</v>
      </c>
      <c r="Q38" s="196"/>
      <c r="R38" s="438"/>
      <c r="S38" s="340"/>
      <c r="T38" s="196">
        <v>242066.69498895999</v>
      </c>
      <c r="U38" s="438">
        <v>271503.69608594</v>
      </c>
      <c r="V38" s="340">
        <f t="shared" ref="V38:V45" si="57">IF(T38=0, "    ---- ", IF(ABS(ROUND(100/T38*U38-100,1))&lt;999,ROUND(100/T38*U38-100,1),IF(ROUND(100/T38*U38-100,1)&gt;999,999,-999)))</f>
        <v>12.2</v>
      </c>
      <c r="W38" s="196">
        <v>34531.989664580004</v>
      </c>
      <c r="X38" s="438">
        <v>39694.305325019901</v>
      </c>
      <c r="Y38" s="340">
        <f t="shared" si="51"/>
        <v>14.9</v>
      </c>
      <c r="Z38" s="196">
        <v>26368</v>
      </c>
      <c r="AA38" s="438">
        <v>26330</v>
      </c>
      <c r="AB38" s="340">
        <f t="shared" si="52"/>
        <v>-0.1</v>
      </c>
      <c r="AC38" s="196"/>
      <c r="AD38" s="438"/>
      <c r="AE38" s="340"/>
      <c r="AF38" s="196">
        <v>7668.01</v>
      </c>
      <c r="AG38" s="438">
        <v>9427.5439999999999</v>
      </c>
      <c r="AH38" s="340">
        <f t="shared" si="53"/>
        <v>22.9</v>
      </c>
      <c r="AI38" s="196">
        <v>123861</v>
      </c>
      <c r="AJ38" s="438">
        <f>133821+18134+4817</f>
        <v>156772</v>
      </c>
      <c r="AK38" s="340">
        <f t="shared" si="54"/>
        <v>26.6</v>
      </c>
      <c r="AL38" s="196"/>
      <c r="AM38" s="438"/>
      <c r="AN38" s="340"/>
      <c r="AO38" s="526">
        <f t="shared" si="46"/>
        <v>466030.81737442</v>
      </c>
      <c r="AP38" s="526">
        <f t="shared" si="46"/>
        <v>533094.37587204995</v>
      </c>
      <c r="AQ38" s="340">
        <f t="shared" si="47"/>
        <v>14.4</v>
      </c>
      <c r="AR38" s="526">
        <f t="shared" si="48"/>
        <v>466030.81737442</v>
      </c>
      <c r="AS38" s="526">
        <f t="shared" si="48"/>
        <v>533094.37587204995</v>
      </c>
      <c r="AT38" s="439">
        <f t="shared" si="49"/>
        <v>14.4</v>
      </c>
    </row>
    <row r="39" spans="1:46" s="451" customFormat="1" ht="20.100000000000001" customHeight="1" x14ac:dyDescent="0.3">
      <c r="A39" s="580" t="s">
        <v>206</v>
      </c>
      <c r="B39" s="196">
        <v>1358.36</v>
      </c>
      <c r="C39" s="438"/>
      <c r="D39" s="438">
        <f>IF(B39=0, "    ---- ", IF(ABS(ROUND(100/B39*C39-100,1))&lt;999,ROUND(100/B39*C39-100,1),IF(ROUND(100/B39*C39-100,1)&gt;999,999,-999)))</f>
        <v>-100</v>
      </c>
      <c r="E39" s="196">
        <v>72554.469551610004</v>
      </c>
      <c r="F39" s="438">
        <f>SUM(F40:F44)</f>
        <v>45733.81620483</v>
      </c>
      <c r="G39" s="438">
        <f t="shared" si="45"/>
        <v>-37</v>
      </c>
      <c r="H39" s="196">
        <v>6341.3619819199994</v>
      </c>
      <c r="I39" s="438">
        <f>SUM(I40:I44)</f>
        <v>5544.8057951700002</v>
      </c>
      <c r="J39" s="438">
        <f>IF(H39=0, "    ---- ", IF(ABS(ROUND(100/H39*I39-100,1))&lt;999,ROUND(100/H39*I39-100,1),IF(ROUND(100/H39*I39-100,1)&gt;999,999,-999)))</f>
        <v>-12.6</v>
      </c>
      <c r="K39" s="196">
        <v>993.93</v>
      </c>
      <c r="L39" s="438">
        <f>SUM(L40:L44)</f>
        <v>1087.8</v>
      </c>
      <c r="M39" s="438">
        <f t="shared" ref="M39:M46" si="58">IF(K39=0, "    ---- ", IF(ABS(ROUND(100/K39*L39-100,1))&lt;999,ROUND(100/K39*L39-100,1),IF(ROUND(100/K39*L39-100,1)&gt;999,999,-999)))</f>
        <v>9.4</v>
      </c>
      <c r="N39" s="196">
        <v>845</v>
      </c>
      <c r="O39" s="438">
        <f>SUM(O40:O44)</f>
        <v>446</v>
      </c>
      <c r="P39" s="434">
        <f t="shared" si="56"/>
        <v>-47.2</v>
      </c>
      <c r="Q39" s="196"/>
      <c r="R39" s="438"/>
      <c r="S39" s="340"/>
      <c r="T39" s="196">
        <v>314264.3207638</v>
      </c>
      <c r="U39" s="438">
        <v>324394.58091124002</v>
      </c>
      <c r="V39" s="340">
        <f t="shared" si="57"/>
        <v>3.2</v>
      </c>
      <c r="W39" s="196">
        <v>13879.200176169999</v>
      </c>
      <c r="X39" s="438">
        <f>SUM(X40:X44)</f>
        <v>8566.0846650700005</v>
      </c>
      <c r="Y39" s="340">
        <f t="shared" si="51"/>
        <v>-38.299999999999997</v>
      </c>
      <c r="Z39" s="196">
        <v>65271</v>
      </c>
      <c r="AA39" s="438">
        <f>SUM(AA40:AA44)</f>
        <v>71710</v>
      </c>
      <c r="AB39" s="340">
        <f t="shared" si="52"/>
        <v>9.9</v>
      </c>
      <c r="AC39" s="196"/>
      <c r="AD39" s="438"/>
      <c r="AE39" s="340"/>
      <c r="AF39" s="196">
        <v>9365.5949999999993</v>
      </c>
      <c r="AG39" s="438">
        <f>SUM(AG40:AG44)</f>
        <v>7711.3040000000001</v>
      </c>
      <c r="AH39" s="340">
        <f t="shared" si="53"/>
        <v>-17.7</v>
      </c>
      <c r="AI39" s="196">
        <v>51600</v>
      </c>
      <c r="AJ39" s="438">
        <f>SUM(AJ40:AJ44)</f>
        <v>27360</v>
      </c>
      <c r="AK39" s="340">
        <f t="shared" si="54"/>
        <v>-47</v>
      </c>
      <c r="AL39" s="196"/>
      <c r="AM39" s="438"/>
      <c r="AN39" s="340"/>
      <c r="AO39" s="526">
        <f t="shared" si="46"/>
        <v>536473.23747349996</v>
      </c>
      <c r="AP39" s="526">
        <f t="shared" si="46"/>
        <v>492554.39157631004</v>
      </c>
      <c r="AQ39" s="340">
        <f t="shared" si="47"/>
        <v>-8.1999999999999993</v>
      </c>
      <c r="AR39" s="526">
        <f t="shared" si="48"/>
        <v>536473.23747349996</v>
      </c>
      <c r="AS39" s="526">
        <f t="shared" si="48"/>
        <v>492554.39157631004</v>
      </c>
      <c r="AT39" s="439">
        <f t="shared" si="49"/>
        <v>-8.1999999999999993</v>
      </c>
    </row>
    <row r="40" spans="1:46" s="451" customFormat="1" ht="20.100000000000001" customHeight="1" x14ac:dyDescent="0.3">
      <c r="A40" s="580" t="s">
        <v>207</v>
      </c>
      <c r="B40" s="196">
        <v>45.462000000000003</v>
      </c>
      <c r="C40" s="438"/>
      <c r="D40" s="340">
        <f>IF(B40=0, "    ---- ", IF(ABS(ROUND(100/B40*C40-100,1))&lt;999,ROUND(100/B40*C40-100,1),IF(ROUND(100/B40*C40-100,1)&gt;999,999,-999)))</f>
        <v>-100</v>
      </c>
      <c r="E40" s="196">
        <v>16507.108676989999</v>
      </c>
      <c r="F40" s="438">
        <v>14678.89571237</v>
      </c>
      <c r="G40" s="340">
        <f t="shared" si="45"/>
        <v>-11.1</v>
      </c>
      <c r="H40" s="196">
        <v>242.04850193999999</v>
      </c>
      <c r="I40" s="438">
        <v>359.68776298</v>
      </c>
      <c r="J40" s="340">
        <f>IF(H40=0, "    ---- ", IF(ABS(ROUND(100/H40*I40-100,1))&lt;999,ROUND(100/H40*I40-100,1),IF(ROUND(100/H40*I40-100,1)&gt;999,999,-999)))</f>
        <v>48.6</v>
      </c>
      <c r="K40" s="196">
        <v>146.56200000000001</v>
      </c>
      <c r="L40" s="438">
        <v>157.852</v>
      </c>
      <c r="M40" s="340">
        <f t="shared" si="58"/>
        <v>7.7</v>
      </c>
      <c r="N40" s="196">
        <v>11</v>
      </c>
      <c r="O40" s="438">
        <v>5</v>
      </c>
      <c r="P40" s="434">
        <f t="shared" si="56"/>
        <v>-54.5</v>
      </c>
      <c r="Q40" s="196"/>
      <c r="R40" s="438"/>
      <c r="S40" s="340"/>
      <c r="T40" s="196">
        <v>181436.63278196999</v>
      </c>
      <c r="U40" s="438">
        <v>199064.64314932001</v>
      </c>
      <c r="V40" s="340">
        <f t="shared" si="57"/>
        <v>9.6999999999999993</v>
      </c>
      <c r="W40" s="196">
        <v>6850.2235564599996</v>
      </c>
      <c r="X40" s="438">
        <v>5819.7471917000003</v>
      </c>
      <c r="Y40" s="340">
        <f t="shared" si="51"/>
        <v>-15</v>
      </c>
      <c r="Z40" s="196">
        <v>36562</v>
      </c>
      <c r="AA40" s="438">
        <v>43975</v>
      </c>
      <c r="AB40" s="340">
        <f t="shared" si="52"/>
        <v>20.3</v>
      </c>
      <c r="AC40" s="196"/>
      <c r="AD40" s="438"/>
      <c r="AE40" s="340"/>
      <c r="AF40" s="196">
        <v>3522.9630000000002</v>
      </c>
      <c r="AG40" s="438">
        <v>3623.0320000000002</v>
      </c>
      <c r="AH40" s="340">
        <f t="shared" si="53"/>
        <v>2.8</v>
      </c>
      <c r="AI40" s="196">
        <v>20883</v>
      </c>
      <c r="AJ40" s="438">
        <v>18117</v>
      </c>
      <c r="AK40" s="340">
        <f t="shared" si="54"/>
        <v>-13.2</v>
      </c>
      <c r="AL40" s="196"/>
      <c r="AM40" s="438"/>
      <c r="AN40" s="340"/>
      <c r="AO40" s="526">
        <f t="shared" si="46"/>
        <v>266207.00051735999</v>
      </c>
      <c r="AP40" s="526">
        <f t="shared" si="46"/>
        <v>285800.85781637003</v>
      </c>
      <c r="AQ40" s="340">
        <f t="shared" si="47"/>
        <v>7.4</v>
      </c>
      <c r="AR40" s="526">
        <f t="shared" si="48"/>
        <v>266207.00051735999</v>
      </c>
      <c r="AS40" s="526">
        <f t="shared" si="48"/>
        <v>285800.85781637003</v>
      </c>
      <c r="AT40" s="439">
        <f t="shared" si="49"/>
        <v>7.4</v>
      </c>
    </row>
    <row r="41" spans="1:46" s="451" customFormat="1" ht="20.100000000000001" customHeight="1" x14ac:dyDescent="0.3">
      <c r="A41" s="580" t="s">
        <v>208</v>
      </c>
      <c r="B41" s="196">
        <v>1290.318</v>
      </c>
      <c r="C41" s="438"/>
      <c r="D41" s="438">
        <f>IF(B41=0, "    ---- ", IF(ABS(ROUND(100/B41*C41-100,1))&lt;999,ROUND(100/B41*C41-100,1),IF(ROUND(100/B41*C41-100,1)&gt;999,999,-999)))</f>
        <v>-100</v>
      </c>
      <c r="E41" s="196">
        <v>53134.465648199999</v>
      </c>
      <c r="F41" s="438">
        <v>29003.964543950002</v>
      </c>
      <c r="G41" s="438">
        <f t="shared" si="45"/>
        <v>-45.4</v>
      </c>
      <c r="H41" s="196">
        <v>6061.9657590799989</v>
      </c>
      <c r="I41" s="438">
        <v>4880.7863142700007</v>
      </c>
      <c r="J41" s="438">
        <f>IF(H41=0, "    ---- ", IF(ABS(ROUND(100/H41*I41-100,1))&lt;999,ROUND(100/H41*I41-100,1),IF(ROUND(100/H41*I41-100,1)&gt;999,999,-999)))</f>
        <v>-19.5</v>
      </c>
      <c r="K41" s="196">
        <v>613.31399999999996</v>
      </c>
      <c r="L41" s="438">
        <v>691.50599999999997</v>
      </c>
      <c r="M41" s="438">
        <f>IF(K41=0, "    ---- ", IF(ABS(ROUND(100/K41*L41-100,1))&lt;999,ROUND(100/K41*L41-100,1),IF(ROUND(100/K41*L41-100,1)&gt;999,999,-999)))</f>
        <v>12.7</v>
      </c>
      <c r="N41" s="196">
        <v>824</v>
      </c>
      <c r="O41" s="438">
        <v>436</v>
      </c>
      <c r="P41" s="434">
        <f t="shared" si="56"/>
        <v>-47.1</v>
      </c>
      <c r="Q41" s="196"/>
      <c r="R41" s="438"/>
      <c r="S41" s="340"/>
      <c r="T41" s="196">
        <v>102180.76640439</v>
      </c>
      <c r="U41" s="438">
        <v>98714.805824359995</v>
      </c>
      <c r="V41" s="340">
        <f t="shared" si="57"/>
        <v>-3.4</v>
      </c>
      <c r="W41" s="196">
        <v>6698.3540056400007</v>
      </c>
      <c r="X41" s="438">
        <v>2484.98921088</v>
      </c>
      <c r="Y41" s="340">
        <f t="shared" si="51"/>
        <v>-62.9</v>
      </c>
      <c r="Z41" s="196">
        <v>25732</v>
      </c>
      <c r="AA41" s="438">
        <v>26492</v>
      </c>
      <c r="AB41" s="340">
        <f t="shared" si="52"/>
        <v>3</v>
      </c>
      <c r="AC41" s="196"/>
      <c r="AD41" s="438"/>
      <c r="AE41" s="340"/>
      <c r="AF41" s="196">
        <v>5861.74</v>
      </c>
      <c r="AG41" s="438">
        <v>4034.58</v>
      </c>
      <c r="AH41" s="340">
        <f t="shared" si="53"/>
        <v>-31.2</v>
      </c>
      <c r="AI41" s="196">
        <v>28997</v>
      </c>
      <c r="AJ41" s="438">
        <v>7975</v>
      </c>
      <c r="AK41" s="340">
        <f t="shared" si="54"/>
        <v>-72.5</v>
      </c>
      <c r="AL41" s="196"/>
      <c r="AM41" s="438"/>
      <c r="AN41" s="340"/>
      <c r="AO41" s="526">
        <f t="shared" si="46"/>
        <v>231393.92381730999</v>
      </c>
      <c r="AP41" s="526">
        <f t="shared" si="46"/>
        <v>174713.63189346</v>
      </c>
      <c r="AQ41" s="340">
        <f t="shared" si="47"/>
        <v>-24.5</v>
      </c>
      <c r="AR41" s="526">
        <f t="shared" si="48"/>
        <v>231393.92381730999</v>
      </c>
      <c r="AS41" s="526">
        <f t="shared" si="48"/>
        <v>174713.63189346</v>
      </c>
      <c r="AT41" s="439">
        <f t="shared" si="49"/>
        <v>-24.5</v>
      </c>
    </row>
    <row r="42" spans="1:46" s="451" customFormat="1" ht="20.100000000000001" customHeight="1" x14ac:dyDescent="0.3">
      <c r="A42" s="580" t="s">
        <v>209</v>
      </c>
      <c r="B42" s="196"/>
      <c r="C42" s="438"/>
      <c r="D42" s="438"/>
      <c r="E42" s="196">
        <v>1289.11133223</v>
      </c>
      <c r="F42" s="438">
        <v>523.22092959999998</v>
      </c>
      <c r="G42" s="438">
        <f t="shared" si="45"/>
        <v>-59.4</v>
      </c>
      <c r="H42" s="196">
        <v>-33.197758919999998</v>
      </c>
      <c r="I42" s="438">
        <v>185.30067593000001</v>
      </c>
      <c r="J42" s="438">
        <f t="shared" ref="J42:J43" si="59">IF(H42=0, "    ---- ", IF(ABS(ROUND(100/H42*I42-100,1))&lt;999,ROUND(100/H42*I42-100,1),IF(ROUND(100/H42*I42-100,1)&gt;999,999,-999)))</f>
        <v>-658.2</v>
      </c>
      <c r="K42" s="196"/>
      <c r="L42" s="438"/>
      <c r="M42" s="438"/>
      <c r="N42" s="196"/>
      <c r="O42" s="438"/>
      <c r="P42" s="434"/>
      <c r="Q42" s="196"/>
      <c r="R42" s="438"/>
      <c r="S42" s="340"/>
      <c r="T42" s="196">
        <v>17622.54962098</v>
      </c>
      <c r="U42" s="438">
        <v>13786.344101729999</v>
      </c>
      <c r="V42" s="340">
        <f t="shared" si="57"/>
        <v>-21.8</v>
      </c>
      <c r="W42" s="196">
        <v>0</v>
      </c>
      <c r="X42" s="438">
        <v>0</v>
      </c>
      <c r="Y42" s="340" t="str">
        <f t="shared" si="51"/>
        <v xml:space="preserve">    ---- </v>
      </c>
      <c r="Z42" s="196"/>
      <c r="AA42" s="438"/>
      <c r="AB42" s="340"/>
      <c r="AC42" s="196"/>
      <c r="AD42" s="438"/>
      <c r="AE42" s="340"/>
      <c r="AF42" s="196">
        <v>-228.476</v>
      </c>
      <c r="AG42" s="438">
        <v>-7.77</v>
      </c>
      <c r="AH42" s="340">
        <f t="shared" si="53"/>
        <v>-96.6</v>
      </c>
      <c r="AI42" s="196">
        <v>-55</v>
      </c>
      <c r="AJ42" s="438"/>
      <c r="AK42" s="340">
        <f t="shared" si="54"/>
        <v>-100</v>
      </c>
      <c r="AL42" s="196"/>
      <c r="AM42" s="438"/>
      <c r="AN42" s="340"/>
      <c r="AO42" s="526">
        <f t="shared" si="46"/>
        <v>18594.987194290003</v>
      </c>
      <c r="AP42" s="526">
        <f t="shared" si="46"/>
        <v>14487.095707259999</v>
      </c>
      <c r="AQ42" s="340">
        <f t="shared" si="47"/>
        <v>-22.1</v>
      </c>
      <c r="AR42" s="526">
        <f t="shared" si="48"/>
        <v>18594.987194290003</v>
      </c>
      <c r="AS42" s="526">
        <f t="shared" si="48"/>
        <v>14487.095707259999</v>
      </c>
      <c r="AT42" s="439">
        <f t="shared" si="49"/>
        <v>-22.1</v>
      </c>
    </row>
    <row r="43" spans="1:46" s="451" customFormat="1" ht="20.100000000000001" customHeight="1" x14ac:dyDescent="0.3">
      <c r="A43" s="580" t="s">
        <v>210</v>
      </c>
      <c r="B43" s="196"/>
      <c r="C43" s="438"/>
      <c r="D43" s="438"/>
      <c r="E43" s="196">
        <v>836.16507723000007</v>
      </c>
      <c r="F43" s="438">
        <v>81.037834779999997</v>
      </c>
      <c r="G43" s="438">
        <f t="shared" si="45"/>
        <v>-90.3</v>
      </c>
      <c r="H43" s="196">
        <v>18.459964940000003</v>
      </c>
      <c r="I43" s="438">
        <v>0</v>
      </c>
      <c r="J43" s="438">
        <f t="shared" si="59"/>
        <v>-100</v>
      </c>
      <c r="K43" s="196"/>
      <c r="L43" s="438"/>
      <c r="M43" s="438"/>
      <c r="N43" s="196"/>
      <c r="O43" s="438"/>
      <c r="P43" s="434"/>
      <c r="Q43" s="196"/>
      <c r="R43" s="438"/>
      <c r="S43" s="340"/>
      <c r="T43" s="196">
        <v>4107.5691008800004</v>
      </c>
      <c r="U43" s="438">
        <v>329.38933460000004</v>
      </c>
      <c r="V43" s="340">
        <f t="shared" si="57"/>
        <v>-92</v>
      </c>
      <c r="W43" s="196">
        <v>148.84649231999998</v>
      </c>
      <c r="X43" s="438">
        <v>9.3885729499999986</v>
      </c>
      <c r="Y43" s="340">
        <f t="shared" si="51"/>
        <v>-93.7</v>
      </c>
      <c r="Z43" s="196">
        <v>1152</v>
      </c>
      <c r="AA43" s="438">
        <v>1080</v>
      </c>
      <c r="AB43" s="340">
        <f>IF(Z43=0, "    ---- ", IF(ABS(ROUND(100/Z43*AA43-100,1))&lt;999,ROUND(100/Z43*AA43-100,1),IF(ROUND(100/Z43*AA43-100,1)&gt;999,999,-999)))</f>
        <v>-6.3</v>
      </c>
      <c r="AC43" s="196"/>
      <c r="AD43" s="438"/>
      <c r="AE43" s="340"/>
      <c r="AF43" s="196">
        <v>123.45</v>
      </c>
      <c r="AG43" s="438">
        <v>2.8410000000000002</v>
      </c>
      <c r="AH43" s="340">
        <f t="shared" si="53"/>
        <v>-97.7</v>
      </c>
      <c r="AI43" s="196">
        <v>1775</v>
      </c>
      <c r="AJ43" s="438">
        <v>1265</v>
      </c>
      <c r="AK43" s="340">
        <f t="shared" si="54"/>
        <v>-28.7</v>
      </c>
      <c r="AL43" s="196"/>
      <c r="AM43" s="438"/>
      <c r="AN43" s="340"/>
      <c r="AO43" s="526">
        <f t="shared" si="46"/>
        <v>8161.4906353699998</v>
      </c>
      <c r="AP43" s="526">
        <f t="shared" si="46"/>
        <v>2767.6567423299998</v>
      </c>
      <c r="AQ43" s="340">
        <f t="shared" si="47"/>
        <v>-66.099999999999994</v>
      </c>
      <c r="AR43" s="526">
        <f t="shared" si="48"/>
        <v>8161.4906353699998</v>
      </c>
      <c r="AS43" s="526">
        <f t="shared" si="48"/>
        <v>2767.6567423299998</v>
      </c>
      <c r="AT43" s="439">
        <f t="shared" si="49"/>
        <v>-66.099999999999994</v>
      </c>
    </row>
    <row r="44" spans="1:46" s="451" customFormat="1" ht="20.100000000000001" customHeight="1" x14ac:dyDescent="0.3">
      <c r="A44" s="580" t="s">
        <v>211</v>
      </c>
      <c r="B44" s="196">
        <v>22.58</v>
      </c>
      <c r="C44" s="438"/>
      <c r="D44" s="438">
        <f>IF(B44=0, "    ---- ", IF(ABS(ROUND(100/B44*C44-100,1))&lt;999,ROUND(100/B44*C44-100,1),IF(ROUND(100/B44*C44-100,1)&gt;999,999,-999)))</f>
        <v>-100</v>
      </c>
      <c r="E44" s="196">
        <v>787.61881696000046</v>
      </c>
      <c r="F44" s="438">
        <v>1446.6971841299999</v>
      </c>
      <c r="G44" s="438">
        <f t="shared" si="45"/>
        <v>83.7</v>
      </c>
      <c r="H44" s="196">
        <v>52.085514879999998</v>
      </c>
      <c r="I44" s="438">
        <v>119.03104199000002</v>
      </c>
      <c r="J44" s="438">
        <f>IF(H44=0, "    ---- ", IF(ABS(ROUND(100/H44*I44-100,1))&lt;999,ROUND(100/H44*I44-100,1),IF(ROUND(100/H44*I44-100,1)&gt;999,999,-999)))</f>
        <v>128.5</v>
      </c>
      <c r="K44" s="196">
        <v>234.054</v>
      </c>
      <c r="L44" s="438">
        <v>238.44200000000001</v>
      </c>
      <c r="M44" s="438">
        <f t="shared" si="58"/>
        <v>1.9</v>
      </c>
      <c r="N44" s="196">
        <v>10</v>
      </c>
      <c r="O44" s="438">
        <v>5</v>
      </c>
      <c r="P44" s="434">
        <f t="shared" si="56"/>
        <v>-50</v>
      </c>
      <c r="Q44" s="196"/>
      <c r="R44" s="438"/>
      <c r="S44" s="340"/>
      <c r="T44" s="196">
        <v>8916.8028555799992</v>
      </c>
      <c r="U44" s="438">
        <v>12499.39850123</v>
      </c>
      <c r="V44" s="340">
        <f t="shared" si="57"/>
        <v>40.200000000000003</v>
      </c>
      <c r="W44" s="196">
        <v>181.77612174999999</v>
      </c>
      <c r="X44" s="438">
        <v>251.95968954</v>
      </c>
      <c r="Y44" s="340">
        <f t="shared" si="51"/>
        <v>38.6</v>
      </c>
      <c r="Z44" s="196">
        <v>1825</v>
      </c>
      <c r="AA44" s="438">
        <v>163</v>
      </c>
      <c r="AB44" s="340">
        <f>IF(Z44=0, "    ---- ", IF(ABS(ROUND(100/Z44*AA44-100,1))&lt;999,ROUND(100/Z44*AA44-100,1),IF(ROUND(100/Z44*AA44-100,1)&gt;999,999,-999)))</f>
        <v>-91.1</v>
      </c>
      <c r="AC44" s="196"/>
      <c r="AD44" s="438"/>
      <c r="AE44" s="340"/>
      <c r="AF44" s="196">
        <v>85.918000000000006</v>
      </c>
      <c r="AG44" s="438">
        <v>58.621000000000002</v>
      </c>
      <c r="AH44" s="340">
        <f t="shared" si="53"/>
        <v>-31.8</v>
      </c>
      <c r="AI44" s="196"/>
      <c r="AJ44" s="438">
        <v>3</v>
      </c>
      <c r="AK44" s="340" t="str">
        <f t="shared" si="54"/>
        <v xml:space="preserve">    ---- </v>
      </c>
      <c r="AL44" s="196"/>
      <c r="AM44" s="438"/>
      <c r="AN44" s="340"/>
      <c r="AO44" s="526">
        <f t="shared" si="46"/>
        <v>12115.835309169999</v>
      </c>
      <c r="AP44" s="526">
        <f t="shared" si="46"/>
        <v>14785.149416889999</v>
      </c>
      <c r="AQ44" s="340">
        <f t="shared" si="47"/>
        <v>22</v>
      </c>
      <c r="AR44" s="526">
        <f t="shared" si="48"/>
        <v>12115.835309169999</v>
      </c>
      <c r="AS44" s="526">
        <f t="shared" si="48"/>
        <v>14785.149416889999</v>
      </c>
      <c r="AT44" s="439">
        <f t="shared" si="49"/>
        <v>22</v>
      </c>
    </row>
    <row r="45" spans="1:46" s="451" customFormat="1" ht="20.100000000000001" customHeight="1" x14ac:dyDescent="0.3">
      <c r="A45" s="635" t="s">
        <v>212</v>
      </c>
      <c r="B45" s="196">
        <v>1358.36</v>
      </c>
      <c r="C45" s="438"/>
      <c r="D45" s="340">
        <f>IF(B45=0, "    ---- ", IF(ABS(ROUND(100/B45*C45-100,1))&lt;999,ROUND(100/B45*C45-100,1),IF(ROUND(100/B45*C45-100,1)&gt;999,999,-999)))</f>
        <v>-100</v>
      </c>
      <c r="E45" s="196">
        <v>200130.86287732999</v>
      </c>
      <c r="F45" s="438">
        <f>SUM(F33+F34+F35+F39)</f>
        <v>194376.53863788</v>
      </c>
      <c r="G45" s="340">
        <f t="shared" si="45"/>
        <v>-2.9</v>
      </c>
      <c r="H45" s="196">
        <v>7614.2473531499991</v>
      </c>
      <c r="I45" s="438">
        <f>SUM(I33+I34+I35+I39)</f>
        <v>8386.1094674100004</v>
      </c>
      <c r="J45" s="340">
        <f>IF(H45=0, "    ---- ", IF(ABS(ROUND(100/H45*I45-100,1))&lt;999,ROUND(100/H45*I45-100,1),IF(ROUND(100/H45*I45-100,1)&gt;999,999,-999)))</f>
        <v>10.1</v>
      </c>
      <c r="K45" s="196">
        <v>1298.5639999999999</v>
      </c>
      <c r="L45" s="438">
        <f>SUM(L33+L34+L35+L39)</f>
        <v>1549.4269999999999</v>
      </c>
      <c r="M45" s="340">
        <f t="shared" si="58"/>
        <v>19.3</v>
      </c>
      <c r="N45" s="196">
        <v>7933</v>
      </c>
      <c r="O45" s="438">
        <f>SUM(O33+O34+O35+O39)</f>
        <v>8493</v>
      </c>
      <c r="P45" s="434">
        <f t="shared" si="56"/>
        <v>7.1</v>
      </c>
      <c r="Q45" s="196"/>
      <c r="R45" s="438"/>
      <c r="S45" s="340"/>
      <c r="T45" s="196">
        <v>662499.68359023007</v>
      </c>
      <c r="U45" s="438">
        <v>690902.32934195001</v>
      </c>
      <c r="V45" s="340">
        <f t="shared" si="57"/>
        <v>4.3</v>
      </c>
      <c r="W45" s="196">
        <v>56509.808817789999</v>
      </c>
      <c r="X45" s="438">
        <f>SUM(X33+X34+X35+X39)</f>
        <v>55537.350795429898</v>
      </c>
      <c r="Y45" s="340">
        <f t="shared" si="51"/>
        <v>-1.7</v>
      </c>
      <c r="Z45" s="196">
        <v>113001</v>
      </c>
      <c r="AA45" s="438">
        <f>SUM(AA33+AA34+AA35+AA39)</f>
        <v>119265</v>
      </c>
      <c r="AB45" s="340">
        <f>IF(Z45=0, "    ---- ", IF(ABS(ROUND(100/Z45*AA45-100,1))&lt;999,ROUND(100/Z45*AA45-100,1),IF(ROUND(100/Z45*AA45-100,1)&gt;999,999,-999)))</f>
        <v>5.5</v>
      </c>
      <c r="AC45" s="196"/>
      <c r="AD45" s="438"/>
      <c r="AE45" s="340"/>
      <c r="AF45" s="196">
        <v>23593.209000000003</v>
      </c>
      <c r="AG45" s="438">
        <f>SUM(AG33+AG34+AG35+AG39)</f>
        <v>23424.800999999999</v>
      </c>
      <c r="AH45" s="340">
        <f t="shared" si="53"/>
        <v>-0.7</v>
      </c>
      <c r="AI45" s="196">
        <v>207438</v>
      </c>
      <c r="AJ45" s="438">
        <f>SUM(AJ33+AJ34+AJ35+AJ39)</f>
        <v>208155</v>
      </c>
      <c r="AK45" s="340">
        <f t="shared" si="54"/>
        <v>0.3</v>
      </c>
      <c r="AL45" s="196"/>
      <c r="AM45" s="438"/>
      <c r="AN45" s="340"/>
      <c r="AO45" s="526">
        <f t="shared" si="46"/>
        <v>1281376.7356385</v>
      </c>
      <c r="AP45" s="526">
        <f t="shared" si="46"/>
        <v>1310089.5562426699</v>
      </c>
      <c r="AQ45" s="340">
        <f t="shared" si="47"/>
        <v>2.2000000000000002</v>
      </c>
      <c r="AR45" s="526">
        <f t="shared" si="48"/>
        <v>1281376.7356385</v>
      </c>
      <c r="AS45" s="526">
        <f t="shared" si="48"/>
        <v>1310089.5562426699</v>
      </c>
      <c r="AT45" s="439">
        <f t="shared" si="49"/>
        <v>2.2000000000000002</v>
      </c>
    </row>
    <row r="46" spans="1:46" s="451" customFormat="1" ht="20.100000000000001" customHeight="1" x14ac:dyDescent="0.3">
      <c r="A46" s="608" t="s">
        <v>323</v>
      </c>
      <c r="B46" s="196">
        <v>191.999</v>
      </c>
      <c r="C46" s="438"/>
      <c r="D46" s="340">
        <f>IF(B46=0, "    ---- ", IF(ABS(ROUND(100/B46*C46-100,1))&lt;999,ROUND(100/B46*C46-100,1),IF(ROUND(100/B46*C46-100,1)&gt;999,999,-999)))</f>
        <v>-100</v>
      </c>
      <c r="E46" s="196">
        <v>399.59901329000002</v>
      </c>
      <c r="F46" s="438">
        <v>481.29363124999998</v>
      </c>
      <c r="G46" s="438">
        <f t="shared" si="45"/>
        <v>20.399999999999999</v>
      </c>
      <c r="H46" s="196">
        <v>509.1145295</v>
      </c>
      <c r="I46" s="438">
        <v>503.00508933999998</v>
      </c>
      <c r="J46" s="340">
        <f>IF(H46=0, "    ---- ", IF(ABS(ROUND(100/H46*I46-100,1))&lt;999,ROUND(100/H46*I46-100,1),IF(ROUND(100/H46*I46-100,1)&gt;999,999,-999)))</f>
        <v>-1.2</v>
      </c>
      <c r="K46" s="196">
        <v>67.055999999999997</v>
      </c>
      <c r="L46" s="438">
        <v>96.198570000000004</v>
      </c>
      <c r="M46" s="340">
        <f t="shared" si="58"/>
        <v>43.5</v>
      </c>
      <c r="N46" s="196">
        <v>586</v>
      </c>
      <c r="O46" s="438">
        <v>675</v>
      </c>
      <c r="P46" s="434">
        <f t="shared" si="56"/>
        <v>15.2</v>
      </c>
      <c r="Q46" s="196"/>
      <c r="R46" s="438"/>
      <c r="S46" s="340"/>
      <c r="T46" s="196"/>
      <c r="U46" s="438"/>
      <c r="V46" s="340"/>
      <c r="W46" s="196">
        <v>65.45</v>
      </c>
      <c r="X46" s="438">
        <v>68.62</v>
      </c>
      <c r="Y46" s="340">
        <f t="shared" si="51"/>
        <v>4.8</v>
      </c>
      <c r="Z46" s="196"/>
      <c r="AA46" s="438"/>
      <c r="AB46" s="340"/>
      <c r="AC46" s="196"/>
      <c r="AD46" s="438"/>
      <c r="AE46" s="340"/>
      <c r="AF46" s="196">
        <v>6.9720000000000004</v>
      </c>
      <c r="AG46" s="438">
        <v>8.516</v>
      </c>
      <c r="AH46" s="340">
        <f t="shared" si="53"/>
        <v>22.1</v>
      </c>
      <c r="AI46" s="196">
        <v>4</v>
      </c>
      <c r="AJ46" s="438">
        <v>272</v>
      </c>
      <c r="AK46" s="340">
        <f t="shared" si="54"/>
        <v>999</v>
      </c>
      <c r="AL46" s="196"/>
      <c r="AM46" s="438"/>
      <c r="AN46" s="340"/>
      <c r="AO46" s="526">
        <f t="shared" si="46"/>
        <v>1830.1905427900001</v>
      </c>
      <c r="AP46" s="526">
        <f t="shared" si="46"/>
        <v>2104.6332905899999</v>
      </c>
      <c r="AQ46" s="340">
        <f t="shared" si="47"/>
        <v>15</v>
      </c>
      <c r="AR46" s="526">
        <f t="shared" si="48"/>
        <v>1830.1905427900001</v>
      </c>
      <c r="AS46" s="526">
        <f t="shared" si="48"/>
        <v>2104.6332905899999</v>
      </c>
      <c r="AT46" s="439">
        <f t="shared" si="49"/>
        <v>15</v>
      </c>
    </row>
    <row r="47" spans="1:46" s="451" customFormat="1" ht="20.100000000000001" customHeight="1" x14ac:dyDescent="0.3">
      <c r="A47" s="608" t="s">
        <v>213</v>
      </c>
      <c r="B47" s="196"/>
      <c r="C47" s="438"/>
      <c r="D47" s="438"/>
      <c r="E47" s="196"/>
      <c r="F47" s="438"/>
      <c r="G47" s="438"/>
      <c r="H47" s="196"/>
      <c r="I47" s="438"/>
      <c r="J47" s="438"/>
      <c r="K47" s="196"/>
      <c r="L47" s="438"/>
      <c r="M47" s="438"/>
      <c r="N47" s="196"/>
      <c r="O47" s="438"/>
      <c r="P47" s="434"/>
      <c r="Q47" s="196"/>
      <c r="R47" s="438"/>
      <c r="S47" s="340"/>
      <c r="T47" s="196"/>
      <c r="U47" s="438"/>
      <c r="V47" s="340"/>
      <c r="W47" s="196"/>
      <c r="X47" s="438"/>
      <c r="Y47" s="340"/>
      <c r="Z47" s="196"/>
      <c r="AA47" s="438"/>
      <c r="AB47" s="340"/>
      <c r="AC47" s="196"/>
      <c r="AD47" s="438"/>
      <c r="AE47" s="340"/>
      <c r="AF47" s="196"/>
      <c r="AG47" s="438"/>
      <c r="AH47" s="340"/>
      <c r="AI47" s="196"/>
      <c r="AJ47" s="438"/>
      <c r="AK47" s="340"/>
      <c r="AL47" s="196"/>
      <c r="AM47" s="438"/>
      <c r="AN47" s="340"/>
      <c r="AO47" s="434"/>
      <c r="AP47" s="434"/>
      <c r="AQ47" s="340"/>
      <c r="AR47" s="434"/>
      <c r="AS47" s="434"/>
      <c r="AT47" s="439"/>
    </row>
    <row r="48" spans="1:46" s="451" customFormat="1" ht="20.100000000000001" customHeight="1" x14ac:dyDescent="0.3">
      <c r="A48" s="580" t="s">
        <v>214</v>
      </c>
      <c r="B48" s="196"/>
      <c r="C48" s="438"/>
      <c r="D48" s="438"/>
      <c r="E48" s="196"/>
      <c r="F48" s="438"/>
      <c r="G48" s="438"/>
      <c r="H48" s="196"/>
      <c r="I48" s="438"/>
      <c r="J48" s="438"/>
      <c r="K48" s="196"/>
      <c r="L48" s="438"/>
      <c r="M48" s="438"/>
      <c r="N48" s="196"/>
      <c r="O48" s="438"/>
      <c r="P48" s="434"/>
      <c r="Q48" s="196"/>
      <c r="R48" s="438"/>
      <c r="S48" s="340"/>
      <c r="T48" s="196"/>
      <c r="U48" s="438"/>
      <c r="V48" s="340"/>
      <c r="W48" s="196">
        <v>0</v>
      </c>
      <c r="X48" s="438">
        <v>0</v>
      </c>
      <c r="Y48" s="340" t="str">
        <f t="shared" si="51"/>
        <v xml:space="preserve">    ---- </v>
      </c>
      <c r="Z48" s="196"/>
      <c r="AA48" s="438"/>
      <c r="AB48" s="340"/>
      <c r="AC48" s="196"/>
      <c r="AD48" s="438"/>
      <c r="AE48" s="340"/>
      <c r="AF48" s="196"/>
      <c r="AG48" s="438"/>
      <c r="AH48" s="340"/>
      <c r="AI48" s="196"/>
      <c r="AJ48" s="438"/>
      <c r="AK48" s="340"/>
      <c r="AL48" s="196"/>
      <c r="AM48" s="438"/>
      <c r="AN48" s="340"/>
      <c r="AO48" s="526">
        <f t="shared" ref="AO48:AP62" si="60">B48+E48+H48+K48+N48+T48+W48+Z48+AF48+AI48</f>
        <v>0</v>
      </c>
      <c r="AP48" s="526">
        <f t="shared" si="60"/>
        <v>0</v>
      </c>
      <c r="AQ48" s="340" t="str">
        <f t="shared" si="47"/>
        <v xml:space="preserve">    ---- </v>
      </c>
      <c r="AR48" s="526">
        <f t="shared" ref="AR48:AS62" si="61">B48+E48+H48+K48+N48+Q48+T48+W48+Z48+AC48+AF48+AI48+AL48</f>
        <v>0</v>
      </c>
      <c r="AS48" s="526">
        <f t="shared" si="61"/>
        <v>0</v>
      </c>
      <c r="AT48" s="439" t="str">
        <f t="shared" si="49"/>
        <v xml:space="preserve">    ---- </v>
      </c>
    </row>
    <row r="49" spans="1:46" s="451" customFormat="1" ht="20.100000000000001" customHeight="1" x14ac:dyDescent="0.3">
      <c r="A49" s="580" t="s">
        <v>215</v>
      </c>
      <c r="B49" s="196"/>
      <c r="C49" s="438"/>
      <c r="D49" s="438"/>
      <c r="E49" s="196">
        <v>4581.3613972029998</v>
      </c>
      <c r="F49" s="438">
        <v>4617.2327998569999</v>
      </c>
      <c r="G49" s="438">
        <f t="shared" si="45"/>
        <v>0.8</v>
      </c>
      <c r="H49" s="196"/>
      <c r="I49" s="438"/>
      <c r="J49" s="438"/>
      <c r="K49" s="196"/>
      <c r="L49" s="438"/>
      <c r="M49" s="438"/>
      <c r="N49" s="196">
        <v>1855</v>
      </c>
      <c r="O49" s="438">
        <v>2070</v>
      </c>
      <c r="P49" s="434">
        <f t="shared" si="56"/>
        <v>11.6</v>
      </c>
      <c r="Q49" s="196"/>
      <c r="R49" s="438"/>
      <c r="S49" s="340"/>
      <c r="T49" s="196">
        <v>342.75623284</v>
      </c>
      <c r="U49" s="438">
        <v>371.65090784</v>
      </c>
      <c r="V49" s="340">
        <f t="shared" ref="V49:V60" si="62">IF(T49=0, "    ---- ", IF(ABS(ROUND(100/T49*U49-100,1))&lt;999,ROUND(100/T49*U49-100,1),IF(ROUND(100/T49*U49-100,1)&gt;999,999,-999)))</f>
        <v>8.4</v>
      </c>
      <c r="W49" s="196">
        <v>3213.97</v>
      </c>
      <c r="X49" s="438">
        <v>3302.81</v>
      </c>
      <c r="Y49" s="340">
        <f t="shared" si="51"/>
        <v>2.8</v>
      </c>
      <c r="Z49" s="196"/>
      <c r="AA49" s="438"/>
      <c r="AB49" s="340"/>
      <c r="AC49" s="196"/>
      <c r="AD49" s="438"/>
      <c r="AE49" s="340"/>
      <c r="AF49" s="196">
        <v>994.15700000000004</v>
      </c>
      <c r="AG49" s="438">
        <v>908.52099999999996</v>
      </c>
      <c r="AH49" s="340">
        <f t="shared" si="53"/>
        <v>-8.6</v>
      </c>
      <c r="AI49" s="196">
        <v>6379</v>
      </c>
      <c r="AJ49" s="438">
        <v>6338</v>
      </c>
      <c r="AK49" s="340">
        <f t="shared" si="54"/>
        <v>-0.6</v>
      </c>
      <c r="AL49" s="196"/>
      <c r="AM49" s="438"/>
      <c r="AN49" s="340"/>
      <c r="AO49" s="526">
        <f t="shared" si="60"/>
        <v>17366.244630042998</v>
      </c>
      <c r="AP49" s="526">
        <f t="shared" si="60"/>
        <v>17608.214707697</v>
      </c>
      <c r="AQ49" s="340">
        <f t="shared" si="47"/>
        <v>1.4</v>
      </c>
      <c r="AR49" s="526">
        <f t="shared" si="61"/>
        <v>17366.244630042998</v>
      </c>
      <c r="AS49" s="526">
        <f t="shared" si="61"/>
        <v>17608.214707697</v>
      </c>
      <c r="AT49" s="439">
        <f t="shared" si="49"/>
        <v>1.4</v>
      </c>
    </row>
    <row r="50" spans="1:46" s="451" customFormat="1" ht="20.100000000000001" customHeight="1" x14ac:dyDescent="0.3">
      <c r="A50" s="580" t="s">
        <v>216</v>
      </c>
      <c r="B50" s="196"/>
      <c r="C50" s="438"/>
      <c r="D50" s="438"/>
      <c r="E50" s="196"/>
      <c r="F50" s="438"/>
      <c r="G50" s="438"/>
      <c r="H50" s="196"/>
      <c r="I50" s="438"/>
      <c r="J50" s="438"/>
      <c r="K50" s="196"/>
      <c r="L50" s="438"/>
      <c r="M50" s="438"/>
      <c r="N50" s="196"/>
      <c r="O50" s="438"/>
      <c r="P50" s="434"/>
      <c r="Q50" s="196"/>
      <c r="R50" s="438"/>
      <c r="S50" s="340"/>
      <c r="T50" s="196">
        <v>925.47119404</v>
      </c>
      <c r="U50" s="438">
        <v>955.61679242999992</v>
      </c>
      <c r="V50" s="340">
        <f t="shared" si="62"/>
        <v>3.3</v>
      </c>
      <c r="W50" s="196">
        <v>0</v>
      </c>
      <c r="X50" s="438">
        <f>SUM(X51+X53)</f>
        <v>0</v>
      </c>
      <c r="Y50" s="340" t="str">
        <f t="shared" si="51"/>
        <v xml:space="preserve">    ---- </v>
      </c>
      <c r="Z50" s="196"/>
      <c r="AA50" s="438"/>
      <c r="AB50" s="340"/>
      <c r="AC50" s="196"/>
      <c r="AD50" s="438"/>
      <c r="AE50" s="340"/>
      <c r="AF50" s="196"/>
      <c r="AG50" s="438"/>
      <c r="AH50" s="340"/>
      <c r="AI50" s="196">
        <v>1651</v>
      </c>
      <c r="AJ50" s="438">
        <f>SUM(AJ51+AJ53)</f>
        <v>1697</v>
      </c>
      <c r="AK50" s="340">
        <f t="shared" si="54"/>
        <v>2.8</v>
      </c>
      <c r="AL50" s="196"/>
      <c r="AM50" s="438"/>
      <c r="AN50" s="340"/>
      <c r="AO50" s="526">
        <f t="shared" si="60"/>
        <v>2576.4711940400002</v>
      </c>
      <c r="AP50" s="526">
        <f t="shared" si="60"/>
        <v>2652.6167924299998</v>
      </c>
      <c r="AQ50" s="340">
        <f t="shared" si="47"/>
        <v>3</v>
      </c>
      <c r="AR50" s="526">
        <f t="shared" si="61"/>
        <v>2576.4711940400002</v>
      </c>
      <c r="AS50" s="526">
        <f t="shared" si="61"/>
        <v>2652.6167924299998</v>
      </c>
      <c r="AT50" s="439">
        <f t="shared" si="49"/>
        <v>3</v>
      </c>
    </row>
    <row r="51" spans="1:46" s="451" customFormat="1" ht="20.100000000000001" customHeight="1" x14ac:dyDescent="0.3">
      <c r="A51" s="580" t="s">
        <v>217</v>
      </c>
      <c r="B51" s="196"/>
      <c r="C51" s="438"/>
      <c r="D51" s="340"/>
      <c r="E51" s="196"/>
      <c r="F51" s="438"/>
      <c r="G51" s="340"/>
      <c r="H51" s="196"/>
      <c r="I51" s="438"/>
      <c r="J51" s="340"/>
      <c r="K51" s="196"/>
      <c r="L51" s="438"/>
      <c r="M51" s="340"/>
      <c r="N51" s="196"/>
      <c r="O51" s="438"/>
      <c r="P51" s="434"/>
      <c r="Q51" s="196"/>
      <c r="R51" s="438"/>
      <c r="S51" s="340"/>
      <c r="T51" s="196">
        <v>53.390293369999995</v>
      </c>
      <c r="U51" s="438">
        <v>955.61679242999992</v>
      </c>
      <c r="V51" s="340">
        <f t="shared" si="62"/>
        <v>999</v>
      </c>
      <c r="W51" s="196">
        <v>0</v>
      </c>
      <c r="X51" s="438">
        <v>0</v>
      </c>
      <c r="Y51" s="340" t="str">
        <f t="shared" si="51"/>
        <v xml:space="preserve">    ---- </v>
      </c>
      <c r="Z51" s="196"/>
      <c r="AA51" s="438"/>
      <c r="AB51" s="340"/>
      <c r="AC51" s="196"/>
      <c r="AD51" s="438"/>
      <c r="AE51" s="340"/>
      <c r="AF51" s="196"/>
      <c r="AG51" s="438"/>
      <c r="AH51" s="340"/>
      <c r="AI51" s="196"/>
      <c r="AJ51" s="438"/>
      <c r="AK51" s="340"/>
      <c r="AL51" s="196"/>
      <c r="AM51" s="438"/>
      <c r="AN51" s="340"/>
      <c r="AO51" s="526">
        <f t="shared" si="60"/>
        <v>53.390293369999995</v>
      </c>
      <c r="AP51" s="526">
        <f t="shared" si="60"/>
        <v>955.61679242999992</v>
      </c>
      <c r="AQ51" s="340">
        <f t="shared" si="47"/>
        <v>999</v>
      </c>
      <c r="AR51" s="526">
        <f t="shared" si="61"/>
        <v>53.390293369999995</v>
      </c>
      <c r="AS51" s="526">
        <f t="shared" si="61"/>
        <v>955.61679242999992</v>
      </c>
      <c r="AT51" s="439">
        <f t="shared" si="49"/>
        <v>999</v>
      </c>
    </row>
    <row r="52" spans="1:46" s="451" customFormat="1" ht="20.100000000000001" customHeight="1" x14ac:dyDescent="0.3">
      <c r="A52" s="580" t="s">
        <v>187</v>
      </c>
      <c r="B52" s="196"/>
      <c r="C52" s="438"/>
      <c r="D52" s="438"/>
      <c r="E52" s="196"/>
      <c r="F52" s="438"/>
      <c r="G52" s="438"/>
      <c r="H52" s="196"/>
      <c r="I52" s="438"/>
      <c r="J52" s="438"/>
      <c r="K52" s="196"/>
      <c r="L52" s="438"/>
      <c r="M52" s="438"/>
      <c r="N52" s="196"/>
      <c r="O52" s="438"/>
      <c r="P52" s="526"/>
      <c r="Q52" s="196"/>
      <c r="R52" s="438"/>
      <c r="S52" s="438"/>
      <c r="T52" s="196">
        <v>53.390293369999995</v>
      </c>
      <c r="U52" s="438">
        <v>955.61679242999992</v>
      </c>
      <c r="V52" s="340">
        <f t="shared" si="62"/>
        <v>999</v>
      </c>
      <c r="W52" s="196"/>
      <c r="X52" s="438"/>
      <c r="Y52" s="438"/>
      <c r="Z52" s="196"/>
      <c r="AA52" s="438"/>
      <c r="AB52" s="438"/>
      <c r="AC52" s="196"/>
      <c r="AD52" s="438"/>
      <c r="AE52" s="438"/>
      <c r="AF52" s="196"/>
      <c r="AG52" s="438"/>
      <c r="AH52" s="438"/>
      <c r="AI52" s="196"/>
      <c r="AJ52" s="438"/>
      <c r="AK52" s="438"/>
      <c r="AL52" s="196"/>
      <c r="AM52" s="438"/>
      <c r="AN52" s="438"/>
      <c r="AO52" s="526">
        <f t="shared" si="60"/>
        <v>53.390293369999995</v>
      </c>
      <c r="AP52" s="526">
        <f t="shared" si="60"/>
        <v>955.61679242999992</v>
      </c>
      <c r="AQ52" s="438">
        <f t="shared" si="47"/>
        <v>999</v>
      </c>
      <c r="AR52" s="526">
        <f t="shared" si="61"/>
        <v>53.390293369999995</v>
      </c>
      <c r="AS52" s="526">
        <f t="shared" si="61"/>
        <v>955.61679242999992</v>
      </c>
      <c r="AT52" s="636">
        <f t="shared" si="49"/>
        <v>999</v>
      </c>
    </row>
    <row r="53" spans="1:46" s="451" customFormat="1" ht="20.100000000000001" customHeight="1" x14ac:dyDescent="0.3">
      <c r="A53" s="580" t="s">
        <v>218</v>
      </c>
      <c r="B53" s="196"/>
      <c r="C53" s="438"/>
      <c r="D53" s="438"/>
      <c r="E53" s="196"/>
      <c r="F53" s="438"/>
      <c r="G53" s="438"/>
      <c r="H53" s="196"/>
      <c r="I53" s="438"/>
      <c r="J53" s="438"/>
      <c r="K53" s="196"/>
      <c r="L53" s="438"/>
      <c r="M53" s="438"/>
      <c r="N53" s="196"/>
      <c r="O53" s="438"/>
      <c r="P53" s="434"/>
      <c r="Q53" s="196"/>
      <c r="R53" s="438"/>
      <c r="S53" s="340"/>
      <c r="T53" s="196">
        <v>872.08090067000001</v>
      </c>
      <c r="U53" s="438">
        <v>0</v>
      </c>
      <c r="V53" s="340">
        <f t="shared" si="62"/>
        <v>-100</v>
      </c>
      <c r="W53" s="196">
        <v>0</v>
      </c>
      <c r="X53" s="438">
        <v>0</v>
      </c>
      <c r="Y53" s="340" t="str">
        <f t="shared" si="51"/>
        <v xml:space="preserve">    ---- </v>
      </c>
      <c r="Z53" s="196"/>
      <c r="AA53" s="438"/>
      <c r="AB53" s="340"/>
      <c r="AC53" s="196"/>
      <c r="AD53" s="438"/>
      <c r="AE53" s="340"/>
      <c r="AF53" s="196"/>
      <c r="AG53" s="438"/>
      <c r="AH53" s="340"/>
      <c r="AI53" s="196">
        <v>1651</v>
      </c>
      <c r="AJ53" s="438">
        <f>188+607+902</f>
        <v>1697</v>
      </c>
      <c r="AK53" s="340">
        <f t="shared" si="54"/>
        <v>2.8</v>
      </c>
      <c r="AL53" s="196"/>
      <c r="AM53" s="438"/>
      <c r="AN53" s="340"/>
      <c r="AO53" s="526">
        <f t="shared" si="60"/>
        <v>2523.0809006700001</v>
      </c>
      <c r="AP53" s="526">
        <f t="shared" si="60"/>
        <v>1697</v>
      </c>
      <c r="AQ53" s="340">
        <f t="shared" si="47"/>
        <v>-32.700000000000003</v>
      </c>
      <c r="AR53" s="526">
        <f t="shared" si="61"/>
        <v>2523.0809006700001</v>
      </c>
      <c r="AS53" s="526">
        <f t="shared" si="61"/>
        <v>1697</v>
      </c>
      <c r="AT53" s="439">
        <f t="shared" si="49"/>
        <v>-32.700000000000003</v>
      </c>
    </row>
    <row r="54" spans="1:46" s="451" customFormat="1" ht="20.100000000000001" customHeight="1" x14ac:dyDescent="0.3">
      <c r="A54" s="580" t="s">
        <v>219</v>
      </c>
      <c r="B54" s="196">
        <v>26763.940000000002</v>
      </c>
      <c r="C54" s="438"/>
      <c r="D54" s="438">
        <f>IF(B54=0, "    ---- ", IF(ABS(ROUND(100/B54*C54-100,1))&lt;999,ROUND(100/B54*C54-100,1),IF(ROUND(100/B54*C54-100,1)&gt;999,999,-999)))</f>
        <v>-100</v>
      </c>
      <c r="E54" s="196">
        <v>132779.39894315699</v>
      </c>
      <c r="F54" s="438">
        <f>SUM(F55:F59)</f>
        <v>141842.63519278876</v>
      </c>
      <c r="G54" s="438">
        <f t="shared" si="45"/>
        <v>6.8</v>
      </c>
      <c r="H54" s="196"/>
      <c r="I54" s="438"/>
      <c r="J54" s="438"/>
      <c r="K54" s="196"/>
      <c r="L54" s="438"/>
      <c r="M54" s="438"/>
      <c r="N54" s="196">
        <v>40864</v>
      </c>
      <c r="O54" s="438">
        <f>SUM(O55:O59)</f>
        <v>49353</v>
      </c>
      <c r="P54" s="434">
        <f t="shared" si="56"/>
        <v>20.8</v>
      </c>
      <c r="Q54" s="196"/>
      <c r="R54" s="438"/>
      <c r="S54" s="340"/>
      <c r="T54" s="196">
        <v>1319.7431776199999</v>
      </c>
      <c r="U54" s="438">
        <v>1355.3753400000001</v>
      </c>
      <c r="V54" s="340">
        <f t="shared" si="62"/>
        <v>2.7</v>
      </c>
      <c r="W54" s="196">
        <v>119326.90000000001</v>
      </c>
      <c r="X54" s="438">
        <f>SUM(X55:X59)</f>
        <v>123163.18000000001</v>
      </c>
      <c r="Y54" s="340">
        <f t="shared" si="51"/>
        <v>3.2</v>
      </c>
      <c r="Z54" s="196"/>
      <c r="AA54" s="438"/>
      <c r="AB54" s="340"/>
      <c r="AC54" s="196">
        <f>SUM(AC55:AC59)</f>
        <v>3241.4234022800001</v>
      </c>
      <c r="AD54" s="438"/>
      <c r="AE54" s="340">
        <f>IF(AC54=0, "    ---- ", IF(ABS(ROUND(100/AC54*AD54-100,1))&lt;999,ROUND(100/AC54*AD54-100,1),IF(ROUND(100/AC54*AD54-100,1)&gt;999,999,-999)))</f>
        <v>-100</v>
      </c>
      <c r="AF54" s="196">
        <v>54261.97</v>
      </c>
      <c r="AG54" s="438">
        <f>SUM(AG55:AG59)</f>
        <v>58552.205999999991</v>
      </c>
      <c r="AH54" s="340">
        <f t="shared" si="53"/>
        <v>7.9</v>
      </c>
      <c r="AI54" s="196">
        <v>146307</v>
      </c>
      <c r="AJ54" s="438">
        <f>SUM(AJ55:AJ59)</f>
        <v>184250</v>
      </c>
      <c r="AK54" s="340">
        <f t="shared" si="54"/>
        <v>25.9</v>
      </c>
      <c r="AL54" s="196"/>
      <c r="AM54" s="438"/>
      <c r="AN54" s="340"/>
      <c r="AO54" s="526">
        <f t="shared" si="60"/>
        <v>521622.95212077699</v>
      </c>
      <c r="AP54" s="526">
        <f t="shared" si="60"/>
        <v>558516.39653278876</v>
      </c>
      <c r="AQ54" s="340">
        <f t="shared" si="47"/>
        <v>7.1</v>
      </c>
      <c r="AR54" s="526">
        <f t="shared" si="61"/>
        <v>524864.37552305707</v>
      </c>
      <c r="AS54" s="526">
        <f t="shared" si="61"/>
        <v>558516.39653278876</v>
      </c>
      <c r="AT54" s="439">
        <f t="shared" si="49"/>
        <v>6.4</v>
      </c>
    </row>
    <row r="55" spans="1:46" s="451" customFormat="1" ht="20.100000000000001" customHeight="1" x14ac:dyDescent="0.3">
      <c r="A55" s="580" t="s">
        <v>220</v>
      </c>
      <c r="B55" s="196">
        <v>17368.796999999999</v>
      </c>
      <c r="C55" s="438"/>
      <c r="D55" s="438">
        <f>IF(B55=0, "    ---- ", IF(ABS(ROUND(100/B55*C55-100,1))&lt;999,ROUND(100/B55*C55-100,1),IF(ROUND(100/B55*C55-100,1)&gt;999,999,-999)))</f>
        <v>-100</v>
      </c>
      <c r="E55" s="196">
        <v>80502.968738886993</v>
      </c>
      <c r="F55" s="438">
        <v>86696.573999382512</v>
      </c>
      <c r="G55" s="438">
        <f t="shared" si="45"/>
        <v>7.7</v>
      </c>
      <c r="H55" s="196"/>
      <c r="I55" s="438"/>
      <c r="J55" s="438"/>
      <c r="K55" s="196"/>
      <c r="L55" s="438"/>
      <c r="M55" s="438"/>
      <c r="N55" s="196">
        <v>34252</v>
      </c>
      <c r="O55" s="438">
        <v>40893</v>
      </c>
      <c r="P55" s="434">
        <f t="shared" si="56"/>
        <v>19.399999999999999</v>
      </c>
      <c r="Q55" s="196"/>
      <c r="R55" s="438"/>
      <c r="S55" s="340"/>
      <c r="T55" s="196">
        <v>899.07609710999998</v>
      </c>
      <c r="U55" s="438">
        <v>1013.17023854</v>
      </c>
      <c r="V55" s="340">
        <f t="shared" si="62"/>
        <v>12.7</v>
      </c>
      <c r="W55" s="196">
        <v>80830.58</v>
      </c>
      <c r="X55" s="438">
        <v>78618.02</v>
      </c>
      <c r="Y55" s="340">
        <f t="shared" si="51"/>
        <v>-2.7</v>
      </c>
      <c r="Z55" s="196"/>
      <c r="AA55" s="438"/>
      <c r="AB55" s="340"/>
      <c r="AC55" s="196">
        <v>3241.4234022800001</v>
      </c>
      <c r="AD55" s="438"/>
      <c r="AE55" s="340">
        <f>IF(AC55=0, "    ---- ", IF(ABS(ROUND(100/AC55*AD55-100,1))&lt;999,ROUND(100/AC55*AD55-100,1),IF(ROUND(100/AC55*AD55-100,1)&gt;999,999,-999)))</f>
        <v>-100</v>
      </c>
      <c r="AF55" s="196">
        <v>35754.400000000001</v>
      </c>
      <c r="AG55" s="438">
        <v>38774.125999999997</v>
      </c>
      <c r="AH55" s="340">
        <f t="shared" si="53"/>
        <v>8.4</v>
      </c>
      <c r="AI55" s="196">
        <v>103581</v>
      </c>
      <c r="AJ55" s="438">
        <v>132507</v>
      </c>
      <c r="AK55" s="340">
        <f t="shared" si="54"/>
        <v>27.9</v>
      </c>
      <c r="AL55" s="196"/>
      <c r="AM55" s="438"/>
      <c r="AN55" s="340"/>
      <c r="AO55" s="526">
        <f t="shared" si="60"/>
        <v>353188.82183599693</v>
      </c>
      <c r="AP55" s="526">
        <f t="shared" si="60"/>
        <v>378501.89023792249</v>
      </c>
      <c r="AQ55" s="340">
        <f t="shared" si="47"/>
        <v>7.2</v>
      </c>
      <c r="AR55" s="526">
        <f t="shared" si="61"/>
        <v>356430.24523827696</v>
      </c>
      <c r="AS55" s="526">
        <f t="shared" si="61"/>
        <v>378501.89023792249</v>
      </c>
      <c r="AT55" s="439">
        <f t="shared" si="49"/>
        <v>6.2</v>
      </c>
    </row>
    <row r="56" spans="1:46" s="451" customFormat="1" ht="20.100000000000001" customHeight="1" x14ac:dyDescent="0.3">
      <c r="A56" s="580" t="s">
        <v>221</v>
      </c>
      <c r="B56" s="196">
        <v>9120.5990000000002</v>
      </c>
      <c r="C56" s="438"/>
      <c r="D56" s="438">
        <f>IF(B56=0, "    ---- ", IF(ABS(ROUND(100/B56*C56-100,1))&lt;999,ROUND(100/B56*C56-100,1),IF(ROUND(100/B56*C56-100,1)&gt;999,999,-999)))</f>
        <v>-100</v>
      </c>
      <c r="E56" s="196">
        <v>50433.845488470004</v>
      </c>
      <c r="F56" s="438">
        <v>53313.425118966254</v>
      </c>
      <c r="G56" s="438">
        <f t="shared" si="45"/>
        <v>5.7</v>
      </c>
      <c r="H56" s="196"/>
      <c r="I56" s="438"/>
      <c r="J56" s="438"/>
      <c r="K56" s="196"/>
      <c r="L56" s="438"/>
      <c r="M56" s="438"/>
      <c r="N56" s="196">
        <v>6414</v>
      </c>
      <c r="O56" s="438">
        <v>8269</v>
      </c>
      <c r="P56" s="434">
        <f t="shared" si="56"/>
        <v>28.9</v>
      </c>
      <c r="Q56" s="196"/>
      <c r="R56" s="438"/>
      <c r="S56" s="340"/>
      <c r="T56" s="196">
        <v>315.01450298999998</v>
      </c>
      <c r="U56" s="438">
        <v>227.78321443000002</v>
      </c>
      <c r="V56" s="340">
        <f t="shared" si="62"/>
        <v>-27.7</v>
      </c>
      <c r="W56" s="196">
        <v>37824.44</v>
      </c>
      <c r="X56" s="438">
        <v>44332.49</v>
      </c>
      <c r="Y56" s="340">
        <f t="shared" si="51"/>
        <v>17.2</v>
      </c>
      <c r="Z56" s="196"/>
      <c r="AA56" s="438"/>
      <c r="AB56" s="340"/>
      <c r="AC56" s="196"/>
      <c r="AD56" s="438"/>
      <c r="AE56" s="340"/>
      <c r="AF56" s="196">
        <v>17925.695</v>
      </c>
      <c r="AG56" s="438">
        <v>19576.833999999999</v>
      </c>
      <c r="AH56" s="340">
        <f t="shared" si="53"/>
        <v>9.1999999999999993</v>
      </c>
      <c r="AI56" s="196">
        <v>41537</v>
      </c>
      <c r="AJ56" s="438">
        <v>51207</v>
      </c>
      <c r="AK56" s="340">
        <f t="shared" si="54"/>
        <v>23.3</v>
      </c>
      <c r="AL56" s="196"/>
      <c r="AM56" s="438"/>
      <c r="AN56" s="340"/>
      <c r="AO56" s="526">
        <f t="shared" si="60"/>
        <v>163570.59399146002</v>
      </c>
      <c r="AP56" s="526">
        <f t="shared" si="60"/>
        <v>176926.53233339626</v>
      </c>
      <c r="AQ56" s="340">
        <f t="shared" si="47"/>
        <v>8.1999999999999993</v>
      </c>
      <c r="AR56" s="526">
        <f t="shared" si="61"/>
        <v>163570.59399146002</v>
      </c>
      <c r="AS56" s="526">
        <f t="shared" si="61"/>
        <v>176926.53233339626</v>
      </c>
      <c r="AT56" s="439">
        <f t="shared" si="49"/>
        <v>8.1999999999999993</v>
      </c>
    </row>
    <row r="57" spans="1:46" s="451" customFormat="1" ht="20.100000000000001" customHeight="1" x14ac:dyDescent="0.3">
      <c r="A57" s="580" t="s">
        <v>222</v>
      </c>
      <c r="B57" s="196"/>
      <c r="C57" s="438"/>
      <c r="D57" s="340"/>
      <c r="E57" s="196">
        <v>1842.5847157999999</v>
      </c>
      <c r="F57" s="438">
        <v>1832.6360744400001</v>
      </c>
      <c r="G57" s="340">
        <f t="shared" si="45"/>
        <v>-0.5</v>
      </c>
      <c r="H57" s="196"/>
      <c r="I57" s="438"/>
      <c r="J57" s="340"/>
      <c r="K57" s="196"/>
      <c r="L57" s="438"/>
      <c r="M57" s="340"/>
      <c r="N57" s="196">
        <v>42</v>
      </c>
      <c r="O57" s="438">
        <v>29</v>
      </c>
      <c r="P57" s="340">
        <f t="shared" si="56"/>
        <v>-31</v>
      </c>
      <c r="Q57" s="196"/>
      <c r="R57" s="438"/>
      <c r="S57" s="340"/>
      <c r="T57" s="196">
        <v>90.041771409999996</v>
      </c>
      <c r="U57" s="438">
        <v>113.1945565</v>
      </c>
      <c r="V57" s="340">
        <f t="shared" si="62"/>
        <v>25.7</v>
      </c>
      <c r="W57" s="196">
        <v>0</v>
      </c>
      <c r="X57" s="438">
        <v>0</v>
      </c>
      <c r="Y57" s="340" t="str">
        <f t="shared" si="51"/>
        <v xml:space="preserve">    ---- </v>
      </c>
      <c r="Z57" s="196"/>
      <c r="AA57" s="438"/>
      <c r="AB57" s="340"/>
      <c r="AC57" s="196"/>
      <c r="AD57" s="438"/>
      <c r="AE57" s="340"/>
      <c r="AF57" s="196">
        <v>76.442999999999998</v>
      </c>
      <c r="AG57" s="438">
        <v>75.888000000000005</v>
      </c>
      <c r="AH57" s="340">
        <f t="shared" si="53"/>
        <v>-0.7</v>
      </c>
      <c r="AI57" s="196">
        <v>123</v>
      </c>
      <c r="AJ57" s="438">
        <v>132</v>
      </c>
      <c r="AK57" s="340">
        <f t="shared" si="54"/>
        <v>7.3</v>
      </c>
      <c r="AL57" s="196"/>
      <c r="AM57" s="438"/>
      <c r="AN57" s="340"/>
      <c r="AO57" s="526">
        <f t="shared" si="60"/>
        <v>2174.0694872099998</v>
      </c>
      <c r="AP57" s="526">
        <f t="shared" si="60"/>
        <v>2182.7186309400004</v>
      </c>
      <c r="AQ57" s="340">
        <f t="shared" si="47"/>
        <v>0.4</v>
      </c>
      <c r="AR57" s="526">
        <f t="shared" si="61"/>
        <v>2174.0694872099998</v>
      </c>
      <c r="AS57" s="526">
        <f t="shared" si="61"/>
        <v>2182.7186309400004</v>
      </c>
      <c r="AT57" s="439">
        <f t="shared" si="49"/>
        <v>0.4</v>
      </c>
    </row>
    <row r="58" spans="1:46" s="451" customFormat="1" ht="20.100000000000001" customHeight="1" x14ac:dyDescent="0.3">
      <c r="A58" s="580" t="s">
        <v>223</v>
      </c>
      <c r="B58" s="196">
        <v>-109.517</v>
      </c>
      <c r="C58" s="438"/>
      <c r="D58" s="340">
        <f>IF(B58=0, "    ---- ", IF(ABS(ROUND(100/B58*C58-100,1))&lt;999,ROUND(100/B58*C58-100,1),IF(ROUND(100/B58*C58-100,1)&gt;999,999,-999)))</f>
        <v>-100</v>
      </c>
      <c r="E58" s="196"/>
      <c r="F58" s="438"/>
      <c r="G58" s="340"/>
      <c r="H58" s="196"/>
      <c r="I58" s="438"/>
      <c r="J58" s="340"/>
      <c r="K58" s="196"/>
      <c r="L58" s="438"/>
      <c r="M58" s="340"/>
      <c r="N58" s="196"/>
      <c r="O58" s="438"/>
      <c r="P58" s="340"/>
      <c r="Q58" s="196"/>
      <c r="R58" s="438"/>
      <c r="S58" s="340"/>
      <c r="T58" s="196">
        <v>15.610806119999999</v>
      </c>
      <c r="U58" s="438">
        <v>0.75397314999999998</v>
      </c>
      <c r="V58" s="340">
        <f t="shared" si="62"/>
        <v>-95.2</v>
      </c>
      <c r="W58" s="196">
        <v>222.85</v>
      </c>
      <c r="X58" s="438">
        <v>-301.5</v>
      </c>
      <c r="Y58" s="340">
        <f t="shared" si="51"/>
        <v>-235.3</v>
      </c>
      <c r="Z58" s="196"/>
      <c r="AA58" s="438"/>
      <c r="AB58" s="340"/>
      <c r="AC58" s="196"/>
      <c r="AD58" s="438"/>
      <c r="AE58" s="340"/>
      <c r="AF58" s="196">
        <v>314.94299999999998</v>
      </c>
      <c r="AG58" s="438">
        <v>0</v>
      </c>
      <c r="AH58" s="340">
        <f t="shared" si="53"/>
        <v>-100</v>
      </c>
      <c r="AI58" s="196">
        <v>1066</v>
      </c>
      <c r="AJ58" s="438">
        <v>168</v>
      </c>
      <c r="AK58" s="340">
        <f t="shared" si="54"/>
        <v>-84.2</v>
      </c>
      <c r="AL58" s="196"/>
      <c r="AM58" s="438"/>
      <c r="AN58" s="340"/>
      <c r="AO58" s="526">
        <f t="shared" si="60"/>
        <v>1509.8868061200001</v>
      </c>
      <c r="AP58" s="526">
        <f t="shared" si="60"/>
        <v>-132.74602685000002</v>
      </c>
      <c r="AQ58" s="340">
        <f t="shared" si="47"/>
        <v>-108.8</v>
      </c>
      <c r="AR58" s="526">
        <f t="shared" si="61"/>
        <v>1509.8868061200001</v>
      </c>
      <c r="AS58" s="526">
        <f t="shared" si="61"/>
        <v>-132.74602685000002</v>
      </c>
      <c r="AT58" s="439">
        <f t="shared" si="49"/>
        <v>-108.8</v>
      </c>
    </row>
    <row r="59" spans="1:46" s="451" customFormat="1" ht="20.100000000000001" customHeight="1" x14ac:dyDescent="0.3">
      <c r="A59" s="580" t="s">
        <v>224</v>
      </c>
      <c r="B59" s="196">
        <v>384.06099999999998</v>
      </c>
      <c r="C59" s="438"/>
      <c r="D59" s="340">
        <f>IF(B59=0, "    ---- ", IF(ABS(ROUND(100/B59*C59-100,1))&lt;999,ROUND(100/B59*C59-100,1),IF(ROUND(100/B59*C59-100,1)&gt;999,999,-999)))</f>
        <v>-100</v>
      </c>
      <c r="E59" s="196"/>
      <c r="F59" s="438"/>
      <c r="G59" s="340"/>
      <c r="H59" s="196"/>
      <c r="I59" s="438"/>
      <c r="J59" s="340"/>
      <c r="K59" s="196"/>
      <c r="L59" s="438"/>
      <c r="M59" s="340"/>
      <c r="N59" s="196">
        <v>156</v>
      </c>
      <c r="O59" s="438">
        <v>162</v>
      </c>
      <c r="P59" s="340">
        <f>IF(N59=0, "    ---- ", IF(ABS(ROUND(100/N59*O59-100,1))&lt;999,ROUND(100/N59*O59-100,1),IF(ROUND(100/N59*O59-100,1)&gt;999,999,-999)))</f>
        <v>3.8</v>
      </c>
      <c r="Q59" s="196"/>
      <c r="R59" s="438"/>
      <c r="S59" s="340"/>
      <c r="T59" s="196">
        <v>-1E-8</v>
      </c>
      <c r="U59" s="438">
        <v>0.47335737999999999</v>
      </c>
      <c r="V59" s="340">
        <f t="shared" si="62"/>
        <v>-999</v>
      </c>
      <c r="W59" s="196">
        <v>449.03</v>
      </c>
      <c r="X59" s="438">
        <v>514.16999999999996</v>
      </c>
      <c r="Y59" s="340">
        <f t="shared" si="51"/>
        <v>14.5</v>
      </c>
      <c r="Z59" s="196"/>
      <c r="AA59" s="438"/>
      <c r="AB59" s="340"/>
      <c r="AC59" s="196"/>
      <c r="AD59" s="438"/>
      <c r="AE59" s="340"/>
      <c r="AF59" s="196">
        <v>190.489</v>
      </c>
      <c r="AG59" s="438">
        <v>125.358</v>
      </c>
      <c r="AH59" s="340">
        <f t="shared" si="53"/>
        <v>-34.200000000000003</v>
      </c>
      <c r="AI59" s="196"/>
      <c r="AJ59" s="438">
        <v>236</v>
      </c>
      <c r="AK59" s="340" t="str">
        <f t="shared" si="54"/>
        <v xml:space="preserve">    ---- </v>
      </c>
      <c r="AL59" s="196"/>
      <c r="AM59" s="438"/>
      <c r="AN59" s="340"/>
      <c r="AO59" s="526">
        <f t="shared" si="60"/>
        <v>1179.5799999899998</v>
      </c>
      <c r="AP59" s="526">
        <f t="shared" si="60"/>
        <v>1038.0013573799999</v>
      </c>
      <c r="AQ59" s="340">
        <f t="shared" si="47"/>
        <v>-12</v>
      </c>
      <c r="AR59" s="526">
        <f t="shared" si="61"/>
        <v>1179.5799999899998</v>
      </c>
      <c r="AS59" s="526">
        <f t="shared" si="61"/>
        <v>1038.0013573799999</v>
      </c>
      <c r="AT59" s="439">
        <f t="shared" si="49"/>
        <v>-12</v>
      </c>
    </row>
    <row r="60" spans="1:46" s="451" customFormat="1" ht="20.100000000000001" customHeight="1" x14ac:dyDescent="0.3">
      <c r="A60" s="635" t="s">
        <v>225</v>
      </c>
      <c r="B60" s="196">
        <v>26763.940000000002</v>
      </c>
      <c r="C60" s="438"/>
      <c r="D60" s="340">
        <f>IF(B60=0, "    ---- ", IF(ABS(ROUND(100/B60*C60-100,1))&lt;999,ROUND(100/B60*C60-100,1),IF(ROUND(100/B60*C60-100,1)&gt;999,999,-999)))</f>
        <v>-100</v>
      </c>
      <c r="E60" s="196">
        <v>137360.76034035999</v>
      </c>
      <c r="F60" s="438">
        <f>SUM(F48+F49+F50+F54)</f>
        <v>146459.86799264577</v>
      </c>
      <c r="G60" s="340">
        <f t="shared" si="45"/>
        <v>6.6</v>
      </c>
      <c r="H60" s="196"/>
      <c r="I60" s="438"/>
      <c r="J60" s="340"/>
      <c r="K60" s="196"/>
      <c r="L60" s="438"/>
      <c r="M60" s="340"/>
      <c r="N60" s="196">
        <v>42719</v>
      </c>
      <c r="O60" s="438">
        <f>SUM(O48+O49+O50+O54)</f>
        <v>51423</v>
      </c>
      <c r="P60" s="340">
        <f>IF(N60=0, "    ---- ", IF(ABS(ROUND(100/N60*O60-100,1))&lt;999,ROUND(100/N60*O60-100,1),IF(ROUND(100/N60*O60-100,1)&gt;999,999,-999)))</f>
        <v>20.399999999999999</v>
      </c>
      <c r="Q60" s="196"/>
      <c r="R60" s="438"/>
      <c r="S60" s="340"/>
      <c r="T60" s="196">
        <v>2587.9706044999998</v>
      </c>
      <c r="U60" s="438">
        <v>2682.6430402699998</v>
      </c>
      <c r="V60" s="340">
        <f t="shared" si="62"/>
        <v>3.7</v>
      </c>
      <c r="W60" s="196">
        <v>122540.87000000001</v>
      </c>
      <c r="X60" s="438">
        <f>SUM(X48+X49+X50+X54)</f>
        <v>126465.99</v>
      </c>
      <c r="Y60" s="340">
        <f t="shared" si="51"/>
        <v>3.2</v>
      </c>
      <c r="Z60" s="196"/>
      <c r="AA60" s="438"/>
      <c r="AB60" s="340"/>
      <c r="AC60" s="196">
        <f>SUM(AC48+AC49+AC50+AC54)</f>
        <v>3241.4234022800001</v>
      </c>
      <c r="AD60" s="438"/>
      <c r="AE60" s="340">
        <f>IF(AC60=0, "    ---- ", IF(ABS(ROUND(100/AC60*AD60-100,1))&lt;999,ROUND(100/AC60*AD60-100,1),IF(ROUND(100/AC60*AD60-100,1)&gt;999,999,-999)))</f>
        <v>-100</v>
      </c>
      <c r="AF60" s="196">
        <v>55256.127</v>
      </c>
      <c r="AG60" s="438">
        <f>SUM(AG48+AG49+AG50+AG54)</f>
        <v>59460.726999999992</v>
      </c>
      <c r="AH60" s="340">
        <f t="shared" si="53"/>
        <v>7.6</v>
      </c>
      <c r="AI60" s="196">
        <v>154337</v>
      </c>
      <c r="AJ60" s="438">
        <f>SUM(AJ48+AJ49+AJ50+AJ54)</f>
        <v>192285</v>
      </c>
      <c r="AK60" s="340">
        <f t="shared" si="54"/>
        <v>24.6</v>
      </c>
      <c r="AL60" s="196"/>
      <c r="AM60" s="438"/>
      <c r="AN60" s="340"/>
      <c r="AO60" s="526">
        <f t="shared" si="60"/>
        <v>541565.66794485995</v>
      </c>
      <c r="AP60" s="526">
        <f t="shared" si="60"/>
        <v>578777.22803291585</v>
      </c>
      <c r="AQ60" s="340">
        <f t="shared" si="47"/>
        <v>6.9</v>
      </c>
      <c r="AR60" s="526">
        <f t="shared" si="61"/>
        <v>544807.09134714003</v>
      </c>
      <c r="AS60" s="526">
        <f t="shared" si="61"/>
        <v>578777.22803291585</v>
      </c>
      <c r="AT60" s="439">
        <f t="shared" si="49"/>
        <v>6.2</v>
      </c>
    </row>
    <row r="61" spans="1:46" s="451" customFormat="1" ht="20.100000000000001" customHeight="1" x14ac:dyDescent="0.3">
      <c r="A61" s="608" t="s">
        <v>324</v>
      </c>
      <c r="B61" s="196"/>
      <c r="C61" s="438"/>
      <c r="D61" s="340"/>
      <c r="E61" s="196"/>
      <c r="F61" s="438"/>
      <c r="G61" s="340"/>
      <c r="H61" s="196"/>
      <c r="I61" s="438"/>
      <c r="J61" s="340"/>
      <c r="K61" s="196"/>
      <c r="L61" s="438"/>
      <c r="M61" s="340"/>
      <c r="N61" s="196">
        <v>9</v>
      </c>
      <c r="O61" s="438">
        <v>7</v>
      </c>
      <c r="P61" s="340">
        <f>IF(N61=0, "    ---- ", IF(ABS(ROUND(100/N61*O61-100,1))&lt;999,ROUND(100/N61*O61-100,1),IF(ROUND(100/N61*O61-100,1)&gt;999,999,-999)))</f>
        <v>-22.2</v>
      </c>
      <c r="Q61" s="196"/>
      <c r="R61" s="438"/>
      <c r="S61" s="340"/>
      <c r="T61" s="196"/>
      <c r="U61" s="438"/>
      <c r="V61" s="340"/>
      <c r="W61" s="196"/>
      <c r="X61" s="438"/>
      <c r="Y61" s="340"/>
      <c r="Z61" s="196"/>
      <c r="AA61" s="438"/>
      <c r="AB61" s="340"/>
      <c r="AC61" s="196"/>
      <c r="AD61" s="438"/>
      <c r="AE61" s="340"/>
      <c r="AF61" s="196"/>
      <c r="AG61" s="438"/>
      <c r="AH61" s="340"/>
      <c r="AI61" s="196"/>
      <c r="AJ61" s="438"/>
      <c r="AK61" s="340"/>
      <c r="AL61" s="196"/>
      <c r="AM61" s="438"/>
      <c r="AN61" s="340"/>
      <c r="AO61" s="526">
        <f t="shared" si="60"/>
        <v>9</v>
      </c>
      <c r="AP61" s="526">
        <f t="shared" si="60"/>
        <v>7</v>
      </c>
      <c r="AQ61" s="340">
        <f t="shared" si="47"/>
        <v>-22.2</v>
      </c>
      <c r="AR61" s="526">
        <f t="shared" si="61"/>
        <v>9</v>
      </c>
      <c r="AS61" s="526">
        <f t="shared" si="61"/>
        <v>7</v>
      </c>
      <c r="AT61" s="439">
        <f t="shared" si="49"/>
        <v>-22.2</v>
      </c>
    </row>
    <row r="62" spans="1:46" s="451" customFormat="1" ht="20.100000000000001" customHeight="1" x14ac:dyDescent="0.3">
      <c r="A62" s="580" t="s">
        <v>226</v>
      </c>
      <c r="B62" s="196">
        <v>28314.299000000003</v>
      </c>
      <c r="C62" s="438"/>
      <c r="D62" s="340">
        <f>IF(B62=0, "    ---- ", IF(ABS(ROUND(100/B62*C62-100,1))&lt;999,ROUND(100/B62*C62-100,1),IF(ROUND(100/B62*C62-100,1)&gt;999,999,-999)))</f>
        <v>-100</v>
      </c>
      <c r="E62" s="196">
        <v>337891.22223097994</v>
      </c>
      <c r="F62" s="438">
        <f>SUM(F45+F46+F60+F61)</f>
        <v>341317.70026177575</v>
      </c>
      <c r="G62" s="340">
        <f t="shared" si="45"/>
        <v>1</v>
      </c>
      <c r="H62" s="196">
        <v>8123.3618826499987</v>
      </c>
      <c r="I62" s="438">
        <f>SUM(I45+I46+I60+I61)</f>
        <v>8889.1145567500007</v>
      </c>
      <c r="J62" s="340">
        <f>IF(H62=0, "    ---- ", IF(ABS(ROUND(100/H62*I62-100,1))&lt;999,ROUND(100/H62*I62-100,1),IF(ROUND(100/H62*I62-100,1)&gt;999,999,-999)))</f>
        <v>9.4</v>
      </c>
      <c r="K62" s="196">
        <v>1365.62</v>
      </c>
      <c r="L62" s="438">
        <f>SUM(L45+L46+L60+L61)</f>
        <v>1645.6255699999999</v>
      </c>
      <c r="M62" s="340">
        <f>IF(K62=0, "    ---- ", IF(ABS(ROUND(100/K62*L62-100,1))&lt;999,ROUND(100/K62*L62-100,1),IF(ROUND(100/K62*L62-100,1)&gt;999,999,-999)))</f>
        <v>20.5</v>
      </c>
      <c r="N62" s="196">
        <v>51247</v>
      </c>
      <c r="O62" s="438">
        <f>SUM(O45+O46+O60+O61)</f>
        <v>60598</v>
      </c>
      <c r="P62" s="340">
        <f>IF(N62=0, "    ---- ", IF(ABS(ROUND(100/N62*O62-100,1))&lt;999,ROUND(100/N62*O62-100,1),IF(ROUND(100/N62*O62-100,1)&gt;999,999,-999)))</f>
        <v>18.2</v>
      </c>
      <c r="Q62" s="196"/>
      <c r="R62" s="438"/>
      <c r="S62" s="340"/>
      <c r="T62" s="196">
        <v>665087.6541947301</v>
      </c>
      <c r="U62" s="438">
        <v>693584.97238221997</v>
      </c>
      <c r="V62" s="340">
        <f>IF(T62=0, "    ---- ", IF(ABS(ROUND(100/T62*U62-100,1))&lt;999,ROUND(100/T62*U62-100,1),IF(ROUND(100/T62*U62-100,1)&gt;999,999,-999)))</f>
        <v>4.3</v>
      </c>
      <c r="W62" s="196">
        <v>179116.12881779001</v>
      </c>
      <c r="X62" s="438">
        <f>SUM(X45+X46+X60+X61)</f>
        <v>182071.96079542991</v>
      </c>
      <c r="Y62" s="340">
        <f t="shared" si="51"/>
        <v>1.7</v>
      </c>
      <c r="Z62" s="196">
        <v>113001</v>
      </c>
      <c r="AA62" s="438">
        <f>SUM(AA45+AA46+AA60+AA61)</f>
        <v>119265</v>
      </c>
      <c r="AB62" s="340">
        <f>IF(Z62=0, "    ---- ", IF(ABS(ROUND(100/Z62*AA62-100,1))&lt;999,ROUND(100/Z62*AA62-100,1),IF(ROUND(100/Z62*AA62-100,1)&gt;999,999,-999)))</f>
        <v>5.5</v>
      </c>
      <c r="AC62" s="196">
        <f>SUM(AC45+AC46+AC60+AC61)</f>
        <v>3241.4234022800001</v>
      </c>
      <c r="AD62" s="438"/>
      <c r="AE62" s="340">
        <f>IF(AC62=0, "    ---- ", IF(ABS(ROUND(100/AC62*AD62-100,1))&lt;999,ROUND(100/AC62*AD62-100,1),IF(ROUND(100/AC62*AD62-100,1)&gt;999,999,-999)))</f>
        <v>-100</v>
      </c>
      <c r="AF62" s="196">
        <v>78856.308000000005</v>
      </c>
      <c r="AG62" s="438">
        <f>SUM(AG45+AG46+AG60+AG61)</f>
        <v>82894.043999999994</v>
      </c>
      <c r="AH62" s="340">
        <f t="shared" si="53"/>
        <v>5.0999999999999996</v>
      </c>
      <c r="AI62" s="196">
        <v>361779</v>
      </c>
      <c r="AJ62" s="438">
        <f>SUM(AJ45+AJ46+AJ60+AJ61)</f>
        <v>400712</v>
      </c>
      <c r="AK62" s="340">
        <f t="shared" si="54"/>
        <v>10.8</v>
      </c>
      <c r="AL62" s="196"/>
      <c r="AM62" s="438"/>
      <c r="AN62" s="340"/>
      <c r="AO62" s="526">
        <f t="shared" si="60"/>
        <v>1824781.59412615</v>
      </c>
      <c r="AP62" s="526">
        <f t="shared" si="60"/>
        <v>1890978.4175661758</v>
      </c>
      <c r="AQ62" s="340">
        <f t="shared" si="47"/>
        <v>3.6</v>
      </c>
      <c r="AR62" s="526">
        <f t="shared" si="61"/>
        <v>1828023.0175284301</v>
      </c>
      <c r="AS62" s="526">
        <f t="shared" si="61"/>
        <v>1890978.4175661758</v>
      </c>
      <c r="AT62" s="439">
        <f t="shared" si="49"/>
        <v>3.4</v>
      </c>
    </row>
    <row r="63" spans="1:46" s="472" customFormat="1" ht="20.100000000000001" customHeight="1" x14ac:dyDescent="0.3">
      <c r="A63" s="608"/>
      <c r="B63" s="198"/>
      <c r="C63" s="437"/>
      <c r="D63" s="436"/>
      <c r="E63" s="198"/>
      <c r="F63" s="437"/>
      <c r="G63" s="436"/>
      <c r="H63" s="198"/>
      <c r="I63" s="437"/>
      <c r="J63" s="436"/>
      <c r="K63" s="198"/>
      <c r="L63" s="437"/>
      <c r="M63" s="436"/>
      <c r="N63" s="198"/>
      <c r="O63" s="437"/>
      <c r="P63" s="440"/>
      <c r="Q63" s="198"/>
      <c r="R63" s="437"/>
      <c r="S63" s="436"/>
      <c r="T63" s="198"/>
      <c r="U63" s="437"/>
      <c r="V63" s="436"/>
      <c r="W63" s="198"/>
      <c r="X63" s="437"/>
      <c r="Y63" s="436"/>
      <c r="Z63" s="198"/>
      <c r="AA63" s="437"/>
      <c r="AB63" s="436"/>
      <c r="AC63" s="198"/>
      <c r="AD63" s="437"/>
      <c r="AE63" s="436"/>
      <c r="AF63" s="198"/>
      <c r="AG63" s="437"/>
      <c r="AH63" s="436"/>
      <c r="AI63" s="198"/>
      <c r="AJ63" s="437"/>
      <c r="AK63" s="436"/>
      <c r="AL63" s="198"/>
      <c r="AM63" s="437"/>
      <c r="AN63" s="436"/>
      <c r="AO63" s="440"/>
      <c r="AP63" s="440"/>
      <c r="AQ63" s="436"/>
      <c r="AR63" s="440"/>
      <c r="AS63" s="440"/>
      <c r="AT63" s="441"/>
    </row>
    <row r="64" spans="1:46" s="472" customFormat="1" ht="20.100000000000001" customHeight="1" x14ac:dyDescent="0.3">
      <c r="A64" s="608" t="s">
        <v>227</v>
      </c>
      <c r="B64" s="198">
        <v>29356.390000000003</v>
      </c>
      <c r="C64" s="437"/>
      <c r="D64" s="436">
        <f>IF(B64=0, "    ---- ", IF(ABS(ROUND(100/B64*C64-100,1))&lt;999,ROUND(100/B64*C64-100,1),IF(ROUND(100/B64*C64-100,1)&gt;999,999,-999)))</f>
        <v>-100</v>
      </c>
      <c r="E64" s="198">
        <v>372178.80141664995</v>
      </c>
      <c r="F64" s="437">
        <f>SUM(F29+F62)</f>
        <v>374454.75371901575</v>
      </c>
      <c r="G64" s="436">
        <f t="shared" si="45"/>
        <v>0.6</v>
      </c>
      <c r="H64" s="198">
        <v>12103.556937919999</v>
      </c>
      <c r="I64" s="437">
        <f>SUM(I29+I62)</f>
        <v>12774.277275820001</v>
      </c>
      <c r="J64" s="436">
        <f>IF(H64=0, "    ---- ", IF(ABS(ROUND(100/H64*I64-100,1))&lt;999,ROUND(100/H64*I64-100,1),IF(ROUND(100/H64*I64-100,1)&gt;999,999,-999)))</f>
        <v>5.5</v>
      </c>
      <c r="K64" s="198">
        <v>2372.88</v>
      </c>
      <c r="L64" s="437">
        <f>SUM(L29+L62)</f>
        <v>2672.8861499999998</v>
      </c>
      <c r="M64" s="436">
        <f>IF(K64=0, "    ---- ", IF(ABS(ROUND(100/K64*L64-100,1))&lt;999,ROUND(100/K64*L64-100,1),IF(ROUND(100/K64*L64-100,1)&gt;999,999,-999)))</f>
        <v>12.6</v>
      </c>
      <c r="N64" s="198">
        <v>52812</v>
      </c>
      <c r="O64" s="437">
        <f>SUM(O29+O62)</f>
        <v>62357</v>
      </c>
      <c r="P64" s="440">
        <f>IF(N64=0, "    ---- ", IF(ABS(ROUND(100/N64*O64-100,1))&lt;999,ROUND(100/N64*O64-100,1),IF(ROUND(100/N64*O64-100,1)&gt;999,999,-999)))</f>
        <v>18.100000000000001</v>
      </c>
      <c r="Q64" s="198">
        <v>167.64422300000001</v>
      </c>
      <c r="R64" s="437"/>
      <c r="S64" s="436">
        <f>IF(Q64=0, "    ---- ", IF(ABS(ROUND(100/Q64*R64-100,1))&lt;999,ROUND(100/Q64*R64-100,1),IF(ROUND(100/Q64*R64-100,1)&gt;999,999,-999)))</f>
        <v>-100</v>
      </c>
      <c r="T64" s="198">
        <v>710467.01435118006</v>
      </c>
      <c r="U64" s="437">
        <v>742080.77413299994</v>
      </c>
      <c r="V64" s="436">
        <f>IF(T64=0, "    ---- ", IF(ABS(ROUND(100/T64*U64-100,1))&lt;999,ROUND(100/T64*U64-100,1),IF(ROUND(100/T64*U64-100,1)&gt;999,999,-999)))</f>
        <v>4.4000000000000004</v>
      </c>
      <c r="W64" s="198">
        <v>191603.51881779003</v>
      </c>
      <c r="X64" s="437">
        <f>SUM(X29+X62)</f>
        <v>193820.21079542991</v>
      </c>
      <c r="Y64" s="436">
        <f t="shared" si="51"/>
        <v>1.2</v>
      </c>
      <c r="Z64" s="198">
        <v>125404</v>
      </c>
      <c r="AA64" s="437">
        <f>SUM(AA29+AA62)</f>
        <v>132038</v>
      </c>
      <c r="AB64" s="436">
        <f>IF(Z64=0, "    ---- ", IF(ABS(ROUND(100/Z64*AA64-100,1))&lt;999,ROUND(100/Z64*AA64-100,1),IF(ROUND(100/Z64*AA64-100,1)&gt;999,999,-999)))</f>
        <v>5.3</v>
      </c>
      <c r="AC64" s="198">
        <f>SUM(AC29+AC62)</f>
        <v>3334.29976734</v>
      </c>
      <c r="AD64" s="437"/>
      <c r="AE64" s="436">
        <f>IF(AC64=0, "    ---- ", IF(ABS(ROUND(100/AC64*AD64-100,1))&lt;999,ROUND(100/AC64*AD64-100,1),IF(ROUND(100/AC64*AD64-100,1)&gt;999,999,-999)))</f>
        <v>-100</v>
      </c>
      <c r="AF64" s="198">
        <v>85983.821000000011</v>
      </c>
      <c r="AG64" s="437">
        <f>SUM(AG29+AG62)</f>
        <v>89687.524999999994</v>
      </c>
      <c r="AH64" s="436">
        <f t="shared" si="53"/>
        <v>4.3</v>
      </c>
      <c r="AI64" s="198">
        <v>406065</v>
      </c>
      <c r="AJ64" s="437">
        <f>SUM(AJ29+AJ62)</f>
        <v>477036</v>
      </c>
      <c r="AK64" s="436">
        <f t="shared" si="54"/>
        <v>17.5</v>
      </c>
      <c r="AL64" s="198">
        <v>4</v>
      </c>
      <c r="AM64" s="437">
        <f>SUM(AM29+AM62)</f>
        <v>15</v>
      </c>
      <c r="AN64" s="436">
        <f t="shared" ref="AN64" si="63">IF(AL64=0, "    ---- ", IF(ABS(ROUND(100/AL64*AM64-100,1))&lt;999,ROUND(100/AL64*AM64-100,1),IF(ROUND(100/AL64*AM64-100,1)&gt;999,999,-999)))</f>
        <v>275</v>
      </c>
      <c r="AO64" s="638">
        <f t="shared" ref="AO64:AP64" si="64">B64+E64+H64+K64+N64+T64+W64+Z64+AF64+AI64</f>
        <v>1988346.98252354</v>
      </c>
      <c r="AP64" s="638">
        <f t="shared" si="64"/>
        <v>2086921.4270732657</v>
      </c>
      <c r="AQ64" s="436">
        <f t="shared" si="47"/>
        <v>5</v>
      </c>
      <c r="AR64" s="638">
        <f t="shared" ref="AR64:AS64" si="65">B64+E64+H64+K64+N64+Q64+T64+W64+Z64+AC64+AF64+AI64+AL64</f>
        <v>1991852.9265138803</v>
      </c>
      <c r="AS64" s="638">
        <f t="shared" si="65"/>
        <v>2086936.4270732657</v>
      </c>
      <c r="AT64" s="441">
        <f t="shared" si="49"/>
        <v>4.8</v>
      </c>
    </row>
    <row r="65" spans="1:46" s="451" customFormat="1" ht="20.100000000000001" customHeight="1" x14ac:dyDescent="0.3">
      <c r="A65" s="637"/>
      <c r="B65" s="196"/>
      <c r="C65" s="438"/>
      <c r="D65" s="340"/>
      <c r="E65" s="196"/>
      <c r="F65" s="438"/>
      <c r="G65" s="340"/>
      <c r="H65" s="196"/>
      <c r="I65" s="438"/>
      <c r="J65" s="340"/>
      <c r="K65" s="196"/>
      <c r="L65" s="438"/>
      <c r="M65" s="340"/>
      <c r="N65" s="196"/>
      <c r="O65" s="438"/>
      <c r="P65" s="434"/>
      <c r="Q65" s="196"/>
      <c r="R65" s="438"/>
      <c r="S65" s="340"/>
      <c r="T65" s="196"/>
      <c r="U65" s="438"/>
      <c r="V65" s="340"/>
      <c r="W65" s="196"/>
      <c r="X65" s="438"/>
      <c r="Y65" s="340"/>
      <c r="Z65" s="196"/>
      <c r="AA65" s="438"/>
      <c r="AB65" s="340"/>
      <c r="AC65" s="196"/>
      <c r="AD65" s="438"/>
      <c r="AE65" s="340"/>
      <c r="AF65" s="196"/>
      <c r="AG65" s="438"/>
      <c r="AH65" s="340"/>
      <c r="AI65" s="196"/>
      <c r="AJ65" s="438"/>
      <c r="AK65" s="340"/>
      <c r="AL65" s="196"/>
      <c r="AM65" s="438"/>
      <c r="AN65" s="340"/>
      <c r="AO65" s="434"/>
      <c r="AP65" s="434"/>
      <c r="AQ65" s="340"/>
      <c r="AR65" s="434"/>
      <c r="AS65" s="434"/>
      <c r="AT65" s="439"/>
    </row>
    <row r="66" spans="1:46" s="451" customFormat="1" ht="20.100000000000001" customHeight="1" x14ac:dyDescent="0.3">
      <c r="A66" s="608" t="s">
        <v>228</v>
      </c>
      <c r="B66" s="196"/>
      <c r="C66" s="438"/>
      <c r="D66" s="340"/>
      <c r="E66" s="196"/>
      <c r="F66" s="438"/>
      <c r="G66" s="340"/>
      <c r="H66" s="196"/>
      <c r="I66" s="438"/>
      <c r="J66" s="340"/>
      <c r="K66" s="196"/>
      <c r="L66" s="438"/>
      <c r="M66" s="340"/>
      <c r="N66" s="196"/>
      <c r="O66" s="438"/>
      <c r="P66" s="434"/>
      <c r="Q66" s="196"/>
      <c r="R66" s="438"/>
      <c r="S66" s="340"/>
      <c r="T66" s="196"/>
      <c r="U66" s="438"/>
      <c r="V66" s="340"/>
      <c r="W66" s="196"/>
      <c r="X66" s="438"/>
      <c r="Y66" s="340"/>
      <c r="Z66" s="196"/>
      <c r="AA66" s="438"/>
      <c r="AB66" s="340"/>
      <c r="AC66" s="196"/>
      <c r="AD66" s="438"/>
      <c r="AE66" s="340"/>
      <c r="AF66" s="196"/>
      <c r="AG66" s="438"/>
      <c r="AH66" s="340"/>
      <c r="AI66" s="196"/>
      <c r="AJ66" s="438"/>
      <c r="AK66" s="340"/>
      <c r="AL66" s="196"/>
      <c r="AM66" s="438"/>
      <c r="AN66" s="340"/>
      <c r="AO66" s="434"/>
      <c r="AP66" s="434"/>
      <c r="AQ66" s="340"/>
      <c r="AR66" s="434"/>
      <c r="AS66" s="434"/>
      <c r="AT66" s="439"/>
    </row>
    <row r="67" spans="1:46" s="451" customFormat="1" ht="20.100000000000001" customHeight="1" x14ac:dyDescent="0.3">
      <c r="A67" s="608"/>
      <c r="B67" s="196"/>
      <c r="C67" s="438"/>
      <c r="D67" s="340"/>
      <c r="E67" s="196"/>
      <c r="F67" s="438"/>
      <c r="G67" s="340"/>
      <c r="H67" s="196"/>
      <c r="I67" s="438"/>
      <c r="J67" s="340"/>
      <c r="K67" s="196"/>
      <c r="L67" s="438"/>
      <c r="M67" s="340"/>
      <c r="N67" s="196"/>
      <c r="O67" s="438"/>
      <c r="P67" s="434"/>
      <c r="Q67" s="196"/>
      <c r="R67" s="438"/>
      <c r="S67" s="340"/>
      <c r="T67" s="196"/>
      <c r="U67" s="438"/>
      <c r="V67" s="340"/>
      <c r="W67" s="196"/>
      <c r="X67" s="438"/>
      <c r="Y67" s="340"/>
      <c r="Z67" s="196"/>
      <c r="AA67" s="438"/>
      <c r="AB67" s="340"/>
      <c r="AC67" s="196"/>
      <c r="AD67" s="438"/>
      <c r="AE67" s="340"/>
      <c r="AF67" s="196"/>
      <c r="AG67" s="438"/>
      <c r="AH67" s="340"/>
      <c r="AI67" s="196"/>
      <c r="AJ67" s="438"/>
      <c r="AK67" s="340"/>
      <c r="AL67" s="196"/>
      <c r="AM67" s="438"/>
      <c r="AN67" s="340"/>
      <c r="AO67" s="434"/>
      <c r="AP67" s="434"/>
      <c r="AQ67" s="340"/>
      <c r="AR67" s="434"/>
      <c r="AS67" s="434"/>
      <c r="AT67" s="439"/>
    </row>
    <row r="68" spans="1:46" s="451" customFormat="1" ht="20.100000000000001" customHeight="1" x14ac:dyDescent="0.3">
      <c r="A68" s="580" t="s">
        <v>229</v>
      </c>
      <c r="B68" s="196">
        <v>406.16</v>
      </c>
      <c r="C68" s="438"/>
      <c r="D68" s="340">
        <f>IF(B68=0, "    ---- ", IF(ABS(ROUND(100/B68*C68-100,1))&lt;999,ROUND(100/B68*C68-100,1),IF(ROUND(100/B68*C68-100,1)&gt;999,999,-999)))</f>
        <v>-100</v>
      </c>
      <c r="E68" s="196">
        <v>7657.0531522000001</v>
      </c>
      <c r="F68" s="438">
        <v>7657.0531522000001</v>
      </c>
      <c r="G68" s="340">
        <f t="shared" si="45"/>
        <v>0</v>
      </c>
      <c r="H68" s="196">
        <v>2452.057311</v>
      </c>
      <c r="I68" s="438">
        <v>2452.057311</v>
      </c>
      <c r="J68" s="340">
        <f>IF(H68=0, "    ---- ", IF(ABS(ROUND(100/H68*I68-100,1))&lt;999,ROUND(100/H68*I68-100,1),IF(ROUND(100/H68*I68-100,1)&gt;999,999,-999)))</f>
        <v>0</v>
      </c>
      <c r="K68" s="196">
        <v>210</v>
      </c>
      <c r="L68" s="438">
        <v>221.25</v>
      </c>
      <c r="M68" s="340">
        <f>IF(K68=0, "    ---- ", IF(ABS(ROUND(100/K68*L68-100,1))&lt;999,ROUND(100/K68*L68-100,1),IF(ROUND(100/K68*L68-100,1)&gt;999,999,-999)))</f>
        <v>5.4</v>
      </c>
      <c r="N68" s="196">
        <v>121</v>
      </c>
      <c r="O68" s="438">
        <v>123</v>
      </c>
      <c r="P68" s="434">
        <f>IF(N68=0, "    ---- ", IF(ABS(ROUND(100/N68*O68-100,1))&lt;999,ROUND(100/N68*O68-100,1),IF(ROUND(100/N68*O68-100,1)&gt;999,999,-999)))</f>
        <v>1.7</v>
      </c>
      <c r="Q68" s="196">
        <v>5</v>
      </c>
      <c r="R68" s="438"/>
      <c r="S68" s="340">
        <f>IF(Q68=0, "    ---- ", IF(ABS(ROUND(100/Q68*R68-100,1))&lt;999,ROUND(100/Q68*R68-100,1),IF(ROUND(100/Q68*R68-100,1)&gt;999,999,-999)))</f>
        <v>-100</v>
      </c>
      <c r="T68" s="196">
        <v>19830.973155</v>
      </c>
      <c r="U68" s="438">
        <v>21388.522218999999</v>
      </c>
      <c r="V68" s="340">
        <f t="shared" ref="V68:V80" si="66">IF(T68=0, "    ---- ", IF(ABS(ROUND(100/T68*U68-100,1))&lt;999,ROUND(100/T68*U68-100,1),IF(ROUND(100/T68*U68-100,1)&gt;999,999,-999)))</f>
        <v>7.9</v>
      </c>
      <c r="W68" s="196">
        <v>1126.76</v>
      </c>
      <c r="X68" s="438">
        <v>1126.76</v>
      </c>
      <c r="Y68" s="340">
        <f t="shared" si="51"/>
        <v>0</v>
      </c>
      <c r="Z68" s="196">
        <v>1430</v>
      </c>
      <c r="AA68" s="438">
        <v>1430</v>
      </c>
      <c r="AB68" s="340">
        <f>IF(Z68=0, "    ---- ", IF(ABS(ROUND(100/Z68*AA68-100,1))&lt;999,ROUND(100/Z68*AA68-100,1),IF(ROUND(100/Z68*AA68-100,1)&gt;999,999,-999)))</f>
        <v>0</v>
      </c>
      <c r="AC68" s="196">
        <v>48.519831859999996</v>
      </c>
      <c r="AD68" s="438"/>
      <c r="AE68" s="340">
        <f>IF(AC68=0, "    ---- ", IF(ABS(ROUND(100/AC68*AD68-100,1))&lt;999,ROUND(100/AC68*AD68-100,1),IF(ROUND(100/AC68*AD68-100,1)&gt;999,999,-999)))</f>
        <v>-100</v>
      </c>
      <c r="AF68" s="196">
        <v>4257.0320000000002</v>
      </c>
      <c r="AG68" s="438">
        <v>4972.6959999999999</v>
      </c>
      <c r="AH68" s="340">
        <f t="shared" si="53"/>
        <v>16.8</v>
      </c>
      <c r="AI68" s="196">
        <v>15150</v>
      </c>
      <c r="AJ68" s="438">
        <v>15578</v>
      </c>
      <c r="AK68" s="340">
        <f t="shared" si="54"/>
        <v>2.8</v>
      </c>
      <c r="AL68" s="196">
        <v>19</v>
      </c>
      <c r="AM68" s="438">
        <v>49</v>
      </c>
      <c r="AN68" s="340">
        <f t="shared" ref="AN68:AN69" si="67">IF(AL68=0, "    ---- ", IF(ABS(ROUND(100/AL68*AM68-100,1))&lt;999,ROUND(100/AL68*AM68-100,1),IF(ROUND(100/AL68*AM68-100,1)&gt;999,999,-999)))</f>
        <v>157.9</v>
      </c>
      <c r="AO68" s="526">
        <f t="shared" ref="AO68:AP71" si="68">B68+E68+H68+K68+N68+T68+W68+Z68+AF68+AI68</f>
        <v>52641.035618200003</v>
      </c>
      <c r="AP68" s="526">
        <f t="shared" si="68"/>
        <v>54949.338682200003</v>
      </c>
      <c r="AQ68" s="340">
        <f t="shared" si="47"/>
        <v>4.4000000000000004</v>
      </c>
      <c r="AR68" s="526">
        <f t="shared" ref="AR68:AS71" si="69">B68+E68+H68+K68+N68+Q68+T68+W68+Z68+AC68+AF68+AI68+AL68</f>
        <v>52713.555450060005</v>
      </c>
      <c r="AS68" s="526">
        <f t="shared" si="69"/>
        <v>54998.338682200003</v>
      </c>
      <c r="AT68" s="439">
        <f t="shared" si="49"/>
        <v>4.3</v>
      </c>
    </row>
    <row r="69" spans="1:46" s="451" customFormat="1" ht="20.100000000000001" customHeight="1" x14ac:dyDescent="0.3">
      <c r="A69" s="580" t="s">
        <v>230</v>
      </c>
      <c r="B69" s="196">
        <v>641.58199999999999</v>
      </c>
      <c r="C69" s="438"/>
      <c r="D69" s="340">
        <f>IF(B69=0, "    ---- ", IF(ABS(ROUND(100/B69*C69-100,1))&lt;999,ROUND(100/B69*C69-100,1),IF(ROUND(100/B69*C69-100,1)&gt;999,999,-999)))</f>
        <v>-100</v>
      </c>
      <c r="E69" s="196">
        <v>17013.05493138</v>
      </c>
      <c r="F69" s="438">
        <v>17195.73953613</v>
      </c>
      <c r="G69" s="340">
        <f t="shared" si="45"/>
        <v>1.1000000000000001</v>
      </c>
      <c r="H69" s="196">
        <v>-1.4240892299992665</v>
      </c>
      <c r="I69" s="438">
        <v>187.52020017000095</v>
      </c>
      <c r="J69" s="340">
        <f>IF(H69=0, "    ---- ", IF(ABS(ROUND(100/H69*I69-100,1))&lt;999,ROUND(100/H69*I69-100,1),IF(ROUND(100/H69*I69-100,1)&gt;999,999,-999)))</f>
        <v>-999</v>
      </c>
      <c r="K69" s="196">
        <v>346.67099999999999</v>
      </c>
      <c r="L69" s="438">
        <v>329.0838</v>
      </c>
      <c r="M69" s="340">
        <f>IF(K69=0, "    ---- ", IF(ABS(ROUND(100/K69*L69-100,1))&lt;999,ROUND(100/K69*L69-100,1),IF(ROUND(100/K69*L69-100,1)&gt;999,999,-999)))</f>
        <v>-5.0999999999999996</v>
      </c>
      <c r="N69" s="196">
        <v>958</v>
      </c>
      <c r="O69" s="438">
        <v>721</v>
      </c>
      <c r="P69" s="434">
        <f>IF(N69=0, "    ---- ", IF(ABS(ROUND(100/N69*O69-100,1))&lt;999,ROUND(100/N69*O69-100,1),IF(ROUND(100/N69*O69-100,1)&gt;999,999,-999)))</f>
        <v>-24.7</v>
      </c>
      <c r="Q69" s="196">
        <v>109.082977</v>
      </c>
      <c r="R69" s="438"/>
      <c r="S69" s="340">
        <f>IF(Q69=0, "    ---- ", IF(ABS(ROUND(100/Q69*R69-100,1))&lt;999,ROUND(100/Q69*R69-100,1),IF(ROUND(100/Q69*R69-100,1)&gt;999,999,-999)))</f>
        <v>-100</v>
      </c>
      <c r="T69" s="196">
        <v>21558.636475880001</v>
      </c>
      <c r="U69" s="438">
        <v>21863.2512173</v>
      </c>
      <c r="V69" s="340">
        <f t="shared" si="66"/>
        <v>1.4</v>
      </c>
      <c r="W69" s="196">
        <v>8239.94</v>
      </c>
      <c r="X69" s="438">
        <v>7426.13</v>
      </c>
      <c r="Y69" s="340">
        <f t="shared" si="51"/>
        <v>-9.9</v>
      </c>
      <c r="Z69" s="196">
        <v>10049</v>
      </c>
      <c r="AA69" s="438">
        <v>10420</v>
      </c>
      <c r="AB69" s="340">
        <f>IF(Z69=0, "    ---- ", IF(ABS(ROUND(100/Z69*AA69-100,1))&lt;999,ROUND(100/Z69*AA69-100,1),IF(ROUND(100/Z69*AA69-100,1)&gt;999,999,-999)))</f>
        <v>3.7</v>
      </c>
      <c r="AC69" s="196">
        <v>34.971344540000104</v>
      </c>
      <c r="AD69" s="438"/>
      <c r="AE69" s="340">
        <f>IF(AC69=0, "    ---- ", IF(ABS(ROUND(100/AC69*AD69-100,1))&lt;999,ROUND(100/AC69*AD69-100,1),IF(ROUND(100/AC69*AD69-100,1)&gt;999,999,-999)))</f>
        <v>-100</v>
      </c>
      <c r="AF69" s="196">
        <v>1683.0989999999999</v>
      </c>
      <c r="AG69" s="438">
        <v>1054.3440000000001</v>
      </c>
      <c r="AH69" s="340">
        <f t="shared" si="53"/>
        <v>-37.4</v>
      </c>
      <c r="AI69" s="196">
        <v>12271</v>
      </c>
      <c r="AJ69" s="438">
        <v>12035</v>
      </c>
      <c r="AK69" s="340">
        <f t="shared" si="54"/>
        <v>-1.9</v>
      </c>
      <c r="AL69" s="196">
        <v>-20</v>
      </c>
      <c r="AM69" s="438">
        <v>-53</v>
      </c>
      <c r="AN69" s="340">
        <f t="shared" si="67"/>
        <v>165</v>
      </c>
      <c r="AO69" s="526">
        <f t="shared" si="68"/>
        <v>72759.559318030006</v>
      </c>
      <c r="AP69" s="526">
        <f t="shared" si="68"/>
        <v>71232.068753600004</v>
      </c>
      <c r="AQ69" s="340">
        <f t="shared" si="47"/>
        <v>-2.1</v>
      </c>
      <c r="AR69" s="526">
        <f t="shared" si="69"/>
        <v>72883.613639570001</v>
      </c>
      <c r="AS69" s="526">
        <f t="shared" si="69"/>
        <v>71179.068753600004</v>
      </c>
      <c r="AT69" s="439">
        <f t="shared" si="49"/>
        <v>-2.2999999999999998</v>
      </c>
    </row>
    <row r="70" spans="1:46" s="451" customFormat="1" ht="20.100000000000001" customHeight="1" x14ac:dyDescent="0.3">
      <c r="A70" s="580" t="s">
        <v>231</v>
      </c>
      <c r="B70" s="196">
        <v>8.0370000000000008</v>
      </c>
      <c r="C70" s="438"/>
      <c r="D70" s="340"/>
      <c r="E70" s="196">
        <v>929.41688958999998</v>
      </c>
      <c r="F70" s="438">
        <v>1128.2033292399999</v>
      </c>
      <c r="G70" s="340">
        <f>IF(E70=0, "    ---- ", IF(ABS(ROUND(100/E70*F70-100,1))&lt;999,ROUND(100/E70*F70-100,1),IF(ROUND(100/E70*F70-100,1)&gt;999,999,-999)))</f>
        <v>21.4</v>
      </c>
      <c r="H70" s="196"/>
      <c r="I70" s="438"/>
      <c r="J70" s="340"/>
      <c r="K70" s="196">
        <v>44.459000000000003</v>
      </c>
      <c r="L70" s="438">
        <v>26.335999999999999</v>
      </c>
      <c r="M70" s="340">
        <f>IF(K70=0, "    ---- ", IF(ABS(ROUND(100/K70*L70-100,1))&lt;999,ROUND(100/K70*L70-100,1),IF(ROUND(100/K70*L70-100,1)&gt;999,999,-999)))</f>
        <v>-40.799999999999997</v>
      </c>
      <c r="N70" s="196">
        <v>39</v>
      </c>
      <c r="O70" s="438">
        <v>46</v>
      </c>
      <c r="P70" s="340">
        <f>IF(N70=0, "    ---- ", IF(ABS(ROUND(100/N70*O70-100,1))&lt;999,ROUND(100/N70*O70-100,1),IF(ROUND(100/N70*O70-100,1)&gt;999,999,-999)))</f>
        <v>17.899999999999999</v>
      </c>
      <c r="Q70" s="196"/>
      <c r="R70" s="438"/>
      <c r="S70" s="340"/>
      <c r="T70" s="196">
        <v>4887.1478652100004</v>
      </c>
      <c r="U70" s="438">
        <v>4758.8973802099999</v>
      </c>
      <c r="V70" s="340">
        <f t="shared" si="66"/>
        <v>-2.6</v>
      </c>
      <c r="W70" s="196">
        <v>133.5</v>
      </c>
      <c r="X70" s="438">
        <v>223.42</v>
      </c>
      <c r="Y70" s="340">
        <f t="shared" si="51"/>
        <v>67.400000000000006</v>
      </c>
      <c r="Z70" s="196"/>
      <c r="AA70" s="438"/>
      <c r="AB70" s="340"/>
      <c r="AC70" s="196"/>
      <c r="AD70" s="438"/>
      <c r="AE70" s="340"/>
      <c r="AF70" s="196">
        <v>238.78899999999999</v>
      </c>
      <c r="AG70" s="438">
        <v>272.86</v>
      </c>
      <c r="AH70" s="340">
        <f>IF(AF70=0, "    ---- ", IF(ABS(ROUND(100/AF70*AG70-100,1))&lt;999,ROUND(100/AF70*AG70-100,1),IF(ROUND(100/AF70*AG70-100,1)&gt;999,999,-999)))</f>
        <v>14.3</v>
      </c>
      <c r="AI70" s="196">
        <v>620</v>
      </c>
      <c r="AJ70" s="438">
        <v>888</v>
      </c>
      <c r="AK70" s="340">
        <f t="shared" si="54"/>
        <v>43.2</v>
      </c>
      <c r="AL70" s="196"/>
      <c r="AM70" s="438"/>
      <c r="AN70" s="340"/>
      <c r="AO70" s="526">
        <f t="shared" si="68"/>
        <v>6900.3497548000005</v>
      </c>
      <c r="AP70" s="526">
        <f t="shared" si="68"/>
        <v>7343.7167094499991</v>
      </c>
      <c r="AQ70" s="340">
        <f t="shared" si="47"/>
        <v>6.4</v>
      </c>
      <c r="AR70" s="526">
        <f t="shared" si="69"/>
        <v>6900.3497548000005</v>
      </c>
      <c r="AS70" s="526">
        <f t="shared" si="69"/>
        <v>7343.7167094499991</v>
      </c>
      <c r="AT70" s="439">
        <f t="shared" si="49"/>
        <v>6.4</v>
      </c>
    </row>
    <row r="71" spans="1:46" s="451" customFormat="1" ht="20.100000000000001" customHeight="1" x14ac:dyDescent="0.3">
      <c r="A71" s="580" t="s">
        <v>232</v>
      </c>
      <c r="B71" s="196"/>
      <c r="C71" s="438"/>
      <c r="D71" s="340"/>
      <c r="E71" s="196">
        <v>7000</v>
      </c>
      <c r="F71" s="438">
        <v>7000</v>
      </c>
      <c r="G71" s="340">
        <f t="shared" si="45"/>
        <v>0</v>
      </c>
      <c r="H71" s="196">
        <v>550</v>
      </c>
      <c r="I71" s="438">
        <v>550</v>
      </c>
      <c r="J71" s="340">
        <f>IF(H71=0, "    ---- ", IF(ABS(ROUND(100/H71*I71-100,1))&lt;999,ROUND(100/H71*I71-100,1),IF(ROUND(100/H71*I71-100,1)&gt;999,999,-999)))</f>
        <v>0</v>
      </c>
      <c r="K71" s="196"/>
      <c r="L71" s="438"/>
      <c r="M71" s="340"/>
      <c r="N71" s="196">
        <v>300</v>
      </c>
      <c r="O71" s="438">
        <v>301</v>
      </c>
      <c r="P71" s="340">
        <f>IF(N71=0, "    ---- ", IF(ABS(ROUND(100/N71*O71-100,1))&lt;999,ROUND(100/N71*O71-100,1),IF(ROUND(100/N71*O71-100,1)&gt;999,999,-999)))</f>
        <v>0.3</v>
      </c>
      <c r="Q71" s="196"/>
      <c r="R71" s="438"/>
      <c r="S71" s="340"/>
      <c r="T71" s="196">
        <v>4444.4230759700004</v>
      </c>
      <c r="U71" s="438">
        <v>5087.9395633300001</v>
      </c>
      <c r="V71" s="340">
        <f t="shared" si="66"/>
        <v>14.5</v>
      </c>
      <c r="W71" s="196">
        <v>2830</v>
      </c>
      <c r="X71" s="438">
        <v>2830</v>
      </c>
      <c r="Y71" s="340">
        <f t="shared" si="51"/>
        <v>0</v>
      </c>
      <c r="Z71" s="196">
        <v>1240</v>
      </c>
      <c r="AA71" s="438">
        <v>1240</v>
      </c>
      <c r="AB71" s="340">
        <f>IF(Z71=0, "    ---- ", IF(ABS(ROUND(100/Z71*AA71-100,1))&lt;999,ROUND(100/Z71*AA71-100,1),IF(ROUND(100/Z71*AA71-100,1)&gt;999,999,-999)))</f>
        <v>0</v>
      </c>
      <c r="AC71" s="196"/>
      <c r="AD71" s="438"/>
      <c r="AE71" s="340"/>
      <c r="AF71" s="196">
        <v>0</v>
      </c>
      <c r="AG71" s="438">
        <v>0</v>
      </c>
      <c r="AH71" s="340" t="str">
        <f t="shared" si="53"/>
        <v xml:space="preserve">    ---- </v>
      </c>
      <c r="AI71" s="196">
        <v>10354</v>
      </c>
      <c r="AJ71" s="438">
        <v>10233</v>
      </c>
      <c r="AK71" s="340">
        <f t="shared" si="54"/>
        <v>-1.2</v>
      </c>
      <c r="AL71" s="196"/>
      <c r="AM71" s="438"/>
      <c r="AN71" s="340"/>
      <c r="AO71" s="526">
        <f t="shared" si="68"/>
        <v>26718.42307597</v>
      </c>
      <c r="AP71" s="526">
        <f t="shared" si="68"/>
        <v>27241.939563330001</v>
      </c>
      <c r="AQ71" s="340">
        <f t="shared" si="47"/>
        <v>2</v>
      </c>
      <c r="AR71" s="526">
        <f t="shared" si="69"/>
        <v>26718.42307597</v>
      </c>
      <c r="AS71" s="526">
        <f t="shared" si="69"/>
        <v>27241.939563330001</v>
      </c>
      <c r="AT71" s="439">
        <f t="shared" si="49"/>
        <v>2</v>
      </c>
    </row>
    <row r="72" spans="1:46" s="451" customFormat="1" ht="20.100000000000001" customHeight="1" x14ac:dyDescent="0.3">
      <c r="A72" s="580" t="s">
        <v>233</v>
      </c>
      <c r="B72" s="196"/>
      <c r="C72" s="438"/>
      <c r="D72" s="340"/>
      <c r="E72" s="196"/>
      <c r="F72" s="438"/>
      <c r="G72" s="340"/>
      <c r="H72" s="196"/>
      <c r="I72" s="438"/>
      <c r="J72" s="340"/>
      <c r="K72" s="196"/>
      <c r="L72" s="438"/>
      <c r="M72" s="340"/>
      <c r="N72" s="196"/>
      <c r="O72" s="438"/>
      <c r="P72" s="434"/>
      <c r="Q72" s="196"/>
      <c r="R72" s="438"/>
      <c r="S72" s="340"/>
      <c r="T72" s="196"/>
      <c r="U72" s="438"/>
      <c r="V72" s="340"/>
      <c r="W72" s="196"/>
      <c r="X72" s="438"/>
      <c r="Y72" s="340"/>
      <c r="Z72" s="196"/>
      <c r="AA72" s="438"/>
      <c r="AB72" s="340"/>
      <c r="AC72" s="196"/>
      <c r="AD72" s="438"/>
      <c r="AE72" s="340"/>
      <c r="AF72" s="196"/>
      <c r="AG72" s="438"/>
      <c r="AH72" s="340"/>
      <c r="AI72" s="196"/>
      <c r="AJ72" s="438"/>
      <c r="AK72" s="340"/>
      <c r="AL72" s="196"/>
      <c r="AM72" s="438"/>
      <c r="AN72" s="340"/>
      <c r="AO72" s="434"/>
      <c r="AP72" s="434"/>
      <c r="AQ72" s="340"/>
      <c r="AR72" s="434"/>
      <c r="AS72" s="434"/>
      <c r="AT72" s="439"/>
    </row>
    <row r="73" spans="1:46" s="451" customFormat="1" ht="20.100000000000001" customHeight="1" x14ac:dyDescent="0.3">
      <c r="A73" s="580" t="s">
        <v>378</v>
      </c>
      <c r="B73" s="196">
        <v>1203.9000000000001</v>
      </c>
      <c r="C73" s="438"/>
      <c r="D73" s="340">
        <f>IF(B73=0, "    ---- ", IF(ABS(ROUND(100/B73*C73-100,1))&lt;999,ROUND(100/B73*C73-100,1),IF(ROUND(100/B73*C73-100,1)&gt;999,999,-999)))</f>
        <v>-100</v>
      </c>
      <c r="E73" s="196">
        <v>185312.63040635001</v>
      </c>
      <c r="F73" s="438">
        <v>180203.05723000001</v>
      </c>
      <c r="G73" s="340">
        <f t="shared" si="45"/>
        <v>-2.8</v>
      </c>
      <c r="H73" s="196">
        <v>7753.4712186999996</v>
      </c>
      <c r="I73" s="438">
        <v>8417.4078186099996</v>
      </c>
      <c r="J73" s="340">
        <f>IF(H73=0, "    ---- ", IF(ABS(ROUND(100/H73*I73-100,1))&lt;999,ROUND(100/H73*I73-100,1),IF(ROUND(100/H73*I73-100,1)&gt;999,999,-999)))</f>
        <v>8.6</v>
      </c>
      <c r="K73" s="196">
        <v>1716.5940000000001</v>
      </c>
      <c r="L73" s="438">
        <v>2030.998</v>
      </c>
      <c r="M73" s="340">
        <f>IF(K73=0, "    ---- ", IF(ABS(ROUND(100/K73*L73-100,1))&lt;999,ROUND(100/K73*L73-100,1),IF(ROUND(100/K73*L73-100,1)&gt;999,999,-999)))</f>
        <v>18.3</v>
      </c>
      <c r="N73" s="196">
        <v>8117</v>
      </c>
      <c r="O73" s="438">
        <v>8826</v>
      </c>
      <c r="P73" s="434">
        <f>IF(N73=0, "    ---- ", IF(ABS(ROUND(100/N73*O73-100,1))&lt;999,ROUND(100/N73*O73-100,1),IF(ROUND(100/N73*O73-100,1)&gt;999,999,-999)))</f>
        <v>8.6999999999999993</v>
      </c>
      <c r="Q73" s="196">
        <v>41.207251999999997</v>
      </c>
      <c r="R73" s="438"/>
      <c r="S73" s="340">
        <f>IF(Q73=0, "    ---- ", IF(ABS(ROUND(100/Q73*R73-100,1))&lt;999,ROUND(100/Q73*R73-100,1),IF(ROUND(100/Q73*R73-100,1)&gt;999,999,-999)))</f>
        <v>-100</v>
      </c>
      <c r="T73" s="196">
        <v>483154.23521393002</v>
      </c>
      <c r="U73" s="438">
        <v>518259.39983327</v>
      </c>
      <c r="V73" s="340">
        <f t="shared" si="66"/>
        <v>7.3</v>
      </c>
      <c r="W73" s="196">
        <v>48506.19</v>
      </c>
      <c r="X73" s="438">
        <v>48444.05</v>
      </c>
      <c r="Y73" s="340">
        <f t="shared" si="51"/>
        <v>-0.1</v>
      </c>
      <c r="Z73" s="196">
        <v>72659</v>
      </c>
      <c r="AA73" s="438">
        <v>78562</v>
      </c>
      <c r="AB73" s="340">
        <f>IF(Z73=0, "    ---- ", IF(ABS(ROUND(100/Z73*AA73-100,1))&lt;999,ROUND(100/Z73*AA73-100,1),IF(ROUND(100/Z73*AA73-100,1)&gt;999,999,-999)))</f>
        <v>8.1</v>
      </c>
      <c r="AC73" s="196"/>
      <c r="AD73" s="438"/>
      <c r="AE73" s="340"/>
      <c r="AF73" s="196">
        <v>18850.142</v>
      </c>
      <c r="AG73" s="438">
        <v>19227.59</v>
      </c>
      <c r="AH73" s="340">
        <f t="shared" si="53"/>
        <v>2</v>
      </c>
      <c r="AI73" s="196">
        <v>184546</v>
      </c>
      <c r="AJ73" s="438">
        <v>188717</v>
      </c>
      <c r="AK73" s="340">
        <f t="shared" si="54"/>
        <v>2.2999999999999998</v>
      </c>
      <c r="AL73" s="196">
        <v>1</v>
      </c>
      <c r="AM73" s="438">
        <v>9</v>
      </c>
      <c r="AN73" s="340">
        <f t="shared" ref="AN73" si="70">IF(AL73=0, "    ---- ", IF(ABS(ROUND(100/AL73*AM73-100,1))&lt;999,ROUND(100/AL73*AM73-100,1),IF(ROUND(100/AL73*AM73-100,1)&gt;999,999,-999)))</f>
        <v>800</v>
      </c>
      <c r="AO73" s="526">
        <f t="shared" ref="AO73:AP76" si="71">B73+E73+H73+K73+N73+T73+W73+Z73+AF73+AI73</f>
        <v>1011819.1628389801</v>
      </c>
      <c r="AP73" s="526">
        <f t="shared" si="71"/>
        <v>1052687.5028818799</v>
      </c>
      <c r="AQ73" s="340">
        <f t="shared" si="47"/>
        <v>4</v>
      </c>
      <c r="AR73" s="526">
        <f t="shared" ref="AR73:AS76" si="72">B73+E73+H73+K73+N73+Q73+T73+W73+Z73+AC73+AF73+AI73+AL73</f>
        <v>1011861.3700909801</v>
      </c>
      <c r="AS73" s="526">
        <f t="shared" si="72"/>
        <v>1052696.5028818799</v>
      </c>
      <c r="AT73" s="439">
        <f t="shared" si="49"/>
        <v>4</v>
      </c>
    </row>
    <row r="74" spans="1:46" s="451" customFormat="1" ht="20.100000000000001" customHeight="1" x14ac:dyDescent="0.3">
      <c r="A74" s="580" t="s">
        <v>234</v>
      </c>
      <c r="B74" s="196">
        <v>29.308</v>
      </c>
      <c r="C74" s="438"/>
      <c r="D74" s="340">
        <f>IF(B74=0, "    ---- ", IF(ABS(ROUND(100/B74*C74-100,1))&lt;999,ROUND(100/B74*C74-100,1),IF(ROUND(100/B74*C74-100,1)&gt;999,999,-999)))</f>
        <v>-100</v>
      </c>
      <c r="E74" s="196">
        <v>7337.4223241099999</v>
      </c>
      <c r="F74" s="438">
        <v>5545.2387018599993</v>
      </c>
      <c r="G74" s="340">
        <f t="shared" si="45"/>
        <v>-24.4</v>
      </c>
      <c r="H74" s="196"/>
      <c r="I74" s="438"/>
      <c r="J74" s="340"/>
      <c r="K74" s="196">
        <v>4.66</v>
      </c>
      <c r="L74" s="438">
        <v>6.1800000000000001E-2</v>
      </c>
      <c r="M74" s="340">
        <f>IF(K74=0, "    ---- ", IF(ABS(ROUND(100/K74*L74-100,1))&lt;999,ROUND(100/K74*L74-100,1),IF(ROUND(100/K74*L74-100,1)&gt;999,999,-999)))</f>
        <v>-98.7</v>
      </c>
      <c r="N74" s="196">
        <v>333</v>
      </c>
      <c r="O74" s="438">
        <v>264</v>
      </c>
      <c r="P74" s="434">
        <f>IF(N74=0, "    ---- ", IF(ABS(ROUND(100/N74*O74-100,1))&lt;999,ROUND(100/N74*O74-100,1),IF(ROUND(100/N74*O74-100,1)&gt;999,999,-999)))</f>
        <v>-20.7</v>
      </c>
      <c r="Q74" s="196"/>
      <c r="R74" s="438"/>
      <c r="S74" s="340"/>
      <c r="T74" s="196">
        <v>117604.62277491001</v>
      </c>
      <c r="U74" s="438"/>
      <c r="V74" s="340">
        <f t="shared" si="66"/>
        <v>-100</v>
      </c>
      <c r="W74" s="196">
        <v>3784.09</v>
      </c>
      <c r="X74" s="438">
        <v>3841.93</v>
      </c>
      <c r="Y74" s="340">
        <f t="shared" si="51"/>
        <v>1.5</v>
      </c>
      <c r="Z74" s="196"/>
      <c r="AA74" s="438"/>
      <c r="AB74" s="340"/>
      <c r="AC74" s="196"/>
      <c r="AD74" s="438"/>
      <c r="AE74" s="340"/>
      <c r="AF74" s="196">
        <v>1406.885</v>
      </c>
      <c r="AG74" s="438">
        <v>1057.0050000000001</v>
      </c>
      <c r="AH74" s="340">
        <f t="shared" si="53"/>
        <v>-24.9</v>
      </c>
      <c r="AI74" s="196">
        <v>14250</v>
      </c>
      <c r="AJ74" s="438">
        <v>9414</v>
      </c>
      <c r="AK74" s="340">
        <f t="shared" si="54"/>
        <v>-33.9</v>
      </c>
      <c r="AL74" s="196"/>
      <c r="AM74" s="438"/>
      <c r="AN74" s="340"/>
      <c r="AO74" s="526">
        <f t="shared" si="71"/>
        <v>144749.98809902</v>
      </c>
      <c r="AP74" s="526">
        <f t="shared" si="71"/>
        <v>20122.235501859999</v>
      </c>
      <c r="AQ74" s="340">
        <f t="shared" si="47"/>
        <v>-86.1</v>
      </c>
      <c r="AR74" s="526">
        <f t="shared" si="72"/>
        <v>144749.98809902</v>
      </c>
      <c r="AS74" s="526">
        <f t="shared" si="72"/>
        <v>20122.235501859999</v>
      </c>
      <c r="AT74" s="439">
        <f t="shared" si="49"/>
        <v>-86.1</v>
      </c>
    </row>
    <row r="75" spans="1:46" s="451" customFormat="1" ht="20.100000000000001" customHeight="1" x14ac:dyDescent="0.3">
      <c r="A75" s="580" t="s">
        <v>235</v>
      </c>
      <c r="B75" s="196">
        <v>64.567999999999998</v>
      </c>
      <c r="C75" s="438"/>
      <c r="D75" s="340">
        <f>IF(B75=0, "    ---- ", IF(ABS(ROUND(100/B75*C75-100,1))&lt;999,ROUND(100/B75*C75-100,1),IF(ROUND(100/B75*C75-100,1)&gt;999,999,-999)))</f>
        <v>-100</v>
      </c>
      <c r="E75" s="196">
        <v>1011.9052699700001</v>
      </c>
      <c r="F75" s="438">
        <v>1743.1575301400001</v>
      </c>
      <c r="G75" s="340">
        <f t="shared" si="45"/>
        <v>72.3</v>
      </c>
      <c r="H75" s="196"/>
      <c r="I75" s="438">
        <v>69.410729529999998</v>
      </c>
      <c r="J75" s="340" t="str">
        <f>IF(H75=0, "    ---- ", IF(ABS(ROUND(100/H75*I75-100,1))&lt;999,ROUND(100/H75*I75-100,1),IF(ROUND(100/H75*I75-100,1)&gt;999,999,-999)))</f>
        <v xml:space="preserve">    ---- </v>
      </c>
      <c r="K75" s="196"/>
      <c r="L75" s="438"/>
      <c r="M75" s="340"/>
      <c r="N75" s="196">
        <v>1</v>
      </c>
      <c r="O75" s="438">
        <v>0</v>
      </c>
      <c r="P75" s="434">
        <f>IF(N75=0, "    ---- ", IF(ABS(ROUND(100/N75*O75-100,1))&lt;999,ROUND(100/N75*O75-100,1),IF(ROUND(100/N75*O75-100,1)&gt;999,999,-999)))</f>
        <v>-100</v>
      </c>
      <c r="Q75" s="196"/>
      <c r="R75" s="438"/>
      <c r="S75" s="340"/>
      <c r="T75" s="196">
        <v>1E-8</v>
      </c>
      <c r="U75" s="438">
        <v>1E-8</v>
      </c>
      <c r="V75" s="340">
        <f t="shared" si="66"/>
        <v>0</v>
      </c>
      <c r="W75" s="196">
        <v>2962.93</v>
      </c>
      <c r="X75" s="438">
        <v>1758.3</v>
      </c>
      <c r="Y75" s="340">
        <f t="shared" si="51"/>
        <v>-40.700000000000003</v>
      </c>
      <c r="Z75" s="196"/>
      <c r="AA75" s="438"/>
      <c r="AB75" s="340"/>
      <c r="AC75" s="196"/>
      <c r="AD75" s="438"/>
      <c r="AE75" s="340"/>
      <c r="AF75" s="196">
        <v>2352.1770000000001</v>
      </c>
      <c r="AG75" s="438">
        <v>2376.3110000000001</v>
      </c>
      <c r="AH75" s="340">
        <f t="shared" si="53"/>
        <v>1</v>
      </c>
      <c r="AI75" s="196">
        <v>1977</v>
      </c>
      <c r="AJ75" s="438">
        <v>1620</v>
      </c>
      <c r="AK75" s="340">
        <f t="shared" si="54"/>
        <v>-18.100000000000001</v>
      </c>
      <c r="AL75" s="196"/>
      <c r="AM75" s="438"/>
      <c r="AN75" s="340"/>
      <c r="AO75" s="526">
        <f t="shared" si="71"/>
        <v>8369.5802699800006</v>
      </c>
      <c r="AP75" s="526">
        <f t="shared" si="71"/>
        <v>7567.1792596800005</v>
      </c>
      <c r="AQ75" s="340">
        <f t="shared" si="47"/>
        <v>-9.6</v>
      </c>
      <c r="AR75" s="526">
        <f t="shared" si="72"/>
        <v>8369.5802699800006</v>
      </c>
      <c r="AS75" s="526">
        <f t="shared" si="72"/>
        <v>7567.1792596800005</v>
      </c>
      <c r="AT75" s="439">
        <f t="shared" si="49"/>
        <v>-9.6</v>
      </c>
    </row>
    <row r="76" spans="1:46" s="451" customFormat="1" ht="20.100000000000001" customHeight="1" x14ac:dyDescent="0.3">
      <c r="A76" s="580" t="s">
        <v>417</v>
      </c>
      <c r="B76" s="196"/>
      <c r="C76" s="438"/>
      <c r="D76" s="340"/>
      <c r="E76" s="196"/>
      <c r="F76" s="438"/>
      <c r="G76" s="340"/>
      <c r="H76" s="196"/>
      <c r="I76" s="438"/>
      <c r="J76" s="340"/>
      <c r="K76" s="196"/>
      <c r="L76" s="438"/>
      <c r="M76" s="340"/>
      <c r="N76" s="196"/>
      <c r="O76" s="438"/>
      <c r="P76" s="434"/>
      <c r="Q76" s="196"/>
      <c r="R76" s="438"/>
      <c r="S76" s="340"/>
      <c r="T76" s="196"/>
      <c r="U76" s="438">
        <v>32045.36846609</v>
      </c>
      <c r="V76" s="340" t="str">
        <f t="shared" si="66"/>
        <v xml:space="preserve">    ---- </v>
      </c>
      <c r="W76" s="196"/>
      <c r="X76" s="438"/>
      <c r="Y76" s="340"/>
      <c r="Z76" s="196"/>
      <c r="AA76" s="438">
        <v>27647</v>
      </c>
      <c r="AB76" s="340" t="str">
        <f t="shared" ref="AB76:AB79" si="73">IF(Z76=0, "    ---- ", IF(ABS(ROUND(100/Z76*AA76-100,1))&lt;999,ROUND(100/Z76*AA76-100,1),IF(ROUND(100/Z76*AA76-100,1)&gt;999,999,-999)))</f>
        <v xml:space="preserve">    ---- </v>
      </c>
      <c r="AC76" s="196"/>
      <c r="AD76" s="438"/>
      <c r="AE76" s="340"/>
      <c r="AF76" s="196"/>
      <c r="AG76" s="438"/>
      <c r="AH76" s="340"/>
      <c r="AI76" s="196"/>
      <c r="AJ76" s="438">
        <v>1685</v>
      </c>
      <c r="AK76" s="340" t="str">
        <f t="shared" si="54"/>
        <v xml:space="preserve">    ---- </v>
      </c>
      <c r="AL76" s="196"/>
      <c r="AM76" s="438"/>
      <c r="AN76" s="340"/>
      <c r="AO76" s="526">
        <f t="shared" si="71"/>
        <v>0</v>
      </c>
      <c r="AP76" s="526">
        <f t="shared" si="71"/>
        <v>61377.368466090003</v>
      </c>
      <c r="AQ76" s="340" t="str">
        <f t="shared" ref="AQ76" si="74">IF(AO76=0, "    ---- ", IF(ABS(ROUND(100/AO76*AP76-100,1))&lt;999,ROUND(100/AO76*AP76-100,1),IF(ROUND(100/AO76*AP76-100,1)&gt;999,999,-999)))</f>
        <v xml:space="preserve">    ---- </v>
      </c>
      <c r="AR76" s="526">
        <f t="shared" si="72"/>
        <v>0</v>
      </c>
      <c r="AS76" s="526">
        <f t="shared" si="72"/>
        <v>61377.368466090003</v>
      </c>
      <c r="AT76" s="439"/>
    </row>
    <row r="77" spans="1:46" s="451" customFormat="1" ht="20.100000000000001" customHeight="1" x14ac:dyDescent="0.3">
      <c r="A77" s="580" t="s">
        <v>418</v>
      </c>
      <c r="B77" s="196">
        <v>15.632</v>
      </c>
      <c r="C77" s="438"/>
      <c r="D77" s="340">
        <f>IF(B77=0, "    ---- ", IF(ABS(ROUND(100/B77*C77-100,1))&lt;999,ROUND(100/B77*C77-100,1),IF(ROUND(100/B77*C77-100,1)&gt;999,999,-999)))</f>
        <v>-100</v>
      </c>
      <c r="E77" s="196">
        <v>0</v>
      </c>
      <c r="F77" s="438">
        <v>402.01953037999999</v>
      </c>
      <c r="G77" s="340" t="str">
        <f t="shared" si="45"/>
        <v xml:space="preserve">    ---- </v>
      </c>
      <c r="H77" s="196"/>
      <c r="I77" s="438"/>
      <c r="J77" s="340"/>
      <c r="K77" s="196"/>
      <c r="L77" s="438"/>
      <c r="M77" s="340"/>
      <c r="N77" s="196">
        <v>1</v>
      </c>
      <c r="O77" s="438">
        <v>5</v>
      </c>
      <c r="P77" s="340">
        <f>IF(N77=0, "    ---- ", IF(ABS(ROUND(100/N77*O77-100,1))&lt;999,ROUND(100/N77*O77-100,1),IF(ROUND(100/N77*O77-100,1)&gt;999,999,-999)))</f>
        <v>400</v>
      </c>
      <c r="Q77" s="196"/>
      <c r="R77" s="438"/>
      <c r="S77" s="340"/>
      <c r="T77" s="196">
        <v>40322.631527089994</v>
      </c>
      <c r="U77" s="438">
        <v>0</v>
      </c>
      <c r="V77" s="340">
        <f t="shared" si="66"/>
        <v>-100</v>
      </c>
      <c r="W77" s="196">
        <v>822.08</v>
      </c>
      <c r="X77" s="438">
        <v>943.33</v>
      </c>
      <c r="Y77" s="340">
        <f t="shared" si="51"/>
        <v>14.7</v>
      </c>
      <c r="Z77" s="196">
        <v>9393</v>
      </c>
      <c r="AA77" s="438">
        <v>7398</v>
      </c>
      <c r="AB77" s="340">
        <f t="shared" si="73"/>
        <v>-21.2</v>
      </c>
      <c r="AC77" s="196"/>
      <c r="AD77" s="438"/>
      <c r="AE77" s="340"/>
      <c r="AF77" s="196">
        <v>419.94799999999998</v>
      </c>
      <c r="AG77" s="438">
        <v>345.21600000000001</v>
      </c>
      <c r="AH77" s="340">
        <f t="shared" si="53"/>
        <v>-17.8</v>
      </c>
      <c r="AI77" s="196">
        <v>3729</v>
      </c>
      <c r="AJ77" s="438">
        <v>3570</v>
      </c>
      <c r="AK77" s="340">
        <f t="shared" si="54"/>
        <v>-4.3</v>
      </c>
      <c r="AL77" s="196"/>
      <c r="AM77" s="438"/>
      <c r="AN77" s="340"/>
      <c r="AO77" s="526">
        <f t="shared" ref="AO77:AP80" si="75">B77+E77+H77+K77+N77+T77+W77+Z77+AF77+AI77</f>
        <v>54703.29152708999</v>
      </c>
      <c r="AP77" s="526">
        <f t="shared" si="75"/>
        <v>12663.565530380001</v>
      </c>
      <c r="AQ77" s="340">
        <f t="shared" si="47"/>
        <v>-76.900000000000006</v>
      </c>
      <c r="AR77" s="526">
        <f t="shared" ref="AR77:AS80" si="76">B77+E77+H77+K77+N77+Q77+T77+W77+Z77+AC77+AF77+AI77+AL77</f>
        <v>54703.29152708999</v>
      </c>
      <c r="AS77" s="526">
        <f t="shared" si="76"/>
        <v>12663.565530380001</v>
      </c>
      <c r="AT77" s="439">
        <f t="shared" si="49"/>
        <v>-76.900000000000006</v>
      </c>
    </row>
    <row r="78" spans="1:46" s="451" customFormat="1" ht="20.100000000000001" customHeight="1" x14ac:dyDescent="0.3">
      <c r="A78" s="580" t="s">
        <v>419</v>
      </c>
      <c r="B78" s="196">
        <v>44.953000000000003</v>
      </c>
      <c r="C78" s="438"/>
      <c r="D78" s="340">
        <f>IF(B78=0, "    ---- ", IF(ABS(ROUND(100/B78*C78-100,1))&lt;999,ROUND(100/B78*C78-100,1),IF(ROUND(100/B78*C78-100,1)&gt;999,999,-999)))</f>
        <v>-100</v>
      </c>
      <c r="E78" s="196">
        <v>427.20976020999996</v>
      </c>
      <c r="F78" s="438">
        <v>3185.3185392800001</v>
      </c>
      <c r="G78" s="340">
        <f t="shared" si="45"/>
        <v>645.6</v>
      </c>
      <c r="H78" s="196"/>
      <c r="I78" s="438"/>
      <c r="J78" s="340"/>
      <c r="K78" s="196"/>
      <c r="L78" s="438"/>
      <c r="M78" s="340"/>
      <c r="N78" s="196"/>
      <c r="O78" s="438"/>
      <c r="P78" s="434"/>
      <c r="Q78" s="196"/>
      <c r="R78" s="438"/>
      <c r="S78" s="340"/>
      <c r="T78" s="196">
        <v>0</v>
      </c>
      <c r="U78" s="438">
        <v>102145.58787619999</v>
      </c>
      <c r="V78" s="340" t="str">
        <f t="shared" si="66"/>
        <v xml:space="preserve">    ---- </v>
      </c>
      <c r="W78" s="196">
        <v>0</v>
      </c>
      <c r="X78" s="438">
        <v>0</v>
      </c>
      <c r="Y78" s="340" t="str">
        <f t="shared" si="51"/>
        <v xml:space="preserve">    ---- </v>
      </c>
      <c r="Z78" s="196">
        <v>438</v>
      </c>
      <c r="AA78" s="438">
        <v>406</v>
      </c>
      <c r="AB78" s="340">
        <f t="shared" si="73"/>
        <v>-7.3</v>
      </c>
      <c r="AC78" s="196"/>
      <c r="AD78" s="438"/>
      <c r="AE78" s="340"/>
      <c r="AF78" s="196"/>
      <c r="AG78" s="438"/>
      <c r="AH78" s="340"/>
      <c r="AI78" s="196">
        <v>712</v>
      </c>
      <c r="AJ78" s="438">
        <v>789</v>
      </c>
      <c r="AK78" s="340">
        <f t="shared" si="54"/>
        <v>10.8</v>
      </c>
      <c r="AL78" s="196"/>
      <c r="AM78" s="438"/>
      <c r="AN78" s="340"/>
      <c r="AO78" s="526">
        <f t="shared" si="75"/>
        <v>1622.16276021</v>
      </c>
      <c r="AP78" s="526">
        <f t="shared" si="75"/>
        <v>106525.90641547999</v>
      </c>
      <c r="AQ78" s="340">
        <f t="shared" si="47"/>
        <v>999</v>
      </c>
      <c r="AR78" s="526">
        <f t="shared" si="76"/>
        <v>1622.16276021</v>
      </c>
      <c r="AS78" s="526">
        <f t="shared" si="76"/>
        <v>106525.90641547999</v>
      </c>
      <c r="AT78" s="439">
        <f t="shared" si="49"/>
        <v>999</v>
      </c>
    </row>
    <row r="79" spans="1:46" s="451" customFormat="1" ht="20.100000000000001" customHeight="1" x14ac:dyDescent="0.3">
      <c r="A79" s="580" t="s">
        <v>236</v>
      </c>
      <c r="B79" s="196"/>
      <c r="C79" s="438"/>
      <c r="D79" s="340"/>
      <c r="E79" s="196">
        <v>2889.7928328400003</v>
      </c>
      <c r="F79" s="438"/>
      <c r="G79" s="340"/>
      <c r="H79" s="196"/>
      <c r="I79" s="438"/>
      <c r="J79" s="340"/>
      <c r="K79" s="196"/>
      <c r="L79" s="438"/>
      <c r="M79" s="340"/>
      <c r="N79" s="196">
        <v>19</v>
      </c>
      <c r="O79" s="438"/>
      <c r="P79" s="434"/>
      <c r="Q79" s="196"/>
      <c r="R79" s="438"/>
      <c r="S79" s="340"/>
      <c r="T79" s="196">
        <v>104.22051399999999</v>
      </c>
      <c r="U79" s="438">
        <v>13114.15438</v>
      </c>
      <c r="V79" s="340">
        <f t="shared" si="66"/>
        <v>999</v>
      </c>
      <c r="W79" s="196"/>
      <c r="X79" s="438"/>
      <c r="Y79" s="340"/>
      <c r="Z79" s="196">
        <v>28948</v>
      </c>
      <c r="AA79" s="438">
        <v>2145</v>
      </c>
      <c r="AB79" s="340">
        <f t="shared" si="73"/>
        <v>-92.6</v>
      </c>
      <c r="AC79" s="196"/>
      <c r="AD79" s="438"/>
      <c r="AE79" s="340"/>
      <c r="AF79" s="196">
        <v>201.6431726900002</v>
      </c>
      <c r="AG79" s="438">
        <v>66.583988610000205</v>
      </c>
      <c r="AH79" s="340">
        <f t="shared" si="53"/>
        <v>-67</v>
      </c>
      <c r="AI79" s="196">
        <v>92</v>
      </c>
      <c r="AJ79" s="438">
        <v>162</v>
      </c>
      <c r="AK79" s="340">
        <f t="shared" si="54"/>
        <v>76.099999999999994</v>
      </c>
      <c r="AL79" s="196"/>
      <c r="AM79" s="438"/>
      <c r="AN79" s="340"/>
      <c r="AO79" s="526">
        <f t="shared" si="75"/>
        <v>32254.656519530003</v>
      </c>
      <c r="AP79" s="526">
        <f t="shared" si="75"/>
        <v>15487.73836861</v>
      </c>
      <c r="AQ79" s="340">
        <f t="shared" si="47"/>
        <v>-52</v>
      </c>
      <c r="AR79" s="526">
        <f t="shared" si="76"/>
        <v>32254.656519530003</v>
      </c>
      <c r="AS79" s="526">
        <f t="shared" si="76"/>
        <v>15487.73836861</v>
      </c>
      <c r="AT79" s="439">
        <f t="shared" si="49"/>
        <v>-52</v>
      </c>
    </row>
    <row r="80" spans="1:46" s="451" customFormat="1" ht="20.100000000000001" customHeight="1" x14ac:dyDescent="0.3">
      <c r="A80" s="635" t="s">
        <v>237</v>
      </c>
      <c r="B80" s="196">
        <v>1358.3610000000001</v>
      </c>
      <c r="C80" s="438"/>
      <c r="D80" s="340">
        <f>IF(B80=0, "    ---- ", IF(ABS(ROUND(100/B80*C80-100,1))&lt;999,ROUND(100/B80*C80-100,1),IF(ROUND(100/B80*C80-100,1)&gt;999,999,-999)))</f>
        <v>-100</v>
      </c>
      <c r="E80" s="196">
        <v>196978.96059348003</v>
      </c>
      <c r="F80" s="438">
        <f>SUM(F73:F79)</f>
        <v>191078.79153166001</v>
      </c>
      <c r="G80" s="340">
        <f t="shared" si="45"/>
        <v>-3</v>
      </c>
      <c r="H80" s="196">
        <v>7753.4712186999996</v>
      </c>
      <c r="I80" s="438">
        <f>SUM(I73:I79)</f>
        <v>8486.8185481399996</v>
      </c>
      <c r="J80" s="340">
        <f>IF(H80=0, "    ---- ", IF(ABS(ROUND(100/H80*I80-100,1))&lt;999,ROUND(100/H80*I80-100,1),IF(ROUND(100/H80*I80-100,1)&gt;999,999,-999)))</f>
        <v>9.5</v>
      </c>
      <c r="K80" s="196">
        <v>1721.2540000000001</v>
      </c>
      <c r="L80" s="438">
        <f>SUM(L73:L79)</f>
        <v>2031.0598</v>
      </c>
      <c r="M80" s="340">
        <f>IF(K80=0, "    ---- ", IF(ABS(ROUND(100/K80*L80-100,1))&lt;999,ROUND(100/K80*L80-100,1),IF(ROUND(100/K80*L80-100,1)&gt;999,999,-999)))</f>
        <v>18</v>
      </c>
      <c r="N80" s="196">
        <v>8471</v>
      </c>
      <c r="O80" s="438">
        <f>SUM(O73:O79)</f>
        <v>9095</v>
      </c>
      <c r="P80" s="434">
        <f>IF(N80=0, "    ---- ", IF(ABS(ROUND(100/N80*O80-100,1))&lt;999,ROUND(100/N80*O80-100,1),IF(ROUND(100/N80*O80-100,1)&gt;999,999,-999)))</f>
        <v>7.4</v>
      </c>
      <c r="Q80" s="196">
        <v>41.207251999999997</v>
      </c>
      <c r="R80" s="438"/>
      <c r="S80" s="340">
        <f>IF(Q80=0, "    ---- ", IF(ABS(ROUND(100/Q80*R80-100,1))&lt;999,ROUND(100/Q80*R80-100,1),IF(ROUND(100/Q80*R80-100,1)&gt;999,999,-999)))</f>
        <v>-100</v>
      </c>
      <c r="T80" s="196">
        <v>641185.71002994</v>
      </c>
      <c r="U80" s="438">
        <v>665564.5105555699</v>
      </c>
      <c r="V80" s="340">
        <f t="shared" si="66"/>
        <v>3.8</v>
      </c>
      <c r="W80" s="196">
        <v>56075.29</v>
      </c>
      <c r="X80" s="438">
        <f>SUM(X73:X79)</f>
        <v>54987.610000000008</v>
      </c>
      <c r="Y80" s="340">
        <f t="shared" si="51"/>
        <v>-1.9</v>
      </c>
      <c r="Z80" s="196">
        <v>111438</v>
      </c>
      <c r="AA80" s="438">
        <f>SUM(AA73:AA79)</f>
        <v>116158</v>
      </c>
      <c r="AB80" s="340">
        <f>IF(Z80=0, "    ---- ", IF(ABS(ROUND(100/Z80*AA80-100,1))&lt;999,ROUND(100/Z80*AA80-100,1),IF(ROUND(100/Z80*AA80-100,1)&gt;999,999,-999)))</f>
        <v>4.2</v>
      </c>
      <c r="AC80" s="196"/>
      <c r="AD80" s="438"/>
      <c r="AE80" s="340"/>
      <c r="AF80" s="196">
        <v>23230.795172689999</v>
      </c>
      <c r="AG80" s="438">
        <f>SUM(AG73:AG79)</f>
        <v>23072.705988610003</v>
      </c>
      <c r="AH80" s="340">
        <f t="shared" si="53"/>
        <v>-0.7</v>
      </c>
      <c r="AI80" s="196">
        <v>205306</v>
      </c>
      <c r="AJ80" s="438">
        <f>SUM(AJ73:AJ79)</f>
        <v>205957</v>
      </c>
      <c r="AK80" s="340">
        <f t="shared" si="54"/>
        <v>0.3</v>
      </c>
      <c r="AL80" s="196">
        <v>1</v>
      </c>
      <c r="AM80" s="438">
        <v>9</v>
      </c>
      <c r="AN80" s="340">
        <f t="shared" ref="AN80" si="77">IF(AL80=0, "    ---- ", IF(ABS(ROUND(100/AL80*AM80-100,1))&lt;999,ROUND(100/AL80*AM80-100,1),IF(ROUND(100/AL80*AM80-100,1)&gt;999,999,-999)))</f>
        <v>800</v>
      </c>
      <c r="AO80" s="526">
        <f t="shared" si="75"/>
        <v>1253518.8420148101</v>
      </c>
      <c r="AP80" s="526">
        <f t="shared" si="75"/>
        <v>1276431.49642398</v>
      </c>
      <c r="AQ80" s="340">
        <f t="shared" si="47"/>
        <v>1.8</v>
      </c>
      <c r="AR80" s="526">
        <f t="shared" si="76"/>
        <v>1253561.0492668101</v>
      </c>
      <c r="AS80" s="526">
        <f t="shared" si="76"/>
        <v>1276440.49642398</v>
      </c>
      <c r="AT80" s="439">
        <f t="shared" si="49"/>
        <v>1.8</v>
      </c>
    </row>
    <row r="81" spans="1:46" s="451" customFormat="1" ht="20.100000000000001" customHeight="1" x14ac:dyDescent="0.3">
      <c r="A81" s="580" t="s">
        <v>238</v>
      </c>
      <c r="B81" s="196"/>
      <c r="C81" s="438"/>
      <c r="D81" s="340"/>
      <c r="E81" s="196"/>
      <c r="F81" s="438"/>
      <c r="G81" s="340"/>
      <c r="H81" s="196"/>
      <c r="I81" s="438"/>
      <c r="J81" s="340"/>
      <c r="K81" s="196"/>
      <c r="L81" s="438"/>
      <c r="M81" s="340"/>
      <c r="N81" s="196"/>
      <c r="O81" s="438"/>
      <c r="P81" s="434"/>
      <c r="Q81" s="196"/>
      <c r="R81" s="438"/>
      <c r="S81" s="340"/>
      <c r="T81" s="196"/>
      <c r="U81" s="438"/>
      <c r="V81" s="340"/>
      <c r="W81" s="196"/>
      <c r="X81" s="438"/>
      <c r="Y81" s="340"/>
      <c r="Z81" s="196"/>
      <c r="AA81" s="438"/>
      <c r="AB81" s="340"/>
      <c r="AC81" s="196"/>
      <c r="AD81" s="438"/>
      <c r="AE81" s="340"/>
      <c r="AF81" s="196"/>
      <c r="AG81" s="438"/>
      <c r="AH81" s="340"/>
      <c r="AI81" s="196"/>
      <c r="AJ81" s="438"/>
      <c r="AK81" s="340"/>
      <c r="AL81" s="196"/>
      <c r="AM81" s="438"/>
      <c r="AN81" s="340"/>
      <c r="AO81" s="434"/>
      <c r="AP81" s="434"/>
      <c r="AQ81" s="340"/>
      <c r="AR81" s="434"/>
      <c r="AS81" s="434"/>
      <c r="AT81" s="439"/>
    </row>
    <row r="82" spans="1:46" s="451" customFormat="1" ht="20.100000000000001" customHeight="1" x14ac:dyDescent="0.3">
      <c r="A82" s="580" t="s">
        <v>379</v>
      </c>
      <c r="B82" s="196">
        <v>26687.618999999999</v>
      </c>
      <c r="C82" s="438"/>
      <c r="D82" s="340">
        <f>IF(B82=0, "    ---- ", IF(ABS(ROUND(100/B82*C82-100,1))&lt;999,ROUND(100/B82*C82-100,1),IF(ROUND(100/B82*C82-100,1)&gt;999,999,-999)))</f>
        <v>-100</v>
      </c>
      <c r="E82" s="196">
        <v>136822.14120086</v>
      </c>
      <c r="F82" s="438">
        <v>145923.23292538576</v>
      </c>
      <c r="G82" s="340">
        <f t="shared" si="45"/>
        <v>6.7</v>
      </c>
      <c r="H82" s="196"/>
      <c r="I82" s="438"/>
      <c r="J82" s="340"/>
      <c r="K82" s="196"/>
      <c r="L82" s="438"/>
      <c r="M82" s="340"/>
      <c r="N82" s="196">
        <v>42467</v>
      </c>
      <c r="O82" s="438">
        <v>51076</v>
      </c>
      <c r="P82" s="434">
        <f>IF(N82=0, "    ---- ", IF(ABS(ROUND(100/N82*O82-100,1))&lt;999,ROUND(100/N82*O82-100,1),IF(ROUND(100/N82*O82-100,1)&gt;999,999,-999)))</f>
        <v>20.3</v>
      </c>
      <c r="Q82" s="196"/>
      <c r="R82" s="438"/>
      <c r="S82" s="340"/>
      <c r="T82" s="196">
        <v>2296.1026710100004</v>
      </c>
      <c r="U82" s="438">
        <v>2002.6286780099999</v>
      </c>
      <c r="V82" s="340">
        <f t="shared" ref="V82:V93" si="78">IF(T82=0, "    ---- ", IF(ABS(ROUND(100/T82*U82-100,1))&lt;999,ROUND(100/T82*U82-100,1),IF(ROUND(100/T82*U82-100,1)&gt;999,999,-999)))</f>
        <v>-12.8</v>
      </c>
      <c r="W82" s="196">
        <v>122540.88</v>
      </c>
      <c r="X82" s="438">
        <v>126457.56</v>
      </c>
      <c r="Y82" s="340">
        <f t="shared" si="51"/>
        <v>3.2</v>
      </c>
      <c r="Z82" s="196"/>
      <c r="AA82" s="438"/>
      <c r="AB82" s="340"/>
      <c r="AC82" s="196">
        <v>3229.1149632900001</v>
      </c>
      <c r="AD82" s="438"/>
      <c r="AE82" s="340">
        <f>IF(AC82=0, "    ---- ", IF(ABS(ROUND(100/AC82*AD82-100,1))&lt;999,ROUND(100/AC82*AD82-100,1),IF(ROUND(100/AC82*AD82-100,1)&gt;999,999,-999)))</f>
        <v>-100</v>
      </c>
      <c r="AF82" s="196">
        <v>54614.574000000001</v>
      </c>
      <c r="AG82" s="438">
        <v>58530.01</v>
      </c>
      <c r="AH82" s="340">
        <f t="shared" si="53"/>
        <v>7.2</v>
      </c>
      <c r="AI82" s="196">
        <v>154155</v>
      </c>
      <c r="AJ82" s="438">
        <v>191184</v>
      </c>
      <c r="AK82" s="340">
        <f t="shared" si="54"/>
        <v>24</v>
      </c>
      <c r="AL82" s="196"/>
      <c r="AM82" s="438"/>
      <c r="AN82" s="340"/>
      <c r="AO82" s="526">
        <f t="shared" ref="AO82:AP84" si="79">B82+E82+H82+K82+N82+T82+W82+Z82+AF82+AI82</f>
        <v>539583.31687187008</v>
      </c>
      <c r="AP82" s="526">
        <f t="shared" si="79"/>
        <v>575173.43160339573</v>
      </c>
      <c r="AQ82" s="340">
        <f t="shared" si="47"/>
        <v>6.6</v>
      </c>
      <c r="AR82" s="526">
        <f t="shared" ref="AR82:AS84" si="80">B82+E82+H82+K82+N82+Q82+T82+W82+Z82+AC82+AF82+AI82+AL82</f>
        <v>542812.43183516013</v>
      </c>
      <c r="AS82" s="526">
        <f t="shared" si="80"/>
        <v>575173.43160339573</v>
      </c>
      <c r="AT82" s="439">
        <f t="shared" si="49"/>
        <v>6</v>
      </c>
    </row>
    <row r="83" spans="1:46" s="451" customFormat="1" ht="20.100000000000001" customHeight="1" x14ac:dyDescent="0.3">
      <c r="A83" s="580" t="s">
        <v>380</v>
      </c>
      <c r="B83" s="196"/>
      <c r="C83" s="438"/>
      <c r="D83" s="340"/>
      <c r="E83" s="196"/>
      <c r="F83" s="438"/>
      <c r="G83" s="340"/>
      <c r="H83" s="196"/>
      <c r="I83" s="438"/>
      <c r="J83" s="340"/>
      <c r="K83" s="196"/>
      <c r="L83" s="438"/>
      <c r="M83" s="340"/>
      <c r="N83" s="196"/>
      <c r="O83" s="438"/>
      <c r="P83" s="340"/>
      <c r="Q83" s="196"/>
      <c r="R83" s="438"/>
      <c r="S83" s="340"/>
      <c r="T83" s="196">
        <v>193.33815799999999</v>
      </c>
      <c r="U83" s="438">
        <v>61.316423869999994</v>
      </c>
      <c r="V83" s="340">
        <f t="shared" si="78"/>
        <v>-68.3</v>
      </c>
      <c r="W83" s="196"/>
      <c r="X83" s="438"/>
      <c r="Y83" s="340"/>
      <c r="Z83" s="196"/>
      <c r="AA83" s="438"/>
      <c r="AB83" s="340"/>
      <c r="AC83" s="196"/>
      <c r="AD83" s="438"/>
      <c r="AE83" s="340"/>
      <c r="AF83" s="196">
        <v>40.685000000000002</v>
      </c>
      <c r="AG83" s="438">
        <v>0</v>
      </c>
      <c r="AH83" s="340">
        <f t="shared" si="53"/>
        <v>-100</v>
      </c>
      <c r="AI83" s="196"/>
      <c r="AJ83" s="438"/>
      <c r="AK83" s="340"/>
      <c r="AL83" s="196"/>
      <c r="AM83" s="438"/>
      <c r="AN83" s="340"/>
      <c r="AO83" s="526">
        <f t="shared" si="79"/>
        <v>234.023158</v>
      </c>
      <c r="AP83" s="526">
        <f t="shared" si="79"/>
        <v>61.316423869999994</v>
      </c>
      <c r="AQ83" s="340">
        <f t="shared" si="47"/>
        <v>-73.8</v>
      </c>
      <c r="AR83" s="526">
        <f t="shared" si="80"/>
        <v>234.023158</v>
      </c>
      <c r="AS83" s="526">
        <f t="shared" si="80"/>
        <v>61.316423869999994</v>
      </c>
      <c r="AT83" s="439">
        <f t="shared" si="49"/>
        <v>-73.8</v>
      </c>
    </row>
    <row r="84" spans="1:46" s="451" customFormat="1" ht="20.100000000000001" customHeight="1" x14ac:dyDescent="0.3">
      <c r="A84" s="580" t="s">
        <v>420</v>
      </c>
      <c r="B84" s="196"/>
      <c r="C84" s="438"/>
      <c r="D84" s="340"/>
      <c r="E84" s="196"/>
      <c r="F84" s="438"/>
      <c r="G84" s="340"/>
      <c r="H84" s="196"/>
      <c r="I84" s="438"/>
      <c r="J84" s="340"/>
      <c r="K84" s="196"/>
      <c r="L84" s="438"/>
      <c r="M84" s="340"/>
      <c r="N84" s="196"/>
      <c r="O84" s="438"/>
      <c r="P84" s="340"/>
      <c r="Q84" s="196"/>
      <c r="R84" s="438"/>
      <c r="S84" s="340"/>
      <c r="T84" s="196"/>
      <c r="U84" s="438">
        <v>533.06540591999999</v>
      </c>
      <c r="V84" s="340" t="str">
        <f t="shared" si="78"/>
        <v xml:space="preserve">    ---- </v>
      </c>
      <c r="W84" s="196"/>
      <c r="X84" s="438"/>
      <c r="Y84" s="340"/>
      <c r="Z84" s="196"/>
      <c r="AA84" s="438"/>
      <c r="AB84" s="340"/>
      <c r="AC84" s="196"/>
      <c r="AD84" s="438"/>
      <c r="AE84" s="340"/>
      <c r="AF84" s="196"/>
      <c r="AG84" s="438"/>
      <c r="AH84" s="340"/>
      <c r="AI84" s="196"/>
      <c r="AJ84" s="438"/>
      <c r="AK84" s="340"/>
      <c r="AL84" s="196"/>
      <c r="AM84" s="438"/>
      <c r="AN84" s="340"/>
      <c r="AO84" s="526">
        <f t="shared" si="79"/>
        <v>0</v>
      </c>
      <c r="AP84" s="526">
        <f t="shared" si="79"/>
        <v>533.06540591999999</v>
      </c>
      <c r="AQ84" s="340" t="str">
        <f t="shared" ref="AQ84" si="81">IF(AO84=0, "    ---- ", IF(ABS(ROUND(100/AO84*AP84-100,1))&lt;999,ROUND(100/AO84*AP84-100,1),IF(ROUND(100/AO84*AP84-100,1)&gt;999,999,-999)))</f>
        <v xml:space="preserve">    ---- </v>
      </c>
      <c r="AR84" s="526">
        <f t="shared" si="80"/>
        <v>0</v>
      </c>
      <c r="AS84" s="526">
        <f t="shared" si="80"/>
        <v>533.06540591999999</v>
      </c>
      <c r="AT84" s="439"/>
    </row>
    <row r="85" spans="1:46" s="451" customFormat="1" ht="20.100000000000001" customHeight="1" x14ac:dyDescent="0.3">
      <c r="A85" s="580" t="s">
        <v>421</v>
      </c>
      <c r="B85" s="597">
        <v>76.320999999999998</v>
      </c>
      <c r="C85" s="340"/>
      <c r="D85" s="340">
        <f>IF(B85=0, "    ---- ", IF(ABS(ROUND(100/B85*C85-100,1))&lt;999,ROUND(100/B85*C85-100,1),IF(ROUND(100/B85*C85-100,1)&gt;999,999,-999)))</f>
        <v>-100</v>
      </c>
      <c r="E85" s="597">
        <v>538.61913949999996</v>
      </c>
      <c r="F85" s="340">
        <v>536.63506726000003</v>
      </c>
      <c r="G85" s="340">
        <f t="shared" si="45"/>
        <v>-0.4</v>
      </c>
      <c r="H85" s="597"/>
      <c r="I85" s="340"/>
      <c r="J85" s="340"/>
      <c r="K85" s="597"/>
      <c r="L85" s="340"/>
      <c r="M85" s="340"/>
      <c r="N85" s="597">
        <v>252</v>
      </c>
      <c r="O85" s="340">
        <v>347</v>
      </c>
      <c r="P85" s="340">
        <f>IF(N85=0, "    ---- ", IF(ABS(ROUND(100/N85*O85-100,1))&lt;999,ROUND(100/N85*O85-100,1),IF(ROUND(100/N85*O85-100,1)&gt;999,999,-999)))</f>
        <v>37.700000000000003</v>
      </c>
      <c r="Q85" s="196"/>
      <c r="R85" s="340"/>
      <c r="S85" s="340"/>
      <c r="T85" s="597">
        <v>550.55816191999997</v>
      </c>
      <c r="U85" s="340"/>
      <c r="V85" s="340">
        <f t="shared" si="78"/>
        <v>-100</v>
      </c>
      <c r="W85" s="597"/>
      <c r="X85" s="340"/>
      <c r="Y85" s="340"/>
      <c r="Z85" s="597"/>
      <c r="AA85" s="340"/>
      <c r="AB85" s="340"/>
      <c r="AC85" s="597"/>
      <c r="AD85" s="340"/>
      <c r="AE85" s="340"/>
      <c r="AF85" s="597">
        <v>694.524</v>
      </c>
      <c r="AG85" s="438">
        <v>662.98299999999995</v>
      </c>
      <c r="AH85" s="340">
        <f t="shared" si="53"/>
        <v>-4.5</v>
      </c>
      <c r="AI85" s="597"/>
      <c r="AJ85" s="340">
        <v>53</v>
      </c>
      <c r="AK85" s="340" t="str">
        <f t="shared" si="54"/>
        <v xml:space="preserve">    ---- </v>
      </c>
      <c r="AL85" s="597"/>
      <c r="AM85" s="340"/>
      <c r="AN85" s="340"/>
      <c r="AO85" s="526">
        <f t="shared" ref="AO85:AP91" si="82">B85+E85+H85+K85+N85+T85+W85+Z85+AF85+AI85</f>
        <v>2112.0223014200001</v>
      </c>
      <c r="AP85" s="526">
        <f t="shared" si="82"/>
        <v>1599.6180672599999</v>
      </c>
      <c r="AQ85" s="340">
        <f t="shared" si="47"/>
        <v>-24.3</v>
      </c>
      <c r="AR85" s="526">
        <f t="shared" ref="AR85:AS91" si="83">B85+E85+H85+K85+N85+Q85+T85+W85+Z85+AC85+AF85+AI85+AL85</f>
        <v>2112.0223014200001</v>
      </c>
      <c r="AS85" s="526">
        <f t="shared" si="83"/>
        <v>1599.6180672599999</v>
      </c>
      <c r="AT85" s="439">
        <f t="shared" si="49"/>
        <v>-24.3</v>
      </c>
    </row>
    <row r="86" spans="1:46" s="451" customFormat="1" ht="20.100000000000001" customHeight="1" x14ac:dyDescent="0.3">
      <c r="A86" s="580" t="s">
        <v>236</v>
      </c>
      <c r="B86" s="196"/>
      <c r="C86" s="438"/>
      <c r="D86" s="438"/>
      <c r="E86" s="196"/>
      <c r="F86" s="438"/>
      <c r="G86" s="438"/>
      <c r="H86" s="196"/>
      <c r="I86" s="438"/>
      <c r="J86" s="438"/>
      <c r="K86" s="196"/>
      <c r="L86" s="438"/>
      <c r="M86" s="438"/>
      <c r="N86" s="196"/>
      <c r="O86" s="438"/>
      <c r="P86" s="434"/>
      <c r="Q86" s="196"/>
      <c r="R86" s="438"/>
      <c r="S86" s="340"/>
      <c r="T86" s="196">
        <v>0.66830599999999996</v>
      </c>
      <c r="U86" s="438">
        <v>73.365013000000005</v>
      </c>
      <c r="V86" s="340">
        <f t="shared" si="78"/>
        <v>999</v>
      </c>
      <c r="W86" s="196"/>
      <c r="X86" s="438"/>
      <c r="Y86" s="340"/>
      <c r="Z86" s="196"/>
      <c r="AA86" s="438"/>
      <c r="AB86" s="340"/>
      <c r="AC86" s="196"/>
      <c r="AD86" s="438"/>
      <c r="AE86" s="438"/>
      <c r="AF86" s="196"/>
      <c r="AG86" s="438"/>
      <c r="AH86" s="340"/>
      <c r="AI86" s="196"/>
      <c r="AJ86" s="438">
        <v>-11</v>
      </c>
      <c r="AK86" s="340" t="str">
        <f t="shared" si="54"/>
        <v xml:space="preserve">    ---- </v>
      </c>
      <c r="AL86" s="196"/>
      <c r="AM86" s="438"/>
      <c r="AN86" s="340"/>
      <c r="AO86" s="526">
        <f t="shared" si="82"/>
        <v>0.66830599999999996</v>
      </c>
      <c r="AP86" s="526">
        <f t="shared" si="82"/>
        <v>62.365013000000005</v>
      </c>
      <c r="AQ86" s="340">
        <f t="shared" si="47"/>
        <v>999</v>
      </c>
      <c r="AR86" s="526">
        <f t="shared" si="83"/>
        <v>0.66830599999999996</v>
      </c>
      <c r="AS86" s="526">
        <f t="shared" si="83"/>
        <v>62.365013000000005</v>
      </c>
      <c r="AT86" s="439">
        <f t="shared" si="49"/>
        <v>999</v>
      </c>
    </row>
    <row r="87" spans="1:46" s="451" customFormat="1" ht="20.100000000000001" customHeight="1" x14ac:dyDescent="0.3">
      <c r="A87" s="635" t="s">
        <v>239</v>
      </c>
      <c r="B87" s="196">
        <v>26763.94</v>
      </c>
      <c r="C87" s="438"/>
      <c r="D87" s="438">
        <f>IF(B87=0, "    ---- ", IF(ABS(ROUND(100/B87*C87-100,1))&lt;999,ROUND(100/B87*C87-100,1),IF(ROUND(100/B87*C87-100,1)&gt;999,999,-999)))</f>
        <v>-100</v>
      </c>
      <c r="E87" s="196">
        <v>137360.76034035999</v>
      </c>
      <c r="F87" s="438">
        <f>SUM(F82:F86)</f>
        <v>146459.86799264577</v>
      </c>
      <c r="G87" s="438">
        <f t="shared" si="45"/>
        <v>6.6</v>
      </c>
      <c r="H87" s="196"/>
      <c r="I87" s="438"/>
      <c r="J87" s="438"/>
      <c r="K87" s="196"/>
      <c r="L87" s="438"/>
      <c r="M87" s="438"/>
      <c r="N87" s="196">
        <v>42719</v>
      </c>
      <c r="O87" s="438">
        <f>SUM(O82:O86)</f>
        <v>51423</v>
      </c>
      <c r="P87" s="434">
        <f>IF(N87=0, "    ---- ", IF(ABS(ROUND(100/N87*O87-100,1))&lt;999,ROUND(100/N87*O87-100,1),IF(ROUND(100/N87*O87-100,1)&gt;999,999,-999)))</f>
        <v>20.399999999999999</v>
      </c>
      <c r="Q87" s="196"/>
      <c r="R87" s="438"/>
      <c r="S87" s="340"/>
      <c r="T87" s="196">
        <v>3040.6672969300002</v>
      </c>
      <c r="U87" s="438">
        <v>2670.3755208000002</v>
      </c>
      <c r="V87" s="340">
        <f t="shared" si="78"/>
        <v>-12.2</v>
      </c>
      <c r="W87" s="196">
        <v>122540.88</v>
      </c>
      <c r="X87" s="438">
        <f>SUM(X82:X86)</f>
        <v>126457.56</v>
      </c>
      <c r="Y87" s="340">
        <f t="shared" si="51"/>
        <v>3.2</v>
      </c>
      <c r="Z87" s="196"/>
      <c r="AA87" s="438"/>
      <c r="AB87" s="340"/>
      <c r="AC87" s="196">
        <f>SUM(AC82:AC86)</f>
        <v>3229.1149632900001</v>
      </c>
      <c r="AD87" s="438"/>
      <c r="AE87" s="438">
        <f>IF(AC87=0, "    ---- ", IF(ABS(ROUND(100/AC87*AD87-100,1))&lt;999,ROUND(100/AC87*AD87-100,1),IF(ROUND(100/AC87*AD87-100,1)&gt;999,999,-999)))</f>
        <v>-100</v>
      </c>
      <c r="AF87" s="196">
        <v>55349.782999999996</v>
      </c>
      <c r="AG87" s="674">
        <f>SUM(AG82:AG86)</f>
        <v>59192.993000000002</v>
      </c>
      <c r="AH87" s="340">
        <f t="shared" si="53"/>
        <v>6.9</v>
      </c>
      <c r="AI87" s="196">
        <v>154155</v>
      </c>
      <c r="AJ87" s="438">
        <f>SUM(AJ82:AJ86)</f>
        <v>191226</v>
      </c>
      <c r="AK87" s="340">
        <f t="shared" si="54"/>
        <v>24</v>
      </c>
      <c r="AL87" s="196"/>
      <c r="AM87" s="438"/>
      <c r="AN87" s="340"/>
      <c r="AO87" s="526">
        <f t="shared" si="82"/>
        <v>541930.0306372901</v>
      </c>
      <c r="AP87" s="526">
        <f t="shared" si="82"/>
        <v>577429.79651344579</v>
      </c>
      <c r="AQ87" s="340">
        <f t="shared" si="47"/>
        <v>6.6</v>
      </c>
      <c r="AR87" s="526">
        <f t="shared" si="83"/>
        <v>545159.14560058003</v>
      </c>
      <c r="AS87" s="526">
        <f t="shared" si="83"/>
        <v>577429.79651344579</v>
      </c>
      <c r="AT87" s="439">
        <f t="shared" si="49"/>
        <v>5.9</v>
      </c>
    </row>
    <row r="88" spans="1:46" s="451" customFormat="1" ht="20.100000000000001" customHeight="1" x14ac:dyDescent="0.3">
      <c r="A88" s="580" t="s">
        <v>240</v>
      </c>
      <c r="B88" s="196">
        <v>28.721</v>
      </c>
      <c r="C88" s="438"/>
      <c r="D88" s="340">
        <f>IF(B88=0, "    ---- ", IF(ABS(ROUND(100/B88*C88-100,1))&lt;999,ROUND(100/B88*C88-100,1),IF(ROUND(100/B88*C88-100,1)&gt;999,999,-999)))</f>
        <v>-100</v>
      </c>
      <c r="E88" s="196">
        <v>2379.0238743</v>
      </c>
      <c r="F88" s="438">
        <v>1175.0490857599998</v>
      </c>
      <c r="G88" s="340">
        <f t="shared" si="45"/>
        <v>-50.6</v>
      </c>
      <c r="H88" s="196">
        <v>874.40457130000016</v>
      </c>
      <c r="I88" s="438">
        <v>593.45315498000002</v>
      </c>
      <c r="J88" s="340">
        <f>IF(H88=0, "    ---- ", IF(ABS(ROUND(100/H88*I88-100,1))&lt;999,ROUND(100/H88*I88-100,1),IF(ROUND(100/H88*I88-100,1)&gt;999,999,-999)))</f>
        <v>-32.1</v>
      </c>
      <c r="K88" s="196">
        <v>67.569000000000003</v>
      </c>
      <c r="L88" s="438">
        <v>64.753</v>
      </c>
      <c r="M88" s="340">
        <f>IF(K88=0, "    ---- ", IF(ABS(ROUND(100/K88*L88-100,1))&lt;999,ROUND(100/K88*L88-100,1),IF(ROUND(100/K88*L88-100,1)&gt;999,999,-999)))</f>
        <v>-4.2</v>
      </c>
      <c r="N88" s="196">
        <v>46</v>
      </c>
      <c r="O88" s="438">
        <v>29</v>
      </c>
      <c r="P88" s="340">
        <f>IF(N88=0, "    ---- ", IF(ABS(ROUND(100/N88*O88-100,1))&lt;999,ROUND(100/N88*O88-100,1),IF(ROUND(100/N88*O88-100,1)&gt;999,999,-999)))</f>
        <v>-37</v>
      </c>
      <c r="Q88" s="196"/>
      <c r="R88" s="438"/>
      <c r="S88" s="340"/>
      <c r="T88" s="196">
        <v>847.55684692</v>
      </c>
      <c r="U88" s="438">
        <v>1127.2194720099999</v>
      </c>
      <c r="V88" s="340">
        <f t="shared" si="78"/>
        <v>33</v>
      </c>
      <c r="W88" s="196">
        <v>446.41</v>
      </c>
      <c r="X88" s="438">
        <v>411.18</v>
      </c>
      <c r="Y88" s="340">
        <f t="shared" si="51"/>
        <v>-7.9</v>
      </c>
      <c r="Z88" s="196">
        <v>551</v>
      </c>
      <c r="AA88" s="438">
        <f>480+2174</f>
        <v>2654</v>
      </c>
      <c r="AB88" s="340">
        <f>IF(Z88=0, "    ---- ", IF(ABS(ROUND(100/Z88*AA88-100,1))&lt;999,ROUND(100/Z88*AA88-100,1),IF(ROUND(100/Z88*AA88-100,1)&gt;999,999,-999)))</f>
        <v>381.7</v>
      </c>
      <c r="AC88" s="196"/>
      <c r="AD88" s="438"/>
      <c r="AE88" s="340"/>
      <c r="AF88" s="196">
        <v>624.35699999999997</v>
      </c>
      <c r="AG88" s="438">
        <v>344.14499999999998</v>
      </c>
      <c r="AH88" s="340">
        <f t="shared" si="53"/>
        <v>-44.9</v>
      </c>
      <c r="AI88" s="196">
        <v>2</v>
      </c>
      <c r="AJ88" s="438">
        <v>301</v>
      </c>
      <c r="AK88" s="340">
        <f t="shared" si="54"/>
        <v>999</v>
      </c>
      <c r="AL88" s="196"/>
      <c r="AM88" s="438"/>
      <c r="AN88" s="340"/>
      <c r="AO88" s="526">
        <f t="shared" si="82"/>
        <v>5867.04229252</v>
      </c>
      <c r="AP88" s="526">
        <f t="shared" si="82"/>
        <v>6699.7997127500003</v>
      </c>
      <c r="AQ88" s="340">
        <f t="shared" si="47"/>
        <v>14.2</v>
      </c>
      <c r="AR88" s="526">
        <f t="shared" si="83"/>
        <v>5867.04229252</v>
      </c>
      <c r="AS88" s="526">
        <f t="shared" si="83"/>
        <v>6699.7997127500003</v>
      </c>
      <c r="AT88" s="439">
        <f t="shared" si="49"/>
        <v>14.2</v>
      </c>
    </row>
    <row r="89" spans="1:46" s="451" customFormat="1" ht="20.100000000000001" customHeight="1" x14ac:dyDescent="0.3">
      <c r="A89" s="580" t="s">
        <v>241</v>
      </c>
      <c r="B89" s="196"/>
      <c r="C89" s="438"/>
      <c r="D89" s="340"/>
      <c r="E89" s="196"/>
      <c r="F89" s="438"/>
      <c r="G89" s="340"/>
      <c r="H89" s="196">
        <v>371.00221926000006</v>
      </c>
      <c r="I89" s="438">
        <v>364.25668992999999</v>
      </c>
      <c r="J89" s="340">
        <f t="shared" ref="J89:J90" si="84">IF(H89=0, "    ---- ", IF(ABS(ROUND(100/H89*I89-100,1))&lt;999,ROUND(100/H89*I89-100,1),IF(ROUND(100/H89*I89-100,1)&gt;999,999,-999)))</f>
        <v>-1.8</v>
      </c>
      <c r="K89" s="196"/>
      <c r="L89" s="438"/>
      <c r="M89" s="340"/>
      <c r="N89" s="196"/>
      <c r="O89" s="438"/>
      <c r="P89" s="340"/>
      <c r="Q89" s="196"/>
      <c r="R89" s="438"/>
      <c r="S89" s="340"/>
      <c r="T89" s="196"/>
      <c r="U89" s="438"/>
      <c r="V89" s="340"/>
      <c r="W89" s="196"/>
      <c r="X89" s="438"/>
      <c r="Y89" s="340"/>
      <c r="Z89" s="196"/>
      <c r="AA89" s="438"/>
      <c r="AB89" s="340"/>
      <c r="AC89" s="196"/>
      <c r="AD89" s="438"/>
      <c r="AE89" s="340"/>
      <c r="AF89" s="196">
        <v>6.9720000000000004</v>
      </c>
      <c r="AG89" s="438">
        <v>8.516</v>
      </c>
      <c r="AH89" s="340">
        <f t="shared" si="53"/>
        <v>22.1</v>
      </c>
      <c r="AI89" s="196"/>
      <c r="AJ89" s="438"/>
      <c r="AK89" s="340"/>
      <c r="AL89" s="196"/>
      <c r="AM89" s="438"/>
      <c r="AN89" s="340"/>
      <c r="AO89" s="526">
        <f t="shared" si="82"/>
        <v>377.97421926000004</v>
      </c>
      <c r="AP89" s="526">
        <f t="shared" si="82"/>
        <v>372.77268993000001</v>
      </c>
      <c r="AQ89" s="340">
        <f t="shared" si="47"/>
        <v>-1.4</v>
      </c>
      <c r="AR89" s="526">
        <f t="shared" si="83"/>
        <v>377.97421926000004</v>
      </c>
      <c r="AS89" s="526">
        <f t="shared" si="83"/>
        <v>372.77268993000001</v>
      </c>
      <c r="AT89" s="439">
        <f t="shared" si="49"/>
        <v>-1.4</v>
      </c>
    </row>
    <row r="90" spans="1:46" s="451" customFormat="1" ht="20.100000000000001" customHeight="1" x14ac:dyDescent="0.3">
      <c r="A90" s="580" t="s">
        <v>242</v>
      </c>
      <c r="B90" s="196">
        <v>119.15900000000001</v>
      </c>
      <c r="C90" s="438"/>
      <c r="D90" s="438">
        <f>IF(B90=0, "    ---- ", IF(ABS(ROUND(100/B90*C90-100,1))&lt;999,ROUND(100/B90*C90-100,1),IF(ROUND(100/B90*C90-100,1)&gt;999,999,-999)))</f>
        <v>-100</v>
      </c>
      <c r="E90" s="196">
        <v>3701.6088913600047</v>
      </c>
      <c r="F90" s="438">
        <v>3841.3530000000001</v>
      </c>
      <c r="G90" s="438">
        <f t="shared" si="45"/>
        <v>3.8</v>
      </c>
      <c r="H90" s="196">
        <v>104.04570689000001</v>
      </c>
      <c r="I90" s="438">
        <v>140.02270286000001</v>
      </c>
      <c r="J90" s="340">
        <f t="shared" si="84"/>
        <v>34.6</v>
      </c>
      <c r="K90" s="196"/>
      <c r="L90" s="438"/>
      <c r="M90" s="438"/>
      <c r="N90" s="196">
        <v>165</v>
      </c>
      <c r="O90" s="438">
        <v>637</v>
      </c>
      <c r="P90" s="434">
        <f>IF(N90=0, "    ---- ", IF(ABS(ROUND(100/N90*O90-100,1))&lt;999,ROUND(100/N90*O90-100,1),IF(ROUND(100/N90*O90-100,1)&gt;999,999,-999)))</f>
        <v>286.10000000000002</v>
      </c>
      <c r="Q90" s="196">
        <v>7.7836069999999999</v>
      </c>
      <c r="R90" s="438"/>
      <c r="S90" s="340">
        <f>IF(Q90=0, "    ---- ", IF(ABS(ROUND(100/Q90*R90-100,1))&lt;999,ROUND(100/Q90*R90-100,1),IF(ROUND(100/Q90*R90-100,1)&gt;999,999,-999)))</f>
        <v>-100</v>
      </c>
      <c r="T90" s="196">
        <v>19396.030203119997</v>
      </c>
      <c r="U90" s="438">
        <v>24067.81191964</v>
      </c>
      <c r="V90" s="340">
        <f t="shared" si="78"/>
        <v>24.1</v>
      </c>
      <c r="W90" s="196">
        <v>286.91000000000003</v>
      </c>
      <c r="X90" s="438">
        <v>522.45000000000005</v>
      </c>
      <c r="Y90" s="340">
        <f t="shared" si="51"/>
        <v>82.1</v>
      </c>
      <c r="Z90" s="196">
        <v>696</v>
      </c>
      <c r="AA90" s="438">
        <v>136</v>
      </c>
      <c r="AB90" s="340">
        <f>IF(Z90=0, "    ---- ", IF(ABS(ROUND(100/Z90*AA90-100,1))&lt;999,ROUND(100/Z90*AA90-100,1),IF(ROUND(100/Z90*AA90-100,1)&gt;999,999,-999)))</f>
        <v>-80.5</v>
      </c>
      <c r="AC90" s="196">
        <v>21.15887743</v>
      </c>
      <c r="AD90" s="438"/>
      <c r="AE90" s="340">
        <f>IF(AC90=0, "    ---- ", IF(ABS(ROUND(100/AC90*AD90-100,1))&lt;999,ROUND(100/AC90*AD90-100,1),IF(ROUND(100/AC90*AD90-100,1)&gt;999,999,-999)))</f>
        <v>-100</v>
      </c>
      <c r="AF90" s="196">
        <v>799.72699999999998</v>
      </c>
      <c r="AG90" s="438">
        <v>1012.956</v>
      </c>
      <c r="AH90" s="340">
        <f t="shared" si="53"/>
        <v>26.7</v>
      </c>
      <c r="AI90" s="196">
        <v>8134</v>
      </c>
      <c r="AJ90" s="438">
        <v>40945</v>
      </c>
      <c r="AK90" s="340">
        <f t="shared" si="54"/>
        <v>403.4</v>
      </c>
      <c r="AL90" s="196">
        <v>4</v>
      </c>
      <c r="AM90" s="438">
        <v>10</v>
      </c>
      <c r="AN90" s="340">
        <f t="shared" ref="AN90" si="85">IF(AL90=0, "    ---- ", IF(ABS(ROUND(100/AL90*AM90-100,1))&lt;999,ROUND(100/AL90*AM90-100,1),IF(ROUND(100/AL90*AM90-100,1)&gt;999,999,-999)))</f>
        <v>150</v>
      </c>
      <c r="AO90" s="526">
        <f t="shared" si="82"/>
        <v>33402.480801370002</v>
      </c>
      <c r="AP90" s="526">
        <f t="shared" si="82"/>
        <v>71302.593622500004</v>
      </c>
      <c r="AQ90" s="340">
        <f t="shared" si="47"/>
        <v>113.5</v>
      </c>
      <c r="AR90" s="526">
        <f t="shared" si="83"/>
        <v>33435.423285800003</v>
      </c>
      <c r="AS90" s="526">
        <f t="shared" si="83"/>
        <v>71312.593622500004</v>
      </c>
      <c r="AT90" s="439">
        <f t="shared" si="49"/>
        <v>113.3</v>
      </c>
    </row>
    <row r="91" spans="1:46" s="451" customFormat="1" ht="20.100000000000001" customHeight="1" x14ac:dyDescent="0.3">
      <c r="A91" s="580" t="s">
        <v>243</v>
      </c>
      <c r="B91" s="196">
        <v>38.466999999999999</v>
      </c>
      <c r="C91" s="438"/>
      <c r="D91" s="438">
        <f>IF(B91=0, "    ---- ", IF(ABS(ROUND(100/B91*C91-100,1))&lt;999,ROUND(100/B91*C91-100,1),IF(ROUND(100/B91*C91-100,1)&gt;999,999,-999)))</f>
        <v>-100</v>
      </c>
      <c r="E91" s="196">
        <v>88.339955920000008</v>
      </c>
      <c r="F91" s="438">
        <v>46.898119880000003</v>
      </c>
      <c r="G91" s="438">
        <f t="shared" si="45"/>
        <v>-46.9</v>
      </c>
      <c r="H91" s="196"/>
      <c r="I91" s="438"/>
      <c r="J91" s="438"/>
      <c r="K91" s="196">
        <v>27.385999999999999</v>
      </c>
      <c r="L91" s="438">
        <v>26.695979999999999</v>
      </c>
      <c r="M91" s="438">
        <f>IF(K91=0, "    ---- ", IF(ABS(ROUND(100/K91*L91-100,1))&lt;999,ROUND(100/K91*L91-100,1),IF(ROUND(100/K91*L91-100,1)&gt;999,999,-999)))</f>
        <v>-2.5</v>
      </c>
      <c r="N91" s="196">
        <v>32</v>
      </c>
      <c r="O91" s="438">
        <v>28</v>
      </c>
      <c r="P91" s="340">
        <f>IF(N91=0, "    ---- ", IF(ABS(ROUND(100/N91*O91-100,1))&lt;999,ROUND(100/N91*O91-100,1),IF(ROUND(100/N91*O91-100,1)&gt;999,999,-999)))</f>
        <v>-12.5</v>
      </c>
      <c r="Q91" s="196">
        <v>4.5703849999999999</v>
      </c>
      <c r="R91" s="438"/>
      <c r="S91" s="340">
        <f>IF(Q91=0, "    ---- ", IF(ABS(ROUND(100/Q91*R91-100,1))&lt;999,ROUND(100/Q91*R91-100,1),IF(ROUND(100/Q91*R91-100,1)&gt;999,999,-999)))</f>
        <v>-100</v>
      </c>
      <c r="T91" s="196">
        <v>163.01726617</v>
      </c>
      <c r="U91" s="438">
        <v>311.14366848999998</v>
      </c>
      <c r="V91" s="340">
        <f t="shared" si="78"/>
        <v>90.9</v>
      </c>
      <c r="W91" s="196">
        <v>57.32</v>
      </c>
      <c r="X91" s="438">
        <v>58.53</v>
      </c>
      <c r="Y91" s="340">
        <f t="shared" si="51"/>
        <v>2.1</v>
      </c>
      <c r="Z91" s="196"/>
      <c r="AA91" s="438"/>
      <c r="AB91" s="340"/>
      <c r="AC91" s="196">
        <v>0.39406423000000002</v>
      </c>
      <c r="AD91" s="438"/>
      <c r="AE91" s="438">
        <f>IF(AC91=0, "    ---- ", IF(ABS(ROUND(100/AC91*AD91-100,1))&lt;999,ROUND(100/AC91*AD91-100,1),IF(ROUND(100/AC91*AD91-100,1)&gt;999,999,-999)))</f>
        <v>-100</v>
      </c>
      <c r="AF91" s="196">
        <v>32.055999999999997</v>
      </c>
      <c r="AG91" s="438">
        <v>29.169</v>
      </c>
      <c r="AH91" s="340">
        <f t="shared" si="53"/>
        <v>-9</v>
      </c>
      <c r="AI91" s="196">
        <v>693</v>
      </c>
      <c r="AJ91" s="438">
        <v>761</v>
      </c>
      <c r="AK91" s="340">
        <f t="shared" si="54"/>
        <v>9.8000000000000007</v>
      </c>
      <c r="AL91" s="196">
        <v>0</v>
      </c>
      <c r="AM91" s="438"/>
      <c r="AN91" s="340"/>
      <c r="AO91" s="526">
        <f t="shared" si="82"/>
        <v>1131.5862220899999</v>
      </c>
      <c r="AP91" s="526">
        <f t="shared" si="82"/>
        <v>1261.43676837</v>
      </c>
      <c r="AQ91" s="340">
        <f t="shared" si="47"/>
        <v>11.5</v>
      </c>
      <c r="AR91" s="526">
        <f t="shared" si="83"/>
        <v>1136.55067132</v>
      </c>
      <c r="AS91" s="526">
        <f t="shared" si="83"/>
        <v>1261.43676837</v>
      </c>
      <c r="AT91" s="439">
        <f t="shared" si="49"/>
        <v>11</v>
      </c>
    </row>
    <row r="92" spans="1:46" s="451" customFormat="1" ht="20.100000000000001" customHeight="1" x14ac:dyDescent="0.3">
      <c r="A92" s="580"/>
      <c r="B92" s="196"/>
      <c r="C92" s="438"/>
      <c r="D92" s="340"/>
      <c r="E92" s="196"/>
      <c r="F92" s="438"/>
      <c r="G92" s="340"/>
      <c r="H92" s="196"/>
      <c r="I92" s="438"/>
      <c r="J92" s="340"/>
      <c r="K92" s="196"/>
      <c r="L92" s="438"/>
      <c r="M92" s="340"/>
      <c r="N92" s="196"/>
      <c r="O92" s="438"/>
      <c r="P92" s="340"/>
      <c r="Q92" s="196"/>
      <c r="R92" s="438"/>
      <c r="S92" s="340"/>
      <c r="T92" s="196"/>
      <c r="U92" s="438"/>
      <c r="V92" s="340"/>
      <c r="W92" s="196"/>
      <c r="X92" s="438"/>
      <c r="Y92" s="340"/>
      <c r="Z92" s="196"/>
      <c r="AA92" s="438"/>
      <c r="AB92" s="340"/>
      <c r="AC92" s="196"/>
      <c r="AD92" s="438"/>
      <c r="AE92" s="340"/>
      <c r="AF92" s="196"/>
      <c r="AG92" s="438"/>
      <c r="AH92" s="340"/>
      <c r="AI92" s="196"/>
      <c r="AJ92" s="438"/>
      <c r="AK92" s="340"/>
      <c r="AL92" s="196"/>
      <c r="AM92" s="438"/>
      <c r="AN92" s="340"/>
      <c r="AO92" s="434"/>
      <c r="AP92" s="434"/>
      <c r="AQ92" s="340"/>
      <c r="AR92" s="434"/>
      <c r="AS92" s="434"/>
      <c r="AT92" s="439"/>
    </row>
    <row r="93" spans="1:46" s="472" customFormat="1" ht="20.100000000000001" customHeight="1" x14ac:dyDescent="0.3">
      <c r="A93" s="607" t="s">
        <v>244</v>
      </c>
      <c r="B93" s="199">
        <v>29356.39</v>
      </c>
      <c r="C93" s="442"/>
      <c r="D93" s="443">
        <f>IF(B93=0, "    ---- ", IF(ABS(ROUND(100/B93*C93-100,1))&lt;999,ROUND(100/B93*C93-100,1),IF(ROUND(100/B93*C93-100,1)&gt;999,999,-999)))</f>
        <v>-100</v>
      </c>
      <c r="E93" s="199">
        <v>372178.80173900008</v>
      </c>
      <c r="F93" s="442">
        <f>SUM(F68+F69+F71+F80+F87+F88+F89+F90+F91)</f>
        <v>374454.75241827581</v>
      </c>
      <c r="G93" s="443">
        <f t="shared" si="45"/>
        <v>0.6</v>
      </c>
      <c r="H93" s="199">
        <v>12103.556937920001</v>
      </c>
      <c r="I93" s="442">
        <f>SUM(I68+I69+I71+I80+I87+I88+I89+I90+I91)</f>
        <v>12774.12860708</v>
      </c>
      <c r="J93" s="443">
        <f>IF(H93=0, "    ---- ", IF(ABS(ROUND(100/H93*I93-100,1))&lt;999,ROUND(100/H93*I93-100,1),IF(ROUND(100/H93*I93-100,1)&gt;999,999,-999)))</f>
        <v>5.5</v>
      </c>
      <c r="K93" s="199">
        <v>2372.88</v>
      </c>
      <c r="L93" s="442">
        <f>SUM(L68+L69+L71+L80+L87+L88+L89+L90+L91)</f>
        <v>2672.84258</v>
      </c>
      <c r="M93" s="443">
        <f>IF(K93=0, "    ---- ", IF(ABS(ROUND(100/K93*L93-100,1))&lt;999,ROUND(100/K93*L93-100,1),IF(ROUND(100/K93*L93-100,1)&gt;999,999,-999)))</f>
        <v>12.6</v>
      </c>
      <c r="N93" s="199">
        <v>52812</v>
      </c>
      <c r="O93" s="442">
        <f>SUM(O68+O69+O71+O80+O87+O88+O89+O90+O91)</f>
        <v>62357</v>
      </c>
      <c r="P93" s="443">
        <f>IF(N93=0, "    ---- ", IF(ABS(ROUND(100/N93*O93-100,1))&lt;999,ROUND(100/N93*O93-100,1),IF(ROUND(100/N93*O93-100,1)&gt;999,999,-999)))</f>
        <v>18.100000000000001</v>
      </c>
      <c r="Q93" s="199">
        <v>167.64422099999999</v>
      </c>
      <c r="R93" s="442"/>
      <c r="S93" s="443">
        <f>IF(Q93=0, "    ---- ", IF(ABS(ROUND(100/Q93*R93-100,1))&lt;999,ROUND(100/Q93*R93-100,1),IF(ROUND(100/Q93*R93-100,1)&gt;999,999,-999)))</f>
        <v>-100</v>
      </c>
      <c r="T93" s="199">
        <v>710467.01434992999</v>
      </c>
      <c r="U93" s="442">
        <v>742080.77413614001</v>
      </c>
      <c r="V93" s="443">
        <f t="shared" si="78"/>
        <v>4.4000000000000004</v>
      </c>
      <c r="W93" s="199">
        <v>191603.51</v>
      </c>
      <c r="X93" s="442">
        <f>SUM(X68+X69+X71+X80+X87+X88+X89+X90+X91)</f>
        <v>193820.22</v>
      </c>
      <c r="Y93" s="443">
        <f t="shared" si="51"/>
        <v>1.2</v>
      </c>
      <c r="Z93" s="199">
        <v>125404</v>
      </c>
      <c r="AA93" s="442">
        <f>SUM(AA68+AA69+AA71+AA80+AA87+AA88+AA89+AA90+AA91)</f>
        <v>132038</v>
      </c>
      <c r="AB93" s="443">
        <f>IF(Z93=0, "    ---- ", IF(ABS(ROUND(100/Z93*AA93-100,1))&lt;999,ROUND(100/Z93*AA93-100,1),IF(ROUND(100/Z93*AA93-100,1)&gt;999,999,-999)))</f>
        <v>5.3</v>
      </c>
      <c r="AC93" s="199">
        <f>SUM(AC68+AC69+AC71+AC80+AC87+AC88+AC89+AC90+AC91)</f>
        <v>3334.1590813500002</v>
      </c>
      <c r="AD93" s="442"/>
      <c r="AE93" s="443">
        <f>IF(AC93=0, "    ---- ", IF(ABS(ROUND(100/AC93*AD93-100,1))&lt;999,ROUND(100/AC93*AD93-100,1),IF(ROUND(100/AC93*AD93-100,1)&gt;999,999,-999)))</f>
        <v>-100</v>
      </c>
      <c r="AF93" s="199">
        <v>85983.82117268999</v>
      </c>
      <c r="AG93" s="442">
        <f>SUM(AG68+AG69+AG71+AG80+AG87+AG88+AG89+AG90+AG91)</f>
        <v>89687.524988610021</v>
      </c>
      <c r="AH93" s="443">
        <f t="shared" si="53"/>
        <v>4.3</v>
      </c>
      <c r="AI93" s="199">
        <v>406065</v>
      </c>
      <c r="AJ93" s="442">
        <f>SUM(AJ68+AJ69+AJ71+AJ80+AJ87+AJ88+AJ89+AJ90+AJ91)</f>
        <v>477036</v>
      </c>
      <c r="AK93" s="443">
        <f t="shared" si="54"/>
        <v>17.5</v>
      </c>
      <c r="AL93" s="199">
        <v>4</v>
      </c>
      <c r="AM93" s="442">
        <f>SUM(AM68+AM69+AM71+AM80+AM87+AM88+AM89+AM90+AM91)</f>
        <v>15</v>
      </c>
      <c r="AN93" s="443">
        <f t="shared" ref="AN93" si="86">IF(AL93=0, "    ---- ", IF(ABS(ROUND(100/AL93*AM93-100,1))&lt;999,ROUND(100/AL93*AM93-100,1),IF(ROUND(100/AL93*AM93-100,1)&gt;999,999,-999)))</f>
        <v>275</v>
      </c>
      <c r="AO93" s="694">
        <f t="shared" ref="AO93:AP93" si="87">B93+E93+H93+K93+N93+T93+W93+Z93+AF93+AI93</f>
        <v>1988346.9741995402</v>
      </c>
      <c r="AP93" s="694">
        <f t="shared" si="87"/>
        <v>2086921.2427301058</v>
      </c>
      <c r="AQ93" s="443">
        <f t="shared" si="47"/>
        <v>5</v>
      </c>
      <c r="AR93" s="694">
        <f t="shared" ref="AR93:AS93" si="88">B93+E93+H93+K93+N93+Q93+T93+W93+Z93+AC93+AF93+AI93+AL93</f>
        <v>1991852.7775018902</v>
      </c>
      <c r="AS93" s="442">
        <f t="shared" si="88"/>
        <v>2086936.2427301058</v>
      </c>
      <c r="AT93" s="444">
        <f t="shared" si="49"/>
        <v>4.8</v>
      </c>
    </row>
    <row r="94" spans="1:46" ht="18.75" customHeight="1" x14ac:dyDescent="0.3">
      <c r="A94" s="449" t="s">
        <v>245</v>
      </c>
      <c r="B94" s="449"/>
      <c r="T94" s="449"/>
      <c r="X94" s="639"/>
      <c r="Y94" s="639"/>
      <c r="Z94" s="639"/>
      <c r="AA94" s="639"/>
      <c r="AB94" s="639"/>
      <c r="AC94" s="639"/>
      <c r="AD94" s="639"/>
      <c r="AE94" s="639"/>
      <c r="AF94" s="449"/>
      <c r="AI94" s="449"/>
      <c r="AL94" s="449"/>
    </row>
    <row r="95" spans="1:46" ht="18.75" customHeight="1" x14ac:dyDescent="0.3">
      <c r="A95" s="449" t="s">
        <v>246</v>
      </c>
      <c r="T95" s="449"/>
      <c r="X95" s="639"/>
      <c r="Y95" s="639"/>
      <c r="Z95" s="639"/>
      <c r="AA95" s="639"/>
      <c r="AB95" s="639"/>
      <c r="AC95" s="639"/>
      <c r="AD95" s="639"/>
      <c r="AE95" s="639"/>
      <c r="AF95" s="449"/>
      <c r="AI95" s="449"/>
      <c r="AL95" s="449"/>
    </row>
    <row r="96" spans="1:46" s="452" customFormat="1" ht="18.75" customHeight="1" x14ac:dyDescent="0.3">
      <c r="A96" s="449" t="s">
        <v>247</v>
      </c>
      <c r="Y96" s="640"/>
      <c r="Z96" s="640"/>
      <c r="AA96" s="640"/>
      <c r="AB96" s="640"/>
      <c r="AC96" s="640"/>
      <c r="AD96" s="640"/>
      <c r="AE96" s="640"/>
    </row>
    <row r="97" spans="20:21" s="452" customFormat="1" ht="18.75" x14ac:dyDescent="0.3"/>
    <row r="98" spans="20:21" s="452" customFormat="1" ht="18.75" x14ac:dyDescent="0.3"/>
    <row r="99" spans="20:21" s="452" customFormat="1" ht="18.75" x14ac:dyDescent="0.3"/>
    <row r="100" spans="20:21" s="452" customFormat="1" ht="18.75" x14ac:dyDescent="0.3"/>
    <row r="101" spans="20:21" s="452" customFormat="1" ht="18.75" x14ac:dyDescent="0.3"/>
    <row r="102" spans="20:21" s="452" customFormat="1" ht="18.75" x14ac:dyDescent="0.3"/>
    <row r="103" spans="20:21" s="452" customFormat="1" ht="18.75" x14ac:dyDescent="0.3"/>
    <row r="104" spans="20:21" s="452" customFormat="1" ht="18.75" x14ac:dyDescent="0.3">
      <c r="T104" s="449"/>
      <c r="U104" s="449"/>
    </row>
    <row r="105" spans="20:21" s="452" customFormat="1" ht="18.75" x14ac:dyDescent="0.3">
      <c r="T105" s="449"/>
      <c r="U105" s="449"/>
    </row>
    <row r="106" spans="20:21" s="452" customFormat="1" ht="18.75" x14ac:dyDescent="0.3">
      <c r="T106" s="449"/>
      <c r="U106" s="449"/>
    </row>
    <row r="107" spans="20:21" s="452" customFormat="1" ht="18.75" x14ac:dyDescent="0.3">
      <c r="T107" s="449"/>
      <c r="U107" s="449"/>
    </row>
    <row r="108" spans="20:21" s="452" customFormat="1" ht="18.75" x14ac:dyDescent="0.3">
      <c r="T108" s="449"/>
      <c r="U108" s="449"/>
    </row>
    <row r="109" spans="20:21" s="452" customFormat="1" ht="18.75" x14ac:dyDescent="0.3">
      <c r="T109" s="449"/>
      <c r="U109" s="449"/>
    </row>
    <row r="110" spans="20:21" s="452" customFormat="1" ht="18.75" x14ac:dyDescent="0.3">
      <c r="T110" s="449"/>
      <c r="U110" s="449"/>
    </row>
    <row r="111" spans="20:21" s="474" customFormat="1" ht="15.75" x14ac:dyDescent="0.25">
      <c r="T111" s="473"/>
      <c r="U111" s="473"/>
    </row>
    <row r="112" spans="20:21" s="474" customFormat="1" ht="15.75" x14ac:dyDescent="0.25">
      <c r="T112" s="473"/>
      <c r="U112" s="473"/>
    </row>
    <row r="113" spans="20:21" x14ac:dyDescent="0.2">
      <c r="T113" s="451"/>
      <c r="U113" s="451"/>
    </row>
    <row r="114" spans="20:21" x14ac:dyDescent="0.2">
      <c r="T114" s="451"/>
      <c r="U114" s="451"/>
    </row>
    <row r="115" spans="20:21" x14ac:dyDescent="0.2">
      <c r="T115" s="451"/>
      <c r="U115" s="451"/>
    </row>
    <row r="116" spans="20:21" x14ac:dyDescent="0.2">
      <c r="T116" s="451"/>
      <c r="U116" s="451"/>
    </row>
    <row r="117" spans="20:21" x14ac:dyDescent="0.2">
      <c r="T117" s="451"/>
      <c r="U117" s="451"/>
    </row>
    <row r="118" spans="20:21" x14ac:dyDescent="0.2">
      <c r="T118" s="451"/>
      <c r="U118" s="451"/>
    </row>
    <row r="119" spans="20:21" x14ac:dyDescent="0.2">
      <c r="T119" s="451"/>
      <c r="U119" s="451"/>
    </row>
    <row r="120" spans="20:21" x14ac:dyDescent="0.2">
      <c r="T120" s="451"/>
      <c r="U120" s="451"/>
    </row>
    <row r="121" spans="20:21" x14ac:dyDescent="0.2">
      <c r="T121" s="451"/>
      <c r="U121" s="451"/>
    </row>
    <row r="122" spans="20:21" x14ac:dyDescent="0.2">
      <c r="T122" s="451"/>
      <c r="U122" s="451"/>
    </row>
    <row r="123" spans="20:21" x14ac:dyDescent="0.2">
      <c r="T123" s="451"/>
      <c r="U123" s="451"/>
    </row>
    <row r="124" spans="20:21" x14ac:dyDescent="0.2">
      <c r="T124" s="451"/>
      <c r="U124" s="451"/>
    </row>
    <row r="125" spans="20:21" x14ac:dyDescent="0.2">
      <c r="T125" s="451"/>
      <c r="U125" s="451"/>
    </row>
    <row r="126" spans="20:21" x14ac:dyDescent="0.2">
      <c r="T126" s="451"/>
      <c r="U126" s="451"/>
    </row>
    <row r="127" spans="20:21" x14ac:dyDescent="0.2">
      <c r="T127" s="451"/>
      <c r="U127" s="451"/>
    </row>
    <row r="128" spans="20:21" x14ac:dyDescent="0.2">
      <c r="T128" s="451"/>
      <c r="U128" s="451"/>
    </row>
    <row r="129" spans="20:21" x14ac:dyDescent="0.2">
      <c r="T129" s="451"/>
      <c r="U129" s="451"/>
    </row>
    <row r="130" spans="20:21" x14ac:dyDescent="0.2">
      <c r="T130" s="451"/>
      <c r="U130" s="451"/>
    </row>
  </sheetData>
  <mergeCells count="32">
    <mergeCell ref="AR5:AT5"/>
    <mergeCell ref="AR6:AT6"/>
    <mergeCell ref="BC5:BE5"/>
    <mergeCell ref="Z5:AB5"/>
    <mergeCell ref="AI5:AK5"/>
    <mergeCell ref="AO5:AQ5"/>
    <mergeCell ref="BC6:BE6"/>
    <mergeCell ref="AF5:AH5"/>
    <mergeCell ref="AI6:AK6"/>
    <mergeCell ref="AO6:AQ6"/>
    <mergeCell ref="AF6:AH6"/>
    <mergeCell ref="K6:M6"/>
    <mergeCell ref="N6:P6"/>
    <mergeCell ref="H5:J5"/>
    <mergeCell ref="K5:M5"/>
    <mergeCell ref="N5:P5"/>
    <mergeCell ref="B5:D5"/>
    <mergeCell ref="E5:G5"/>
    <mergeCell ref="AW5:AY5"/>
    <mergeCell ref="AZ5:BB5"/>
    <mergeCell ref="Q6:S6"/>
    <mergeCell ref="T6:V6"/>
    <mergeCell ref="W6:Y6"/>
    <mergeCell ref="Z6:AB6"/>
    <mergeCell ref="AC6:AE6"/>
    <mergeCell ref="AW6:AY6"/>
    <mergeCell ref="AZ6:BB6"/>
    <mergeCell ref="B6:D6"/>
    <mergeCell ref="E6:G6"/>
    <mergeCell ref="AL5:AN5"/>
    <mergeCell ref="AL6:AN6"/>
    <mergeCell ref="H6:J6"/>
  </mergeCells>
  <conditionalFormatting sqref="B35">
    <cfRule type="expression" dxfId="167" priority="373">
      <formula>#REF! ="35≠36+38"</formula>
    </cfRule>
  </conditionalFormatting>
  <conditionalFormatting sqref="B39">
    <cfRule type="expression" dxfId="166" priority="374">
      <formula>#REF! ="39≠40+41+42+43+44"</formula>
    </cfRule>
  </conditionalFormatting>
  <conditionalFormatting sqref="B45">
    <cfRule type="expression" dxfId="165" priority="375">
      <formula>#REF! ="45≠33+34+35+39"</formula>
    </cfRule>
  </conditionalFormatting>
  <conditionalFormatting sqref="B50">
    <cfRule type="expression" dxfId="164" priority="376">
      <formula>#REF! ="50≠51+53"</formula>
    </cfRule>
  </conditionalFormatting>
  <conditionalFormatting sqref="B54">
    <cfRule type="expression" dxfId="163" priority="377">
      <formula>#REF! ="54≠55+56+57+58+59"</formula>
    </cfRule>
  </conditionalFormatting>
  <conditionalFormatting sqref="B60">
    <cfRule type="expression" dxfId="162" priority="378">
      <formula>#REF! ="60≠48+49+50+54"</formula>
    </cfRule>
  </conditionalFormatting>
  <conditionalFormatting sqref="B62">
    <cfRule type="expression" dxfId="161" priority="379">
      <formula>#REF! ="62≠45+46+60+61"</formula>
    </cfRule>
  </conditionalFormatting>
  <conditionalFormatting sqref="B64">
    <cfRule type="expression" dxfId="160" priority="380">
      <formula>#REF! ="64≠29+62"</formula>
    </cfRule>
  </conditionalFormatting>
  <conditionalFormatting sqref="B80">
    <cfRule type="expression" dxfId="159" priority="381">
      <formula>#REF! ="80≠73+74+75+76+77+78+79"</formula>
    </cfRule>
  </conditionalFormatting>
  <conditionalFormatting sqref="B87">
    <cfRule type="expression" dxfId="158" priority="382">
      <formula>#REF! ="88≠82+83+84+85+86+87"</formula>
    </cfRule>
  </conditionalFormatting>
  <conditionalFormatting sqref="B93">
    <cfRule type="expression" dxfId="157" priority="383">
      <formula>#REF! = "64≠94"</formula>
    </cfRule>
  </conditionalFormatting>
  <conditionalFormatting sqref="B93">
    <cfRule type="expression" dxfId="156" priority="384">
      <formula>#REF! = "94≠68+69+71+80+88+89+90+91+92"</formula>
    </cfRule>
  </conditionalFormatting>
  <conditionalFormatting sqref="AC35">
    <cfRule type="expression" dxfId="155" priority="277">
      <formula>#REF! ="35≠36+38"</formula>
    </cfRule>
  </conditionalFormatting>
  <conditionalFormatting sqref="AC39">
    <cfRule type="expression" dxfId="154" priority="278">
      <formula>#REF! ="39≠40+41+42+43+44"</formula>
    </cfRule>
  </conditionalFormatting>
  <conditionalFormatting sqref="AC45">
    <cfRule type="expression" dxfId="153" priority="279">
      <formula>#REF! ="45≠33+34+35+39"</formula>
    </cfRule>
  </conditionalFormatting>
  <conditionalFormatting sqref="AC50">
    <cfRule type="expression" dxfId="152" priority="280">
      <formula>#REF! ="50≠51+53"</formula>
    </cfRule>
  </conditionalFormatting>
  <conditionalFormatting sqref="AC54">
    <cfRule type="expression" dxfId="151" priority="281">
      <formula>#REF! ="54≠55+56+57+58+59"</formula>
    </cfRule>
  </conditionalFormatting>
  <conditionalFormatting sqref="AC60">
    <cfRule type="expression" dxfId="150" priority="282">
      <formula>#REF! ="60≠48+49+50+54"</formula>
    </cfRule>
  </conditionalFormatting>
  <conditionalFormatting sqref="AC62">
    <cfRule type="expression" dxfId="149" priority="283">
      <formula>#REF! ="62≠45+46+60+61"</formula>
    </cfRule>
  </conditionalFormatting>
  <conditionalFormatting sqref="AC64">
    <cfRule type="expression" dxfId="148" priority="284">
      <formula>#REF! ="64≠29+62"</formula>
    </cfRule>
  </conditionalFormatting>
  <conditionalFormatting sqref="AC80">
    <cfRule type="expression" dxfId="147" priority="285">
      <formula>#REF! ="80≠73+74+75+76+77+78+79"</formula>
    </cfRule>
  </conditionalFormatting>
  <conditionalFormatting sqref="AC87">
    <cfRule type="expression" dxfId="146" priority="286">
      <formula>#REF! ="88≠82+83+84+85+86+87"</formula>
    </cfRule>
  </conditionalFormatting>
  <conditionalFormatting sqref="AC93">
    <cfRule type="expression" dxfId="145" priority="287">
      <formula>#REF! = "64≠94"</formula>
    </cfRule>
  </conditionalFormatting>
  <conditionalFormatting sqref="AC93">
    <cfRule type="expression" dxfId="144" priority="288">
      <formula>#REF! = "94≠68+69+71+80+88+89+90+91+92"</formula>
    </cfRule>
  </conditionalFormatting>
  <conditionalFormatting sqref="W35">
    <cfRule type="expression" dxfId="143" priority="229">
      <formula>#REF! ="35≠36+38"</formula>
    </cfRule>
  </conditionalFormatting>
  <conditionalFormatting sqref="W39">
    <cfRule type="expression" dxfId="142" priority="230">
      <formula>#REF! ="39≠40+41+42+43+44"</formula>
    </cfRule>
  </conditionalFormatting>
  <conditionalFormatting sqref="W45">
    <cfRule type="expression" dxfId="141" priority="231">
      <formula>#REF! ="45≠33+34+35+39"</formula>
    </cfRule>
  </conditionalFormatting>
  <conditionalFormatting sqref="W50">
    <cfRule type="expression" dxfId="140" priority="232">
      <formula>#REF! ="50≠51+53"</formula>
    </cfRule>
  </conditionalFormatting>
  <conditionalFormatting sqref="W54">
    <cfRule type="expression" dxfId="139" priority="233">
      <formula>#REF! ="54≠55+56+57+58+59"</formula>
    </cfRule>
  </conditionalFormatting>
  <conditionalFormatting sqref="W60">
    <cfRule type="expression" dxfId="138" priority="234">
      <formula>#REF! ="60≠48+49+50+54"</formula>
    </cfRule>
  </conditionalFormatting>
  <conditionalFormatting sqref="W62">
    <cfRule type="expression" dxfId="137" priority="235">
      <formula>#REF! ="62≠45+46+60+61"</formula>
    </cfRule>
  </conditionalFormatting>
  <conditionalFormatting sqref="W64">
    <cfRule type="expression" dxfId="136" priority="236">
      <formula>#REF! ="64≠29+62"</formula>
    </cfRule>
  </conditionalFormatting>
  <conditionalFormatting sqref="W80">
    <cfRule type="expression" dxfId="135" priority="237">
      <formula>#REF! ="80≠73+74+75+76+77+78+79"</formula>
    </cfRule>
  </conditionalFormatting>
  <conditionalFormatting sqref="W87">
    <cfRule type="expression" dxfId="134" priority="238">
      <formula>#REF! ="88≠82+83+84+85+86+87"</formula>
    </cfRule>
  </conditionalFormatting>
  <conditionalFormatting sqref="W93">
    <cfRule type="expression" dxfId="133" priority="239">
      <formula>#REF! = "64≠94"</formula>
    </cfRule>
  </conditionalFormatting>
  <conditionalFormatting sqref="W93">
    <cfRule type="expression" dxfId="132" priority="240">
      <formula>#REF! = "94≠68+69+71+80+88+89+90+91+92"</formula>
    </cfRule>
  </conditionalFormatting>
  <conditionalFormatting sqref="E35">
    <cfRule type="expression" dxfId="131" priority="205">
      <formula>#REF! ="35≠36+38"</formula>
    </cfRule>
  </conditionalFormatting>
  <conditionalFormatting sqref="E39">
    <cfRule type="expression" dxfId="130" priority="206">
      <formula>#REF! ="39≠40+41+42+43+44"</formula>
    </cfRule>
  </conditionalFormatting>
  <conditionalFormatting sqref="E45">
    <cfRule type="expression" dxfId="129" priority="207">
      <formula>#REF! ="45≠33+34+35+39"</formula>
    </cfRule>
  </conditionalFormatting>
  <conditionalFormatting sqref="E50">
    <cfRule type="expression" dxfId="128" priority="208">
      <formula>#REF! ="50≠51+53"</formula>
    </cfRule>
  </conditionalFormatting>
  <conditionalFormatting sqref="E54">
    <cfRule type="expression" dxfId="127" priority="209">
      <formula>#REF! ="54≠55+56+57+58+59"</formula>
    </cfRule>
  </conditionalFormatting>
  <conditionalFormatting sqref="E60">
    <cfRule type="expression" dxfId="126" priority="210">
      <formula>#REF! ="60≠48+49+50+54"</formula>
    </cfRule>
  </conditionalFormatting>
  <conditionalFormatting sqref="E62">
    <cfRule type="expression" dxfId="125" priority="211">
      <formula>#REF! ="62≠45+46+60+61"</formula>
    </cfRule>
  </conditionalFormatting>
  <conditionalFormatting sqref="E64">
    <cfRule type="expression" dxfId="124" priority="212">
      <formula>#REF! ="64≠29+62"</formula>
    </cfRule>
  </conditionalFormatting>
  <conditionalFormatting sqref="E80">
    <cfRule type="expression" dxfId="123" priority="213">
      <formula>#REF! ="80≠73+74+75+76+77+78+79"</formula>
    </cfRule>
  </conditionalFormatting>
  <conditionalFormatting sqref="E87">
    <cfRule type="expression" dxfId="122" priority="214">
      <formula>#REF! ="88≠82+83+84+85+86+87"</formula>
    </cfRule>
  </conditionalFormatting>
  <conditionalFormatting sqref="E93">
    <cfRule type="expression" dxfId="121" priority="215">
      <formula>#REF! = "64≠94"</formula>
    </cfRule>
  </conditionalFormatting>
  <conditionalFormatting sqref="E93">
    <cfRule type="expression" dxfId="120" priority="216">
      <formula>#REF! = "94≠68+69+71+80+88+89+90+91+92"</formula>
    </cfRule>
  </conditionalFormatting>
  <conditionalFormatting sqref="H35">
    <cfRule type="expression" dxfId="119" priority="181">
      <formula>#REF! ="35≠36+38"</formula>
    </cfRule>
  </conditionalFormatting>
  <conditionalFormatting sqref="H39">
    <cfRule type="expression" dxfId="118" priority="182">
      <formula>#REF! ="39≠40+41+42+43+44"</formula>
    </cfRule>
  </conditionalFormatting>
  <conditionalFormatting sqref="H45">
    <cfRule type="expression" dxfId="117" priority="183">
      <formula>#REF! ="45≠33+34+35+39"</formula>
    </cfRule>
  </conditionalFormatting>
  <conditionalFormatting sqref="H50">
    <cfRule type="expression" dxfId="116" priority="184">
      <formula>#REF! ="50≠51+53"</formula>
    </cfRule>
  </conditionalFormatting>
  <conditionalFormatting sqref="H54">
    <cfRule type="expression" dxfId="115" priority="185">
      <formula>#REF! ="54≠55+56+57+58+59"</formula>
    </cfRule>
  </conditionalFormatting>
  <conditionalFormatting sqref="H60">
    <cfRule type="expression" dxfId="114" priority="186">
      <formula>#REF! ="60≠48+49+50+54"</formula>
    </cfRule>
  </conditionalFormatting>
  <conditionalFormatting sqref="H62">
    <cfRule type="expression" dxfId="113" priority="187">
      <formula>#REF! ="62≠45+46+60+61"</formula>
    </cfRule>
  </conditionalFormatting>
  <conditionalFormatting sqref="H64">
    <cfRule type="expression" dxfId="112" priority="188">
      <formula>#REF! ="64≠29+62"</formula>
    </cfRule>
  </conditionalFormatting>
  <conditionalFormatting sqref="H80">
    <cfRule type="expression" dxfId="111" priority="189">
      <formula>#REF! ="80≠73+74+75+76+77+78+79"</formula>
    </cfRule>
  </conditionalFormatting>
  <conditionalFormatting sqref="H87">
    <cfRule type="expression" dxfId="110" priority="190">
      <formula>#REF! ="88≠82+83+84+85+86+87"</formula>
    </cfRule>
  </conditionalFormatting>
  <conditionalFormatting sqref="H93">
    <cfRule type="expression" dxfId="109" priority="191">
      <formula>#REF! = "64≠94"</formula>
    </cfRule>
  </conditionalFormatting>
  <conditionalFormatting sqref="H93">
    <cfRule type="expression" dxfId="108" priority="192">
      <formula>#REF! = "94≠68+69+71+80+88+89+90+91+92"</formula>
    </cfRule>
  </conditionalFormatting>
  <conditionalFormatting sqref="AI35">
    <cfRule type="expression" dxfId="107" priority="157">
      <formula>#REF! ="35≠36+38"</formula>
    </cfRule>
  </conditionalFormatting>
  <conditionalFormatting sqref="AI39">
    <cfRule type="expression" dxfId="106" priority="158">
      <formula>#REF! ="39≠40+41+42+43+44"</formula>
    </cfRule>
  </conditionalFormatting>
  <conditionalFormatting sqref="AI45">
    <cfRule type="expression" dxfId="105" priority="159">
      <formula>#REF! ="45≠33+34+35+39"</formula>
    </cfRule>
  </conditionalFormatting>
  <conditionalFormatting sqref="AI50">
    <cfRule type="expression" dxfId="104" priority="160">
      <formula>#REF! ="50≠51+53"</formula>
    </cfRule>
  </conditionalFormatting>
  <conditionalFormatting sqref="AI54">
    <cfRule type="expression" dxfId="103" priority="161">
      <formula>#REF! ="54≠55+56+57+58+59"</formula>
    </cfRule>
  </conditionalFormatting>
  <conditionalFormatting sqref="AI60">
    <cfRule type="expression" dxfId="102" priority="162">
      <formula>#REF! ="60≠48+49+50+54"</formula>
    </cfRule>
  </conditionalFormatting>
  <conditionalFormatting sqref="AI62">
    <cfRule type="expression" dxfId="101" priority="163">
      <formula>#REF! ="62≠45+46+60+61"</formula>
    </cfRule>
  </conditionalFormatting>
  <conditionalFormatting sqref="AI64">
    <cfRule type="expression" dxfId="100" priority="164">
      <formula>#REF! ="64≠29+62"</formula>
    </cfRule>
  </conditionalFormatting>
  <conditionalFormatting sqref="AI80">
    <cfRule type="expression" dxfId="99" priority="165">
      <formula>#REF! ="80≠73+74+75+76+77+78+79"</formula>
    </cfRule>
  </conditionalFormatting>
  <conditionalFormatting sqref="AI87">
    <cfRule type="expression" dxfId="98" priority="166">
      <formula>#REF! ="88≠82+83+84+85+86+87"</formula>
    </cfRule>
  </conditionalFormatting>
  <conditionalFormatting sqref="AI93">
    <cfRule type="expression" dxfId="97" priority="167">
      <formula>#REF! = "64≠94"</formula>
    </cfRule>
  </conditionalFormatting>
  <conditionalFormatting sqref="AI93">
    <cfRule type="expression" dxfId="96" priority="168">
      <formula>#REF! = "94≠68+69+71+80+88+89+90+91+92"</formula>
    </cfRule>
  </conditionalFormatting>
  <conditionalFormatting sqref="Z35">
    <cfRule type="expression" dxfId="95" priority="133">
      <formula>#REF! ="35≠36+38"</formula>
    </cfRule>
  </conditionalFormatting>
  <conditionalFormatting sqref="Z39">
    <cfRule type="expression" dxfId="94" priority="134">
      <formula>#REF! ="39≠40+41+42+43+44"</formula>
    </cfRule>
  </conditionalFormatting>
  <conditionalFormatting sqref="Z45">
    <cfRule type="expression" dxfId="93" priority="135">
      <formula>#REF! ="45≠33+34+35+39"</formula>
    </cfRule>
  </conditionalFormatting>
  <conditionalFormatting sqref="Z50">
    <cfRule type="expression" dxfId="92" priority="136">
      <formula>#REF! ="50≠51+53"</formula>
    </cfRule>
  </conditionalFormatting>
  <conditionalFormatting sqref="Z54">
    <cfRule type="expression" dxfId="91" priority="137">
      <formula>#REF! ="54≠55+56+57+58+59"</formula>
    </cfRule>
  </conditionalFormatting>
  <conditionalFormatting sqref="Z60">
    <cfRule type="expression" dxfId="90" priority="138">
      <formula>#REF! ="60≠48+49+50+54"</formula>
    </cfRule>
  </conditionalFormatting>
  <conditionalFormatting sqref="Z62">
    <cfRule type="expression" dxfId="89" priority="139">
      <formula>#REF! ="62≠45+46+60+61"</formula>
    </cfRule>
  </conditionalFormatting>
  <conditionalFormatting sqref="Z64">
    <cfRule type="expression" dxfId="88" priority="140">
      <formula>#REF! ="64≠29+62"</formula>
    </cfRule>
  </conditionalFormatting>
  <conditionalFormatting sqref="Z80">
    <cfRule type="expression" dxfId="87" priority="141">
      <formula>#REF! ="80≠73+74+75+76+77+78+79"</formula>
    </cfRule>
  </conditionalFormatting>
  <conditionalFormatting sqref="Z87">
    <cfRule type="expression" dxfId="86" priority="142">
      <formula>#REF! ="88≠82+83+84+85+86+87"</formula>
    </cfRule>
  </conditionalFormatting>
  <conditionalFormatting sqref="Z93">
    <cfRule type="expression" dxfId="85" priority="143">
      <formula>#REF! = "64≠94"</formula>
    </cfRule>
  </conditionalFormatting>
  <conditionalFormatting sqref="Z93">
    <cfRule type="expression" dxfId="84" priority="144">
      <formula>#REF! = "94≠68+69+71+80+88+89+90+91+92"</formula>
    </cfRule>
  </conditionalFormatting>
  <conditionalFormatting sqref="AL35">
    <cfRule type="expression" dxfId="83" priority="109">
      <formula>#REF! ="35≠36+38"</formula>
    </cfRule>
  </conditionalFormatting>
  <conditionalFormatting sqref="AL39">
    <cfRule type="expression" dxfId="82" priority="110">
      <formula>#REF! ="39≠40+41+42+43+44"</formula>
    </cfRule>
  </conditionalFormatting>
  <conditionalFormatting sqref="AL45">
    <cfRule type="expression" dxfId="81" priority="111">
      <formula>#REF! ="45≠33+34+35+39"</formula>
    </cfRule>
  </conditionalFormatting>
  <conditionalFormatting sqref="AL50">
    <cfRule type="expression" dxfId="80" priority="112">
      <formula>#REF! ="50≠51+53"</formula>
    </cfRule>
  </conditionalFormatting>
  <conditionalFormatting sqref="AL54">
    <cfRule type="expression" dxfId="79" priority="113">
      <formula>#REF! ="54≠55+56+57+58+59"</formula>
    </cfRule>
  </conditionalFormatting>
  <conditionalFormatting sqref="AL60">
    <cfRule type="expression" dxfId="78" priority="114">
      <formula>#REF! ="60≠48+49+50+54"</formula>
    </cfRule>
  </conditionalFormatting>
  <conditionalFormatting sqref="AL62">
    <cfRule type="expression" dxfId="77" priority="115">
      <formula>#REF! ="62≠45+46+60+61"</formula>
    </cfRule>
  </conditionalFormatting>
  <conditionalFormatting sqref="AL64">
    <cfRule type="expression" dxfId="76" priority="116">
      <formula>#REF! ="64≠29+62"</formula>
    </cfRule>
  </conditionalFormatting>
  <conditionalFormatting sqref="AL80">
    <cfRule type="expression" dxfId="75" priority="117">
      <formula>#REF! ="80≠73+74+75+76+77+78+79"</formula>
    </cfRule>
  </conditionalFormatting>
  <conditionalFormatting sqref="AL87">
    <cfRule type="expression" dxfId="74" priority="118">
      <formula>#REF! ="88≠82+83+84+85+86+87"</formula>
    </cfRule>
  </conditionalFormatting>
  <conditionalFormatting sqref="AL93">
    <cfRule type="expression" dxfId="73" priority="119">
      <formula>#REF! = "64≠94"</formula>
    </cfRule>
  </conditionalFormatting>
  <conditionalFormatting sqref="AL93">
    <cfRule type="expression" dxfId="72" priority="120">
      <formula>#REF! = "94≠68+69+71+80+88+89+90+91+92"</formula>
    </cfRule>
  </conditionalFormatting>
  <conditionalFormatting sqref="K35">
    <cfRule type="expression" dxfId="71" priority="85">
      <formula>#REF! ="35≠36+38"</formula>
    </cfRule>
  </conditionalFormatting>
  <conditionalFormatting sqref="K39">
    <cfRule type="expression" dxfId="70" priority="86">
      <formula>#REF! ="39≠40+41+42+43+44"</formula>
    </cfRule>
  </conditionalFormatting>
  <conditionalFormatting sqref="K45">
    <cfRule type="expression" dxfId="69" priority="87">
      <formula>#REF! ="45≠33+34+35+39"</formula>
    </cfRule>
  </conditionalFormatting>
  <conditionalFormatting sqref="K50">
    <cfRule type="expression" dxfId="68" priority="88">
      <formula>#REF! ="50≠51+53"</formula>
    </cfRule>
  </conditionalFormatting>
  <conditionalFormatting sqref="K54">
    <cfRule type="expression" dxfId="67" priority="89">
      <formula>#REF! ="54≠55+56+57+58+59"</formula>
    </cfRule>
  </conditionalFormatting>
  <conditionalFormatting sqref="K60">
    <cfRule type="expression" dxfId="66" priority="90">
      <formula>#REF! ="60≠48+49+50+54"</formula>
    </cfRule>
  </conditionalFormatting>
  <conditionalFormatting sqref="K62">
    <cfRule type="expression" dxfId="65" priority="91">
      <formula>#REF! ="62≠45+46+60+61"</formula>
    </cfRule>
  </conditionalFormatting>
  <conditionalFormatting sqref="K64">
    <cfRule type="expression" dxfId="64" priority="92">
      <formula>#REF! ="64≠29+62"</formula>
    </cfRule>
  </conditionalFormatting>
  <conditionalFormatting sqref="K80">
    <cfRule type="expression" dxfId="63" priority="93">
      <formula>#REF! ="80≠73+74+75+76+77+78+79"</formula>
    </cfRule>
  </conditionalFormatting>
  <conditionalFormatting sqref="K87">
    <cfRule type="expression" dxfId="62" priority="94">
      <formula>#REF! ="88≠82+83+84+85+86+87"</formula>
    </cfRule>
  </conditionalFormatting>
  <conditionalFormatting sqref="K93">
    <cfRule type="expression" dxfId="61" priority="95">
      <formula>#REF! = "64≠94"</formula>
    </cfRule>
  </conditionalFormatting>
  <conditionalFormatting sqref="K93">
    <cfRule type="expression" dxfId="60" priority="96">
      <formula>#REF! = "94≠68+69+71+80+88+89+90+91+92"</formula>
    </cfRule>
  </conditionalFormatting>
  <conditionalFormatting sqref="N35">
    <cfRule type="expression" dxfId="59" priority="61">
      <formula>#REF! ="35≠36+38"</formula>
    </cfRule>
  </conditionalFormatting>
  <conditionalFormatting sqref="N39">
    <cfRule type="expression" dxfId="58" priority="62">
      <formula>#REF! ="39≠40+41+42+43+44"</formula>
    </cfRule>
  </conditionalFormatting>
  <conditionalFormatting sqref="N45">
    <cfRule type="expression" dxfId="57" priority="63">
      <formula>#REF! ="45≠33+34+35+39"</formula>
    </cfRule>
  </conditionalFormatting>
  <conditionalFormatting sqref="N50">
    <cfRule type="expression" dxfId="56" priority="64">
      <formula>#REF! ="50≠51+53"</formula>
    </cfRule>
  </conditionalFormatting>
  <conditionalFormatting sqref="N54">
    <cfRule type="expression" dxfId="55" priority="65">
      <formula>#REF! ="54≠55+56+57+58+59"</formula>
    </cfRule>
  </conditionalFormatting>
  <conditionalFormatting sqref="N60">
    <cfRule type="expression" dxfId="54" priority="66">
      <formula>#REF! ="60≠48+49+50+54"</formula>
    </cfRule>
  </conditionalFormatting>
  <conditionalFormatting sqref="N62">
    <cfRule type="expression" dxfId="53" priority="67">
      <formula>#REF! ="62≠45+46+60+61"</formula>
    </cfRule>
  </conditionalFormatting>
  <conditionalFormatting sqref="N64">
    <cfRule type="expression" dxfId="52" priority="68">
      <formula>#REF! ="64≠29+62"</formula>
    </cfRule>
  </conditionalFormatting>
  <conditionalFormatting sqref="N80">
    <cfRule type="expression" dxfId="51" priority="69">
      <formula>#REF! ="80≠73+74+75+76+77+78+79"</formula>
    </cfRule>
  </conditionalFormatting>
  <conditionalFormatting sqref="N87">
    <cfRule type="expression" dxfId="50" priority="70">
      <formula>#REF! ="88≠82+83+84+85+86+87"</formula>
    </cfRule>
  </conditionalFormatting>
  <conditionalFormatting sqref="N93">
    <cfRule type="expression" dxfId="49" priority="71">
      <formula>#REF! = "64≠94"</formula>
    </cfRule>
  </conditionalFormatting>
  <conditionalFormatting sqref="N93">
    <cfRule type="expression" dxfId="48" priority="72">
      <formula>#REF! = "94≠68+69+71+80+88+89+90+91+92"</formula>
    </cfRule>
  </conditionalFormatting>
  <conditionalFormatting sqref="AF35">
    <cfRule type="expression" dxfId="47" priority="37">
      <formula>#REF! ="35≠36+38"</formula>
    </cfRule>
  </conditionalFormatting>
  <conditionalFormatting sqref="AF39">
    <cfRule type="expression" dxfId="46" priority="38">
      <formula>#REF! ="39≠40+41+42+43+44"</formula>
    </cfRule>
  </conditionalFormatting>
  <conditionalFormatting sqref="AF45">
    <cfRule type="expression" dxfId="45" priority="39">
      <formula>#REF! ="45≠33+34+35+39"</formula>
    </cfRule>
  </conditionalFormatting>
  <conditionalFormatting sqref="AF50">
    <cfRule type="expression" dxfId="44" priority="40">
      <formula>#REF! ="50≠51+53"</formula>
    </cfRule>
  </conditionalFormatting>
  <conditionalFormatting sqref="AF54">
    <cfRule type="expression" dxfId="43" priority="41">
      <formula>#REF! ="54≠55+56+57+58+59"</formula>
    </cfRule>
  </conditionalFormatting>
  <conditionalFormatting sqref="AF60">
    <cfRule type="expression" dxfId="42" priority="42">
      <formula>#REF! ="60≠48+49+50+54"</formula>
    </cfRule>
  </conditionalFormatting>
  <conditionalFormatting sqref="AF62">
    <cfRule type="expression" dxfId="41" priority="43">
      <formula>#REF! ="62≠45+46+60+61"</formula>
    </cfRule>
  </conditionalFormatting>
  <conditionalFormatting sqref="AF64">
    <cfRule type="expression" dxfId="40" priority="44">
      <formula>#REF! ="64≠29+62"</formula>
    </cfRule>
  </conditionalFormatting>
  <conditionalFormatting sqref="AF80">
    <cfRule type="expression" dxfId="39" priority="45">
      <formula>#REF! ="80≠73+74+75+76+77+78+79"</formula>
    </cfRule>
  </conditionalFormatting>
  <conditionalFormatting sqref="AF87">
    <cfRule type="expression" dxfId="38" priority="46">
      <formula>#REF! ="88≠82+83+84+85+86+87"</formula>
    </cfRule>
  </conditionalFormatting>
  <conditionalFormatting sqref="AF93">
    <cfRule type="expression" dxfId="37" priority="47">
      <formula>#REF! = "64≠94"</formula>
    </cfRule>
  </conditionalFormatting>
  <conditionalFormatting sqref="AF93">
    <cfRule type="expression" dxfId="36" priority="48">
      <formula>#REF! = "94≠68+69+71+80+88+89+90+91+92"</formula>
    </cfRule>
  </conditionalFormatting>
  <conditionalFormatting sqref="T35">
    <cfRule type="expression" dxfId="35" priority="13">
      <formula>#REF! ="35≠36+38"</formula>
    </cfRule>
  </conditionalFormatting>
  <conditionalFormatting sqref="T39">
    <cfRule type="expression" dxfId="34" priority="14">
      <formula>#REF! ="39≠40+41+42+43+44"</formula>
    </cfRule>
  </conditionalFormatting>
  <conditionalFormatting sqref="T45">
    <cfRule type="expression" dxfId="33" priority="15">
      <formula>#REF! ="45≠33+34+35+39"</formula>
    </cfRule>
  </conditionalFormatting>
  <conditionalFormatting sqref="T50">
    <cfRule type="expression" dxfId="32" priority="16">
      <formula>#REF! ="50≠51+53"</formula>
    </cfRule>
  </conditionalFormatting>
  <conditionalFormatting sqref="T54">
    <cfRule type="expression" dxfId="31" priority="17">
      <formula>#REF! ="54≠55+56+57+58+59"</formula>
    </cfRule>
  </conditionalFormatting>
  <conditionalFormatting sqref="T60">
    <cfRule type="expression" dxfId="30" priority="18">
      <formula>#REF! ="60≠48+49+50+54"</formula>
    </cfRule>
  </conditionalFormatting>
  <conditionalFormatting sqref="T62">
    <cfRule type="expression" dxfId="29" priority="19">
      <formula>#REF! ="62≠45+46+60+61"</formula>
    </cfRule>
  </conditionalFormatting>
  <conditionalFormatting sqref="T64">
    <cfRule type="expression" dxfId="28" priority="20">
      <formula>#REF! ="64≠29+62"</formula>
    </cfRule>
  </conditionalFormatting>
  <conditionalFormatting sqref="T80">
    <cfRule type="expression" dxfId="27" priority="21">
      <formula>#REF! ="80≠73+74+75+76+77+78+79"</formula>
    </cfRule>
  </conditionalFormatting>
  <conditionalFormatting sqref="T87">
    <cfRule type="expression" dxfId="26" priority="22">
      <formula>#REF! ="88≠82+83+84+85+86+87"</formula>
    </cfRule>
  </conditionalFormatting>
  <conditionalFormatting sqref="T93">
    <cfRule type="expression" dxfId="25" priority="23">
      <formula>#REF! = "64≠94"</formula>
    </cfRule>
  </conditionalFormatting>
  <conditionalFormatting sqref="T93">
    <cfRule type="expression" dxfId="24" priority="24">
      <formula>#REF! = "94≠68+69+71+80+88+89+90+91+92"</formula>
    </cfRule>
  </conditionalFormatting>
  <conditionalFormatting sqref="Q35">
    <cfRule type="expression" dxfId="23" priority="1">
      <formula>#REF! ="35≠36+38"</formula>
    </cfRule>
  </conditionalFormatting>
  <conditionalFormatting sqref="Q39">
    <cfRule type="expression" dxfId="22" priority="2">
      <formula>#REF! ="39≠40+41+42+43+44"</formula>
    </cfRule>
  </conditionalFormatting>
  <conditionalFormatting sqref="Q45">
    <cfRule type="expression" dxfId="21" priority="3">
      <formula>#REF! ="45≠33+34+35+39"</formula>
    </cfRule>
  </conditionalFormatting>
  <conditionalFormatting sqref="Q50">
    <cfRule type="expression" dxfId="20" priority="4">
      <formula>#REF! ="50≠51+53"</formula>
    </cfRule>
  </conditionalFormatting>
  <conditionalFormatting sqref="Q54">
    <cfRule type="expression" dxfId="19" priority="5">
      <formula>#REF! ="54≠55+56+57+58+59"</formula>
    </cfRule>
  </conditionalFormatting>
  <conditionalFormatting sqref="Q60">
    <cfRule type="expression" dxfId="18" priority="6">
      <formula>#REF! ="60≠48+49+50+54"</formula>
    </cfRule>
  </conditionalFormatting>
  <conditionalFormatting sqref="Q62">
    <cfRule type="expression" dxfId="17" priority="7">
      <formula>#REF! ="62≠45+46+60+61"</formula>
    </cfRule>
  </conditionalFormatting>
  <conditionalFormatting sqref="Q64">
    <cfRule type="expression" dxfId="16" priority="8">
      <formula>#REF! ="64≠29+62"</formula>
    </cfRule>
  </conditionalFormatting>
  <conditionalFormatting sqref="Q80">
    <cfRule type="expression" dxfId="15" priority="9">
      <formula>#REF! ="80≠73+74+75+76+77+78+79"</formula>
    </cfRule>
  </conditionalFormatting>
  <conditionalFormatting sqref="Q87">
    <cfRule type="expression" dxfId="14" priority="10">
      <formula>#REF! ="88≠82+83+84+85+86+87"</formula>
    </cfRule>
  </conditionalFormatting>
  <conditionalFormatting sqref="Q93">
    <cfRule type="expression" dxfId="13" priority="11">
      <formula>#REF! = "64≠94"</formula>
    </cfRule>
  </conditionalFormatting>
  <conditionalFormatting sqref="Q93">
    <cfRule type="expression" dxfId="12" priority="12">
      <formula>#REF! = "94≠68+69+71+80+88+89+90+91+92"</formula>
    </cfRule>
  </conditionalFormatting>
  <conditionalFormatting sqref="C35 R35 AD35 X35 F35 I35 AJ35 AA35 AM35 L35 O35 AG35 U35">
    <cfRule type="expression" dxfId="11" priority="445">
      <formula>#REF! ="35≠36+38"</formula>
    </cfRule>
  </conditionalFormatting>
  <conditionalFormatting sqref="C39 R39 AD39 X39 F39 I39 AJ39 AA39 AM39 L39 O39 AG39 U39">
    <cfRule type="expression" dxfId="10" priority="448">
      <formula>#REF! ="39≠40+41+42+43+44"</formula>
    </cfRule>
  </conditionalFormatting>
  <conditionalFormatting sqref="C45 R45 AD45 X45 F45 I45 AJ45 AA45 AM45 L45 O45 AG45 U45">
    <cfRule type="expression" dxfId="9" priority="451">
      <formula>#REF! ="45≠33+34+35+39"</formula>
    </cfRule>
  </conditionalFormatting>
  <conditionalFormatting sqref="C50 R50 AD50 X50 F50 I50 AJ50 AA50 AM50 L50 O50 AG50 U50">
    <cfRule type="expression" dxfId="8" priority="454">
      <formula>#REF! ="50≠51+53"</formula>
    </cfRule>
  </conditionalFormatting>
  <conditionalFormatting sqref="C54 R54 AD54 X54 F54 I54 AJ54 AA54 AM54 L54 O54 AG54 U54">
    <cfRule type="expression" dxfId="7" priority="457">
      <formula>#REF! ="54≠55+56+57+58+59"</formula>
    </cfRule>
  </conditionalFormatting>
  <conditionalFormatting sqref="C60 R60 AD60 X60 F60 I60 AJ60 AA60 AM60 L60 O60 AG60 U60">
    <cfRule type="expression" dxfId="6" priority="460">
      <formula>#REF! ="60≠48+49+50+54"</formula>
    </cfRule>
  </conditionalFormatting>
  <conditionalFormatting sqref="C62 R62 AD62 X62 F62 I62 AJ62 AA62 AM62 L62 O62 AG62 U62">
    <cfRule type="expression" dxfId="5" priority="463">
      <formula>#REF! ="62≠45+46+60+61"</formula>
    </cfRule>
  </conditionalFormatting>
  <conditionalFormatting sqref="C64 R64 AD64 X64 F64 I64 AJ64 AA64 AM64 L64 O64 AG64 U64">
    <cfRule type="expression" dxfId="4" priority="466">
      <formula>#REF! ="64≠29+62"</formula>
    </cfRule>
  </conditionalFormatting>
  <conditionalFormatting sqref="C80 R80 AD80 X80 F80 I80 AJ80 AA80 AM80 L80 O80 AG80 U80">
    <cfRule type="expression" dxfId="3" priority="469">
      <formula>#REF! ="80≠73+74+75+76+77+78+79"</formula>
    </cfRule>
  </conditionalFormatting>
  <conditionalFormatting sqref="C87 R87 AD87 X87 F87 I87 AJ87 AA87 AM87 L87 O87 AG87 U87">
    <cfRule type="expression" dxfId="2" priority="472">
      <formula>#REF! ="88≠82+83+84+85+86+87"</formula>
    </cfRule>
  </conditionalFormatting>
  <conditionalFormatting sqref="C93 R93 AD93 X93 F93 I93 AJ93 AA93 AM93 L93 O93 AG93 U93">
    <cfRule type="expression" dxfId="1" priority="475">
      <formula>#REF! = "64≠94"</formula>
    </cfRule>
  </conditionalFormatting>
  <conditionalFormatting sqref="C93 R93 AD93 X93 F93 I93 AJ93 AA93 AM93 L93 O93 AG93 U93">
    <cfRule type="expression" dxfId="0" priority="478">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V20"/>
  <sheetViews>
    <sheetView showGridLines="0" zoomScale="70" zoomScaleNormal="70" workbookViewId="0">
      <pane xSplit="1" ySplit="8" topLeftCell="B11"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529" customWidth="1"/>
    <col min="2" max="34" width="11.7109375" style="529" customWidth="1"/>
    <col min="35" max="250" width="11.42578125" style="529"/>
    <col min="251" max="251" width="62" style="529" customWidth="1"/>
    <col min="252" max="287" width="11.7109375" style="529" customWidth="1"/>
    <col min="288" max="506" width="11.42578125" style="529"/>
    <col min="507" max="507" width="62" style="529" customWidth="1"/>
    <col min="508" max="543" width="11.7109375" style="529" customWidth="1"/>
    <col min="544" max="762" width="11.42578125" style="529"/>
    <col min="763" max="763" width="62" style="529" customWidth="1"/>
    <col min="764" max="799" width="11.7109375" style="529" customWidth="1"/>
    <col min="800" max="1018" width="11.42578125" style="529"/>
    <col min="1019" max="1019" width="62" style="529" customWidth="1"/>
    <col min="1020" max="1055" width="11.7109375" style="529" customWidth="1"/>
    <col min="1056" max="1274" width="11.42578125" style="529"/>
    <col min="1275" max="1275" width="62" style="529" customWidth="1"/>
    <col min="1276" max="1311" width="11.7109375" style="529" customWidth="1"/>
    <col min="1312" max="1530" width="11.42578125" style="529"/>
    <col min="1531" max="1531" width="62" style="529" customWidth="1"/>
    <col min="1532" max="1567" width="11.7109375" style="529" customWidth="1"/>
    <col min="1568" max="1786" width="11.42578125" style="529"/>
    <col min="1787" max="1787" width="62" style="529" customWidth="1"/>
    <col min="1788" max="1823" width="11.7109375" style="529" customWidth="1"/>
    <col min="1824" max="2042" width="11.42578125" style="529"/>
    <col min="2043" max="2043" width="62" style="529" customWidth="1"/>
    <col min="2044" max="2079" width="11.7109375" style="529" customWidth="1"/>
    <col min="2080" max="2298" width="11.42578125" style="529"/>
    <col min="2299" max="2299" width="62" style="529" customWidth="1"/>
    <col min="2300" max="2335" width="11.7109375" style="529" customWidth="1"/>
    <col min="2336" max="2554" width="11.42578125" style="529"/>
    <col min="2555" max="2555" width="62" style="529" customWidth="1"/>
    <col min="2556" max="2591" width="11.7109375" style="529" customWidth="1"/>
    <col min="2592" max="2810" width="11.42578125" style="529"/>
    <col min="2811" max="2811" width="62" style="529" customWidth="1"/>
    <col min="2812" max="2847" width="11.7109375" style="529" customWidth="1"/>
    <col min="2848" max="3066" width="11.42578125" style="529"/>
    <col min="3067" max="3067" width="62" style="529" customWidth="1"/>
    <col min="3068" max="3103" width="11.7109375" style="529" customWidth="1"/>
    <col min="3104" max="3322" width="11.42578125" style="529"/>
    <col min="3323" max="3323" width="62" style="529" customWidth="1"/>
    <col min="3324" max="3359" width="11.7109375" style="529" customWidth="1"/>
    <col min="3360" max="3578" width="11.42578125" style="529"/>
    <col min="3579" max="3579" width="62" style="529" customWidth="1"/>
    <col min="3580" max="3615" width="11.7109375" style="529" customWidth="1"/>
    <col min="3616" max="3834" width="11.42578125" style="529"/>
    <col min="3835" max="3835" width="62" style="529" customWidth="1"/>
    <col min="3836" max="3871" width="11.7109375" style="529" customWidth="1"/>
    <col min="3872" max="4090" width="11.42578125" style="529"/>
    <col min="4091" max="4091" width="62" style="529" customWidth="1"/>
    <col min="4092" max="4127" width="11.7109375" style="529" customWidth="1"/>
    <col min="4128" max="4346" width="11.42578125" style="529"/>
    <col min="4347" max="4347" width="62" style="529" customWidth="1"/>
    <col min="4348" max="4383" width="11.7109375" style="529" customWidth="1"/>
    <col min="4384" max="4602" width="11.42578125" style="529"/>
    <col min="4603" max="4603" width="62" style="529" customWidth="1"/>
    <col min="4604" max="4639" width="11.7109375" style="529" customWidth="1"/>
    <col min="4640" max="4858" width="11.42578125" style="529"/>
    <col min="4859" max="4859" width="62" style="529" customWidth="1"/>
    <col min="4860" max="4895" width="11.7109375" style="529" customWidth="1"/>
    <col min="4896" max="5114" width="11.42578125" style="529"/>
    <col min="5115" max="5115" width="62" style="529" customWidth="1"/>
    <col min="5116" max="5151" width="11.7109375" style="529" customWidth="1"/>
    <col min="5152" max="5370" width="11.42578125" style="529"/>
    <col min="5371" max="5371" width="62" style="529" customWidth="1"/>
    <col min="5372" max="5407" width="11.7109375" style="529" customWidth="1"/>
    <col min="5408" max="5626" width="11.42578125" style="529"/>
    <col min="5627" max="5627" width="62" style="529" customWidth="1"/>
    <col min="5628" max="5663" width="11.7109375" style="529" customWidth="1"/>
    <col min="5664" max="5882" width="11.42578125" style="529"/>
    <col min="5883" max="5883" width="62" style="529" customWidth="1"/>
    <col min="5884" max="5919" width="11.7109375" style="529" customWidth="1"/>
    <col min="5920" max="6138" width="11.42578125" style="529"/>
    <col min="6139" max="6139" width="62" style="529" customWidth="1"/>
    <col min="6140" max="6175" width="11.7109375" style="529" customWidth="1"/>
    <col min="6176" max="6394" width="11.42578125" style="529"/>
    <col min="6395" max="6395" width="62" style="529" customWidth="1"/>
    <col min="6396" max="6431" width="11.7109375" style="529" customWidth="1"/>
    <col min="6432" max="6650" width="11.42578125" style="529"/>
    <col min="6651" max="6651" width="62" style="529" customWidth="1"/>
    <col min="6652" max="6687" width="11.7109375" style="529" customWidth="1"/>
    <col min="6688" max="6906" width="11.42578125" style="529"/>
    <col min="6907" max="6907" width="62" style="529" customWidth="1"/>
    <col min="6908" max="6943" width="11.7109375" style="529" customWidth="1"/>
    <col min="6944" max="7162" width="11.42578125" style="529"/>
    <col min="7163" max="7163" width="62" style="529" customWidth="1"/>
    <col min="7164" max="7199" width="11.7109375" style="529" customWidth="1"/>
    <col min="7200" max="7418" width="11.42578125" style="529"/>
    <col min="7419" max="7419" width="62" style="529" customWidth="1"/>
    <col min="7420" max="7455" width="11.7109375" style="529" customWidth="1"/>
    <col min="7456" max="7674" width="11.42578125" style="529"/>
    <col min="7675" max="7675" width="62" style="529" customWidth="1"/>
    <col min="7676" max="7711" width="11.7109375" style="529" customWidth="1"/>
    <col min="7712" max="7930" width="11.42578125" style="529"/>
    <col min="7931" max="7931" width="62" style="529" customWidth="1"/>
    <col min="7932" max="7967" width="11.7109375" style="529" customWidth="1"/>
    <col min="7968" max="8186" width="11.42578125" style="529"/>
    <col min="8187" max="8187" width="62" style="529" customWidth="1"/>
    <col min="8188" max="8223" width="11.7109375" style="529" customWidth="1"/>
    <col min="8224" max="8442" width="11.42578125" style="529"/>
    <col min="8443" max="8443" width="62" style="529" customWidth="1"/>
    <col min="8444" max="8479" width="11.7109375" style="529" customWidth="1"/>
    <col min="8480" max="8698" width="11.42578125" style="529"/>
    <col min="8699" max="8699" width="62" style="529" customWidth="1"/>
    <col min="8700" max="8735" width="11.7109375" style="529" customWidth="1"/>
    <col min="8736" max="8954" width="11.42578125" style="529"/>
    <col min="8955" max="8955" width="62" style="529" customWidth="1"/>
    <col min="8956" max="8991" width="11.7109375" style="529" customWidth="1"/>
    <col min="8992" max="9210" width="11.42578125" style="529"/>
    <col min="9211" max="9211" width="62" style="529" customWidth="1"/>
    <col min="9212" max="9247" width="11.7109375" style="529" customWidth="1"/>
    <col min="9248" max="9466" width="11.42578125" style="529"/>
    <col min="9467" max="9467" width="62" style="529" customWidth="1"/>
    <col min="9468" max="9503" width="11.7109375" style="529" customWidth="1"/>
    <col min="9504" max="9722" width="11.42578125" style="529"/>
    <col min="9723" max="9723" width="62" style="529" customWidth="1"/>
    <col min="9724" max="9759" width="11.7109375" style="529" customWidth="1"/>
    <col min="9760" max="9978" width="11.42578125" style="529"/>
    <col min="9979" max="9979" width="62" style="529" customWidth="1"/>
    <col min="9980" max="10015" width="11.7109375" style="529" customWidth="1"/>
    <col min="10016" max="10234" width="11.42578125" style="529"/>
    <col min="10235" max="10235" width="62" style="529" customWidth="1"/>
    <col min="10236" max="10271" width="11.7109375" style="529" customWidth="1"/>
    <col min="10272" max="10490" width="11.42578125" style="529"/>
    <col min="10491" max="10491" width="62" style="529" customWidth="1"/>
    <col min="10492" max="10527" width="11.7109375" style="529" customWidth="1"/>
    <col min="10528" max="10746" width="11.42578125" style="529"/>
    <col min="10747" max="10747" width="62" style="529" customWidth="1"/>
    <col min="10748" max="10783" width="11.7109375" style="529" customWidth="1"/>
    <col min="10784" max="11002" width="11.42578125" style="529"/>
    <col min="11003" max="11003" width="62" style="529" customWidth="1"/>
    <col min="11004" max="11039" width="11.7109375" style="529" customWidth="1"/>
    <col min="11040" max="11258" width="11.42578125" style="529"/>
    <col min="11259" max="11259" width="62" style="529" customWidth="1"/>
    <col min="11260" max="11295" width="11.7109375" style="529" customWidth="1"/>
    <col min="11296" max="11514" width="11.42578125" style="529"/>
    <col min="11515" max="11515" width="62" style="529" customWidth="1"/>
    <col min="11516" max="11551" width="11.7109375" style="529" customWidth="1"/>
    <col min="11552" max="11770" width="11.42578125" style="529"/>
    <col min="11771" max="11771" width="62" style="529" customWidth="1"/>
    <col min="11772" max="11807" width="11.7109375" style="529" customWidth="1"/>
    <col min="11808" max="12026" width="11.42578125" style="529"/>
    <col min="12027" max="12027" width="62" style="529" customWidth="1"/>
    <col min="12028" max="12063" width="11.7109375" style="529" customWidth="1"/>
    <col min="12064" max="12282" width="11.42578125" style="529"/>
    <col min="12283" max="12283" width="62" style="529" customWidth="1"/>
    <col min="12284" max="12319" width="11.7109375" style="529" customWidth="1"/>
    <col min="12320" max="12538" width="11.42578125" style="529"/>
    <col min="12539" max="12539" width="62" style="529" customWidth="1"/>
    <col min="12540" max="12575" width="11.7109375" style="529" customWidth="1"/>
    <col min="12576" max="12794" width="11.42578125" style="529"/>
    <col min="12795" max="12795" width="62" style="529" customWidth="1"/>
    <col min="12796" max="12831" width="11.7109375" style="529" customWidth="1"/>
    <col min="12832" max="13050" width="11.42578125" style="529"/>
    <col min="13051" max="13051" width="62" style="529" customWidth="1"/>
    <col min="13052" max="13087" width="11.7109375" style="529" customWidth="1"/>
    <col min="13088" max="13306" width="11.42578125" style="529"/>
    <col min="13307" max="13307" width="62" style="529" customWidth="1"/>
    <col min="13308" max="13343" width="11.7109375" style="529" customWidth="1"/>
    <col min="13344" max="13562" width="11.42578125" style="529"/>
    <col min="13563" max="13563" width="62" style="529" customWidth="1"/>
    <col min="13564" max="13599" width="11.7109375" style="529" customWidth="1"/>
    <col min="13600" max="13818" width="11.42578125" style="529"/>
    <col min="13819" max="13819" width="62" style="529" customWidth="1"/>
    <col min="13820" max="13855" width="11.7109375" style="529" customWidth="1"/>
    <col min="13856" max="14074" width="11.42578125" style="529"/>
    <col min="14075" max="14075" width="62" style="529" customWidth="1"/>
    <col min="14076" max="14111" width="11.7109375" style="529" customWidth="1"/>
    <col min="14112" max="14330" width="11.42578125" style="529"/>
    <col min="14331" max="14331" width="62" style="529" customWidth="1"/>
    <col min="14332" max="14367" width="11.7109375" style="529" customWidth="1"/>
    <col min="14368" max="14586" width="11.42578125" style="529"/>
    <col min="14587" max="14587" width="62" style="529" customWidth="1"/>
    <col min="14588" max="14623" width="11.7109375" style="529" customWidth="1"/>
    <col min="14624" max="14842" width="11.42578125" style="529"/>
    <col min="14843" max="14843" width="62" style="529" customWidth="1"/>
    <col min="14844" max="14879" width="11.7109375" style="529" customWidth="1"/>
    <col min="14880" max="15098" width="11.42578125" style="529"/>
    <col min="15099" max="15099" width="62" style="529" customWidth="1"/>
    <col min="15100" max="15135" width="11.7109375" style="529" customWidth="1"/>
    <col min="15136" max="15354" width="11.42578125" style="529"/>
    <col min="15355" max="15355" width="62" style="529" customWidth="1"/>
    <col min="15356" max="15391" width="11.7109375" style="529" customWidth="1"/>
    <col min="15392" max="15610" width="11.42578125" style="529"/>
    <col min="15611" max="15611" width="62" style="529" customWidth="1"/>
    <col min="15612" max="15647" width="11.7109375" style="529" customWidth="1"/>
    <col min="15648" max="15866" width="11.42578125" style="529"/>
    <col min="15867" max="15867" width="62" style="529" customWidth="1"/>
    <col min="15868" max="15903" width="11.7109375" style="529" customWidth="1"/>
    <col min="15904" max="16122" width="11.42578125" style="529"/>
    <col min="16123" max="16123" width="62" style="529" customWidth="1"/>
    <col min="16124" max="16159" width="11.7109375" style="529" customWidth="1"/>
    <col min="16160" max="16384" width="11.42578125" style="529"/>
  </cols>
  <sheetData>
    <row r="1" spans="1:48" ht="20.25" x14ac:dyDescent="0.3">
      <c r="A1" s="527" t="s">
        <v>167</v>
      </c>
      <c r="B1" s="528" t="s">
        <v>52</v>
      </c>
    </row>
    <row r="2" spans="1:48" ht="20.25" x14ac:dyDescent="0.3">
      <c r="A2" s="527" t="s">
        <v>262</v>
      </c>
    </row>
    <row r="3" spans="1:48" ht="18.75" x14ac:dyDescent="0.3">
      <c r="A3" s="530" t="s">
        <v>322</v>
      </c>
    </row>
    <row r="4" spans="1:48" ht="18.75" x14ac:dyDescent="0.3">
      <c r="A4" s="531" t="s">
        <v>424</v>
      </c>
      <c r="B4" s="532"/>
      <c r="C4" s="533"/>
      <c r="D4" s="534"/>
      <c r="E4" s="532"/>
      <c r="F4" s="533"/>
      <c r="G4" s="534"/>
      <c r="H4" s="533"/>
      <c r="I4" s="533"/>
      <c r="J4" s="534"/>
      <c r="K4" s="533"/>
      <c r="L4" s="533"/>
      <c r="M4" s="534"/>
      <c r="N4" s="532"/>
      <c r="O4" s="533"/>
      <c r="P4" s="534"/>
      <c r="Q4" s="532"/>
      <c r="R4" s="533"/>
      <c r="S4" s="534"/>
      <c r="T4" s="532"/>
      <c r="U4" s="533"/>
      <c r="V4" s="534"/>
      <c r="W4" s="532"/>
      <c r="X4" s="533"/>
      <c r="Y4" s="534"/>
      <c r="Z4" s="532"/>
      <c r="AA4" s="533"/>
      <c r="AB4" s="534"/>
      <c r="AC4" s="532"/>
      <c r="AD4" s="533"/>
      <c r="AE4" s="534"/>
      <c r="AF4" s="532"/>
      <c r="AG4" s="535"/>
      <c r="AH4" s="534"/>
      <c r="AI4" s="536"/>
      <c r="AJ4" s="536"/>
      <c r="AK4" s="536"/>
      <c r="AL4" s="536"/>
      <c r="AM4" s="536"/>
      <c r="AN4" s="536"/>
      <c r="AO4" s="536"/>
      <c r="AP4" s="536"/>
      <c r="AQ4" s="536"/>
      <c r="AR4" s="536"/>
      <c r="AS4" s="536"/>
      <c r="AT4" s="536"/>
      <c r="AU4" s="536"/>
      <c r="AV4" s="536"/>
    </row>
    <row r="5" spans="1:48" ht="18.75" x14ac:dyDescent="0.3">
      <c r="A5" s="537"/>
      <c r="B5" s="756" t="s">
        <v>434</v>
      </c>
      <c r="C5" s="757"/>
      <c r="D5" s="758"/>
      <c r="E5" s="756" t="s">
        <v>170</v>
      </c>
      <c r="F5" s="757"/>
      <c r="G5" s="758"/>
      <c r="H5" s="663"/>
      <c r="I5" s="663"/>
      <c r="J5" s="664"/>
      <c r="K5" s="756" t="s">
        <v>171</v>
      </c>
      <c r="L5" s="757"/>
      <c r="M5" s="758"/>
      <c r="N5" s="756" t="s">
        <v>172</v>
      </c>
      <c r="O5" s="757"/>
      <c r="P5" s="758"/>
      <c r="Q5" s="671" t="s">
        <v>173</v>
      </c>
      <c r="R5" s="672"/>
      <c r="S5" s="673"/>
      <c r="T5" s="656"/>
      <c r="U5" s="657"/>
      <c r="V5" s="658"/>
      <c r="W5" s="756" t="s">
        <v>174</v>
      </c>
      <c r="X5" s="757"/>
      <c r="Y5" s="758"/>
      <c r="Z5" s="750" t="s">
        <v>67</v>
      </c>
      <c r="AA5" s="751"/>
      <c r="AB5" s="752"/>
      <c r="AC5" s="756" t="s">
        <v>72</v>
      </c>
      <c r="AD5" s="757"/>
      <c r="AE5" s="758"/>
      <c r="AF5" s="766" t="s">
        <v>280</v>
      </c>
      <c r="AG5" s="767"/>
      <c r="AH5" s="768"/>
      <c r="AI5" s="565"/>
      <c r="AJ5" s="565"/>
      <c r="AK5" s="762"/>
      <c r="AL5" s="762"/>
      <c r="AM5" s="762"/>
      <c r="AN5" s="762"/>
      <c r="AO5" s="762"/>
      <c r="AP5" s="762"/>
      <c r="AQ5" s="762"/>
      <c r="AR5" s="762"/>
      <c r="AS5" s="762"/>
      <c r="AT5" s="762"/>
      <c r="AU5" s="762"/>
      <c r="AV5" s="762"/>
    </row>
    <row r="6" spans="1:48" ht="18.75" x14ac:dyDescent="0.3">
      <c r="A6" s="539"/>
      <c r="B6" s="759" t="s">
        <v>175</v>
      </c>
      <c r="C6" s="760"/>
      <c r="D6" s="761"/>
      <c r="E6" s="759" t="s">
        <v>176</v>
      </c>
      <c r="F6" s="760"/>
      <c r="G6" s="761"/>
      <c r="H6" s="759" t="s">
        <v>386</v>
      </c>
      <c r="I6" s="760"/>
      <c r="J6" s="761"/>
      <c r="K6" s="759" t="s">
        <v>176</v>
      </c>
      <c r="L6" s="760"/>
      <c r="M6" s="761"/>
      <c r="N6" s="759" t="s">
        <v>177</v>
      </c>
      <c r="O6" s="760"/>
      <c r="P6" s="761"/>
      <c r="Q6" s="759" t="s">
        <v>63</v>
      </c>
      <c r="R6" s="760"/>
      <c r="S6" s="761"/>
      <c r="T6" s="759" t="s">
        <v>65</v>
      </c>
      <c r="U6" s="760"/>
      <c r="V6" s="761"/>
      <c r="W6" s="759" t="s">
        <v>175</v>
      </c>
      <c r="X6" s="760"/>
      <c r="Y6" s="761"/>
      <c r="Z6" s="753" t="s">
        <v>400</v>
      </c>
      <c r="AA6" s="754"/>
      <c r="AB6" s="755"/>
      <c r="AC6" s="759" t="s">
        <v>176</v>
      </c>
      <c r="AD6" s="760"/>
      <c r="AE6" s="761"/>
      <c r="AF6" s="763" t="s">
        <v>281</v>
      </c>
      <c r="AG6" s="764"/>
      <c r="AH6" s="765"/>
      <c r="AI6" s="565"/>
      <c r="AJ6" s="565"/>
      <c r="AK6" s="762"/>
      <c r="AL6" s="762"/>
      <c r="AM6" s="762"/>
      <c r="AN6" s="762"/>
      <c r="AO6" s="762"/>
      <c r="AP6" s="762"/>
      <c r="AQ6" s="762"/>
      <c r="AR6" s="762"/>
      <c r="AS6" s="762"/>
      <c r="AT6" s="762"/>
      <c r="AU6" s="762"/>
      <c r="AV6" s="762"/>
    </row>
    <row r="7" spans="1:48" ht="18.75" x14ac:dyDescent="0.3">
      <c r="A7" s="539"/>
      <c r="B7" s="540"/>
      <c r="C7" s="540"/>
      <c r="D7" s="541" t="s">
        <v>80</v>
      </c>
      <c r="E7" s="540"/>
      <c r="F7" s="540"/>
      <c r="G7" s="541" t="s">
        <v>80</v>
      </c>
      <c r="H7" s="540"/>
      <c r="I7" s="540"/>
      <c r="J7" s="541" t="s">
        <v>80</v>
      </c>
      <c r="K7" s="540"/>
      <c r="L7" s="540"/>
      <c r="M7" s="541" t="s">
        <v>80</v>
      </c>
      <c r="N7" s="540"/>
      <c r="O7" s="540"/>
      <c r="P7" s="541" t="s">
        <v>80</v>
      </c>
      <c r="Q7" s="540"/>
      <c r="R7" s="540"/>
      <c r="S7" s="541" t="s">
        <v>80</v>
      </c>
      <c r="T7" s="540"/>
      <c r="U7" s="540"/>
      <c r="V7" s="541" t="s">
        <v>80</v>
      </c>
      <c r="W7" s="540"/>
      <c r="X7" s="540"/>
      <c r="Y7" s="541" t="s">
        <v>80</v>
      </c>
      <c r="Z7" s="540"/>
      <c r="AA7" s="540"/>
      <c r="AB7" s="541" t="s">
        <v>80</v>
      </c>
      <c r="AC7" s="540"/>
      <c r="AD7" s="540"/>
      <c r="AE7" s="541" t="s">
        <v>80</v>
      </c>
      <c r="AF7" s="540"/>
      <c r="AG7" s="540"/>
      <c r="AH7" s="541" t="s">
        <v>80</v>
      </c>
      <c r="AI7" s="565"/>
      <c r="AJ7" s="565"/>
      <c r="AK7" s="538"/>
      <c r="AL7" s="538"/>
      <c r="AM7" s="538"/>
      <c r="AN7" s="538"/>
      <c r="AO7" s="538"/>
      <c r="AP7" s="538"/>
      <c r="AQ7" s="538"/>
      <c r="AR7" s="538"/>
      <c r="AS7" s="538"/>
      <c r="AT7" s="538"/>
      <c r="AU7" s="538"/>
      <c r="AV7" s="538"/>
    </row>
    <row r="8" spans="1:48" ht="15.75" x14ac:dyDescent="0.25">
      <c r="A8" s="542" t="s">
        <v>283</v>
      </c>
      <c r="B8" s="543">
        <v>2022</v>
      </c>
      <c r="C8" s="543">
        <v>2023</v>
      </c>
      <c r="D8" s="544" t="s">
        <v>82</v>
      </c>
      <c r="E8" s="543">
        <f t="shared" ref="E8" si="0">$B$8</f>
        <v>2022</v>
      </c>
      <c r="F8" s="543">
        <f t="shared" ref="F8" si="1">$C$8</f>
        <v>2023</v>
      </c>
      <c r="G8" s="544" t="s">
        <v>82</v>
      </c>
      <c r="H8" s="543">
        <f t="shared" ref="H8" si="2">$B$8</f>
        <v>2022</v>
      </c>
      <c r="I8" s="543">
        <f t="shared" ref="I8" si="3">$C$8</f>
        <v>2023</v>
      </c>
      <c r="J8" s="544" t="s">
        <v>82</v>
      </c>
      <c r="K8" s="543">
        <f t="shared" ref="K8" si="4">$B$8</f>
        <v>2022</v>
      </c>
      <c r="L8" s="543">
        <f t="shared" ref="L8" si="5">$C$8</f>
        <v>2023</v>
      </c>
      <c r="M8" s="544" t="s">
        <v>82</v>
      </c>
      <c r="N8" s="543">
        <f t="shared" ref="N8" si="6">$B$8</f>
        <v>2022</v>
      </c>
      <c r="O8" s="543">
        <f t="shared" ref="O8" si="7">$C$8</f>
        <v>2023</v>
      </c>
      <c r="P8" s="544" t="s">
        <v>82</v>
      </c>
      <c r="Q8" s="543">
        <f t="shared" ref="Q8" si="8">$B$8</f>
        <v>2022</v>
      </c>
      <c r="R8" s="543">
        <f t="shared" ref="R8" si="9">$C$8</f>
        <v>2023</v>
      </c>
      <c r="S8" s="544" t="s">
        <v>82</v>
      </c>
      <c r="T8" s="543">
        <f t="shared" ref="T8" si="10">$B$8</f>
        <v>2022</v>
      </c>
      <c r="U8" s="543">
        <f t="shared" ref="U8" si="11">$C$8</f>
        <v>2023</v>
      </c>
      <c r="V8" s="544" t="s">
        <v>82</v>
      </c>
      <c r="W8" s="543">
        <f t="shared" ref="W8" si="12">$B$8</f>
        <v>2022</v>
      </c>
      <c r="X8" s="543">
        <f t="shared" ref="X8" si="13">$C$8</f>
        <v>2023</v>
      </c>
      <c r="Y8" s="544" t="s">
        <v>82</v>
      </c>
      <c r="Z8" s="543">
        <f t="shared" ref="Z8" si="14">$B$8</f>
        <v>2022</v>
      </c>
      <c r="AA8" s="543">
        <f t="shared" ref="AA8" si="15">$C$8</f>
        <v>2023</v>
      </c>
      <c r="AB8" s="544" t="s">
        <v>82</v>
      </c>
      <c r="AC8" s="543">
        <f t="shared" ref="AC8" si="16">$B$8</f>
        <v>2022</v>
      </c>
      <c r="AD8" s="543">
        <f t="shared" ref="AD8" si="17">$C$8</f>
        <v>2023</v>
      </c>
      <c r="AE8" s="544" t="s">
        <v>82</v>
      </c>
      <c r="AF8" s="543">
        <f t="shared" ref="AF8" si="18">$B$8</f>
        <v>2022</v>
      </c>
      <c r="AG8" s="543">
        <f t="shared" ref="AG8" si="19">$C$8</f>
        <v>2023</v>
      </c>
      <c r="AH8" s="544" t="s">
        <v>82</v>
      </c>
      <c r="AI8" s="546"/>
      <c r="AJ8" s="545"/>
      <c r="AK8" s="546"/>
      <c r="AL8" s="546"/>
      <c r="AM8" s="545"/>
      <c r="AN8" s="546"/>
      <c r="AO8" s="546"/>
      <c r="AP8" s="545"/>
      <c r="AQ8" s="546"/>
      <c r="AR8" s="546"/>
      <c r="AS8" s="545"/>
      <c r="AT8" s="546"/>
      <c r="AU8" s="546"/>
      <c r="AV8" s="545"/>
    </row>
    <row r="9" spans="1:48" s="518" customFormat="1" ht="18.75" x14ac:dyDescent="0.3">
      <c r="A9" s="547"/>
      <c r="B9" s="548"/>
      <c r="C9" s="548"/>
      <c r="D9" s="548"/>
      <c r="E9" s="659"/>
      <c r="F9" s="659"/>
      <c r="G9" s="554"/>
      <c r="H9" s="659"/>
      <c r="I9" s="659"/>
      <c r="J9" s="554"/>
      <c r="K9" s="659"/>
      <c r="L9" s="659"/>
      <c r="M9" s="554"/>
      <c r="N9" s="659"/>
      <c r="O9" s="659"/>
      <c r="P9" s="554"/>
      <c r="Q9" s="659"/>
      <c r="R9" s="659"/>
      <c r="S9" s="554"/>
      <c r="T9" s="653"/>
      <c r="U9" s="653"/>
      <c r="V9" s="554"/>
      <c r="W9" s="659"/>
      <c r="X9" s="659"/>
      <c r="Y9" s="554"/>
      <c r="Z9" s="659"/>
      <c r="AA9" s="659"/>
      <c r="AB9" s="554"/>
      <c r="AC9" s="659"/>
      <c r="AD9" s="659"/>
      <c r="AE9" s="689"/>
      <c r="AF9" s="548"/>
      <c r="AG9" s="548"/>
      <c r="AH9" s="548"/>
    </row>
    <row r="10" spans="1:48" s="518" customFormat="1" ht="18.75" x14ac:dyDescent="0.3">
      <c r="A10" s="549" t="s">
        <v>387</v>
      </c>
      <c r="B10" s="554"/>
      <c r="C10" s="554"/>
      <c r="D10" s="554"/>
      <c r="E10" s="659"/>
      <c r="F10" s="659"/>
      <c r="G10" s="554"/>
      <c r="H10" s="659"/>
      <c r="I10" s="659"/>
      <c r="J10" s="554"/>
      <c r="K10" s="659"/>
      <c r="L10" s="659"/>
      <c r="M10" s="554"/>
      <c r="N10" s="659"/>
      <c r="O10" s="659"/>
      <c r="P10" s="554"/>
      <c r="Q10" s="659"/>
      <c r="R10" s="659"/>
      <c r="S10" s="554"/>
      <c r="T10" s="653"/>
      <c r="U10" s="653"/>
      <c r="V10" s="554"/>
      <c r="W10" s="653"/>
      <c r="X10" s="653"/>
      <c r="Y10" s="554"/>
      <c r="Z10" s="659"/>
      <c r="AA10" s="653"/>
      <c r="AB10" s="554"/>
      <c r="AC10" s="653"/>
      <c r="AD10" s="653"/>
      <c r="AE10" s="689"/>
      <c r="AF10" s="554"/>
      <c r="AG10" s="554"/>
      <c r="AH10" s="555"/>
    </row>
    <row r="11" spans="1:48" ht="22.5" x14ac:dyDescent="0.3">
      <c r="A11" s="549" t="s">
        <v>388</v>
      </c>
      <c r="B11" s="554">
        <v>1.05</v>
      </c>
      <c r="C11" s="554"/>
      <c r="D11" s="555"/>
      <c r="E11" s="659">
        <v>0.88</v>
      </c>
      <c r="F11" s="660">
        <v>0.62</v>
      </c>
      <c r="G11" s="555"/>
      <c r="H11" s="659">
        <v>-0.8</v>
      </c>
      <c r="I11" s="659">
        <v>0.01</v>
      </c>
      <c r="J11" s="555"/>
      <c r="K11" s="659"/>
      <c r="L11" s="659"/>
      <c r="M11" s="554"/>
      <c r="N11" s="659">
        <v>0.98799999999999999</v>
      </c>
      <c r="O11" s="659">
        <v>0.61799999999999999</v>
      </c>
      <c r="P11" s="555"/>
      <c r="Q11" s="659">
        <v>-0.75</v>
      </c>
      <c r="R11" s="659">
        <v>2.4900000000000002</v>
      </c>
      <c r="S11" s="555"/>
      <c r="T11" s="653">
        <v>1.5</v>
      </c>
      <c r="U11" s="653">
        <v>1.8</v>
      </c>
      <c r="V11" s="555"/>
      <c r="W11" s="653">
        <v>5.9</v>
      </c>
      <c r="X11" s="653">
        <v>2.31</v>
      </c>
      <c r="Y11" s="554"/>
      <c r="Z11" s="659">
        <v>1.44212516383178</v>
      </c>
      <c r="AA11" s="653">
        <v>0.87695031760206499</v>
      </c>
      <c r="AB11" s="555"/>
      <c r="AC11" s="653">
        <v>0.31</v>
      </c>
      <c r="AD11" s="653">
        <v>0.33</v>
      </c>
      <c r="AE11" s="690"/>
      <c r="AF11" s="555"/>
      <c r="AG11" s="555"/>
      <c r="AH11" s="555"/>
    </row>
    <row r="12" spans="1:48" ht="18.75" x14ac:dyDescent="0.3">
      <c r="A12" s="549" t="s">
        <v>389</v>
      </c>
      <c r="B12" s="554">
        <v>0.8</v>
      </c>
      <c r="C12" s="554"/>
      <c r="D12" s="555"/>
      <c r="E12" s="659">
        <v>-0.21</v>
      </c>
      <c r="F12" s="660">
        <v>1.1000000000000001</v>
      </c>
      <c r="G12" s="555"/>
      <c r="H12" s="659">
        <v>-0.9</v>
      </c>
      <c r="I12" s="659">
        <v>1.6</v>
      </c>
      <c r="J12" s="555"/>
      <c r="K12" s="659"/>
      <c r="L12" s="659"/>
      <c r="M12" s="554"/>
      <c r="N12" s="659">
        <v>0.85</v>
      </c>
      <c r="O12" s="659">
        <v>0.624</v>
      </c>
      <c r="P12" s="555"/>
      <c r="Q12" s="659">
        <v>-2.2999999999999998</v>
      </c>
      <c r="R12" s="659">
        <v>1.17</v>
      </c>
      <c r="S12" s="555"/>
      <c r="T12" s="653">
        <v>0.7</v>
      </c>
      <c r="U12" s="653">
        <v>1.1000000000000001</v>
      </c>
      <c r="V12" s="555"/>
      <c r="W12" s="653">
        <v>-0.4</v>
      </c>
      <c r="X12" s="555" t="str">
        <f t="shared" ref="X12" si="20">IF(V12=0, "    ---- ", IF(ABS(ROUND(100/V12*W12-100,1))&lt;999,ROUND(100/V12*W12-100,1),IF(ROUND(100/V12*W12-100,1)&gt;999,999,-999)))</f>
        <v xml:space="preserve">    ---- </v>
      </c>
      <c r="Y12" s="554"/>
      <c r="Z12" s="659">
        <v>-0.20920009606689699</v>
      </c>
      <c r="AA12" s="653">
        <v>2.0942553701412998</v>
      </c>
      <c r="AB12" s="555"/>
      <c r="AC12" s="653">
        <v>-1.57</v>
      </c>
      <c r="AD12" s="653">
        <v>-0.01</v>
      </c>
      <c r="AE12" s="690"/>
      <c r="AF12" s="555"/>
      <c r="AG12" s="555"/>
      <c r="AH12" s="555"/>
    </row>
    <row r="13" spans="1:48" ht="18.75" x14ac:dyDescent="0.3">
      <c r="A13" s="549"/>
      <c r="B13" s="554"/>
      <c r="C13" s="554"/>
      <c r="D13" s="554"/>
      <c r="E13" s="659"/>
      <c r="F13" s="660"/>
      <c r="G13" s="554"/>
      <c r="H13" s="659"/>
      <c r="I13" s="659"/>
      <c r="J13" s="554"/>
      <c r="K13" s="659"/>
      <c r="L13" s="659"/>
      <c r="M13" s="554"/>
      <c r="N13" s="659"/>
      <c r="O13" s="659"/>
      <c r="P13" s="554"/>
      <c r="Q13" s="659"/>
      <c r="R13" s="659"/>
      <c r="S13" s="554"/>
      <c r="T13" s="653"/>
      <c r="U13" s="653"/>
      <c r="V13" s="554"/>
      <c r="W13" s="653"/>
      <c r="X13" s="653"/>
      <c r="Y13" s="554"/>
      <c r="Z13" s="659"/>
      <c r="AA13" s="653"/>
      <c r="AB13" s="554"/>
      <c r="AC13" s="653"/>
      <c r="AD13" s="653"/>
      <c r="AE13" s="689"/>
      <c r="AF13" s="554"/>
      <c r="AG13" s="554"/>
      <c r="AH13" s="554"/>
    </row>
    <row r="14" spans="1:48" ht="18.75" x14ac:dyDescent="0.3">
      <c r="A14" s="549" t="s">
        <v>390</v>
      </c>
      <c r="B14" s="554"/>
      <c r="C14" s="554"/>
      <c r="D14" s="555"/>
      <c r="E14" s="659">
        <v>24.56</v>
      </c>
      <c r="F14" s="659">
        <v>19.329999999999998</v>
      </c>
      <c r="G14" s="555"/>
      <c r="H14" s="659">
        <v>40.07</v>
      </c>
      <c r="I14" s="659">
        <v>38.516990597236131</v>
      </c>
      <c r="J14" s="555"/>
      <c r="K14" s="659">
        <v>32.299999999999997</v>
      </c>
      <c r="L14" s="659">
        <v>27.1</v>
      </c>
      <c r="M14" s="555"/>
      <c r="N14" s="659">
        <v>13.64</v>
      </c>
      <c r="O14" s="659">
        <v>6.7</v>
      </c>
      <c r="P14" s="555"/>
      <c r="Q14" s="659">
        <v>23.470165972928299</v>
      </c>
      <c r="R14" s="659">
        <f>22.6791511724038</f>
        <v>22.679151172403799</v>
      </c>
      <c r="S14" s="555"/>
      <c r="T14" s="653">
        <v>36.299999999999997</v>
      </c>
      <c r="U14" s="653">
        <v>32.299999999999997</v>
      </c>
      <c r="V14" s="555"/>
      <c r="W14" s="659">
        <f>(1430+1240+10049+28948+771)/(72659+9393)*100</f>
        <v>51.720859942475506</v>
      </c>
      <c r="X14" s="659">
        <f>(1430+1240+10420+27647-1441)/(78562+7398)*100</f>
        <v>45.714285714285715</v>
      </c>
      <c r="Y14" s="555"/>
      <c r="Z14" s="659">
        <v>34.81127577671969</v>
      </c>
      <c r="AA14" s="653">
        <f>('[2]Tabell 6'!AG68+'[2]Tabell 6'!AG71+'[2]Tabell 6'!AG74+'[2]Tabell 6'!AG75+'[2]Tabell 6'!AG78-311.746)/('[2]Tabell 6'!AG80)*100</f>
        <v>35.081563488893714</v>
      </c>
      <c r="AB14" s="555"/>
      <c r="AC14" s="653">
        <v>23</v>
      </c>
      <c r="AD14" s="666">
        <v>10.7</v>
      </c>
      <c r="AE14" s="690"/>
      <c r="AF14" s="555"/>
      <c r="AG14" s="555"/>
      <c r="AH14" s="555"/>
    </row>
    <row r="15" spans="1:48" ht="18.75" x14ac:dyDescent="0.3">
      <c r="A15" s="549"/>
      <c r="B15" s="554"/>
      <c r="C15" s="554"/>
      <c r="D15" s="554"/>
      <c r="E15" s="659"/>
      <c r="F15" s="659"/>
      <c r="G15" s="554"/>
      <c r="H15" s="659"/>
      <c r="I15" s="659"/>
      <c r="J15" s="554"/>
      <c r="K15" s="659"/>
      <c r="L15" s="659"/>
      <c r="M15" s="554"/>
      <c r="N15" s="659"/>
      <c r="O15" s="659"/>
      <c r="P15" s="554"/>
      <c r="Q15" s="659"/>
      <c r="R15" s="659"/>
      <c r="S15" s="554"/>
      <c r="T15" s="653"/>
      <c r="U15" s="653"/>
      <c r="V15" s="554"/>
      <c r="W15" s="653"/>
      <c r="X15" s="653"/>
      <c r="Y15" s="554"/>
      <c r="Z15" s="659"/>
      <c r="AA15" s="653"/>
      <c r="AB15" s="554"/>
      <c r="AC15" s="653"/>
      <c r="AD15" s="653"/>
      <c r="AE15" s="689"/>
      <c r="AF15" s="554"/>
      <c r="AG15" s="554"/>
      <c r="AH15" s="554"/>
    </row>
    <row r="16" spans="1:48" ht="18.75" x14ac:dyDescent="0.3">
      <c r="A16" s="549" t="s">
        <v>331</v>
      </c>
      <c r="B16" s="555">
        <v>64.567999999999998</v>
      </c>
      <c r="C16" s="555"/>
      <c r="D16" s="555">
        <f>IF(B16=0, "    ---- ", IF(ABS(ROUND(100/B16*C16-100,1))&lt;999,ROUND(100/B16*C16-100,1),IF(ROUND(100/B16*C16-100,1)&gt;999,999,-999)))</f>
        <v>-100</v>
      </c>
      <c r="E16" s="661">
        <v>1011.905</v>
      </c>
      <c r="F16" s="661">
        <v>1743</v>
      </c>
      <c r="G16" s="555">
        <f>IF(E16=0, "    ---- ", IF(ABS(ROUND(100/E16*F16-100,1))&lt;999,ROUND(100/E16*F16-100,1),IF(ROUND(100/E16*F16-100,1)&gt;999,999,-999)))</f>
        <v>72.2</v>
      </c>
      <c r="H16" s="661"/>
      <c r="I16" s="661"/>
      <c r="J16" s="555"/>
      <c r="K16" s="661"/>
      <c r="L16" s="661"/>
      <c r="M16" s="555"/>
      <c r="N16" s="661">
        <v>1.1519999999999999</v>
      </c>
      <c r="O16" s="661">
        <v>0.433</v>
      </c>
      <c r="P16" s="555">
        <f>IF(N16=0, "    ---- ", IF(ABS(ROUND(100/N16*O16-100,1))&lt;999,ROUND(100/N16*O16-100,1),IF(ROUND(100/N16*O16-100,1)&gt;999,999,-999)))</f>
        <v>-62.4</v>
      </c>
      <c r="Q16" s="661">
        <v>117604.62277492</v>
      </c>
      <c r="R16" s="661">
        <v>102145.58787620999</v>
      </c>
      <c r="S16" s="555">
        <f>IF(Q16=0, "    ---- ", IF(ABS(ROUND(100/Q16*R16-100,1))&lt;999,ROUND(100/Q16*R16-100,1),IF(ROUND(100/Q16*R16-100,1)&gt;999,999,-999)))</f>
        <v>-13.1</v>
      </c>
      <c r="T16" s="654">
        <v>2963</v>
      </c>
      <c r="U16" s="654">
        <v>1758</v>
      </c>
      <c r="V16" s="555">
        <f>IF(T16=0, "    ---- ", IF(ABS(ROUND(100/T16*U16-100,1))&lt;999,ROUND(100/T16*U16-100,1),IF(ROUND(100/T16*U16-100,1)&gt;999,999,-999)))</f>
        <v>-40.700000000000003</v>
      </c>
      <c r="W16" s="667"/>
      <c r="X16" s="654"/>
      <c r="Y16" s="555"/>
      <c r="Z16" s="661">
        <v>2352.1770000000001</v>
      </c>
      <c r="AA16" s="196">
        <v>2376.3110000000001</v>
      </c>
      <c r="AB16" s="555">
        <f>IF(Z16=0, "    ---- ", IF(ABS(ROUND(100/Z16*AA16-100,1))&lt;999,ROUND(100/Z16*AA16-100,1),IF(ROUND(100/Z16*AA16-100,1)&gt;999,999,-999)))</f>
        <v>1</v>
      </c>
      <c r="AC16" s="654">
        <v>1977</v>
      </c>
      <c r="AD16" s="654">
        <v>1620</v>
      </c>
      <c r="AE16" s="690">
        <f>IF(AC16=0, "    ---- ", IF(ABS(ROUND(100/AC16*AD16-100,1))&lt;999,ROUND(100/AC16*AD16-100,1),IF(ROUND(100/AC16*AD16-100,1)&gt;999,999,-999)))</f>
        <v>-18.100000000000001</v>
      </c>
      <c r="AF16" s="555">
        <f>B16+E16+H16+K16+N16+Q16+T16+W16+Z16+AC16</f>
        <v>125974.42477492</v>
      </c>
      <c r="AG16" s="555">
        <f>C16+F16+I16+L16+O16+R16+U16+X16+AA16+AD16</f>
        <v>109643.33187621</v>
      </c>
      <c r="AH16" s="555">
        <f>IF(AF16=0, "    ---- ", IF(ABS(ROUND(100/AF16*AG16-100,1))&lt;999,ROUND(100/AF16*AG16-100,1),IF(ROUND(100/AF16*AG16-100,1)&gt;999,999,-999)))</f>
        <v>-13</v>
      </c>
    </row>
    <row r="17" spans="1:34" ht="18.75" x14ac:dyDescent="0.3">
      <c r="A17" s="549"/>
      <c r="B17" s="555"/>
      <c r="C17" s="555"/>
      <c r="D17" s="555"/>
      <c r="E17" s="661"/>
      <c r="F17" s="661"/>
      <c r="G17" s="555"/>
      <c r="H17" s="661"/>
      <c r="I17" s="661"/>
      <c r="J17" s="555"/>
      <c r="K17" s="661"/>
      <c r="L17" s="661"/>
      <c r="M17" s="555"/>
      <c r="N17" s="661"/>
      <c r="O17" s="661"/>
      <c r="P17" s="555"/>
      <c r="Q17" s="661"/>
      <c r="R17" s="661"/>
      <c r="S17" s="555"/>
      <c r="T17" s="654"/>
      <c r="U17" s="654"/>
      <c r="V17" s="555"/>
      <c r="W17" s="667"/>
      <c r="X17" s="654"/>
      <c r="Y17" s="555"/>
      <c r="Z17" s="661"/>
      <c r="AA17" s="104"/>
      <c r="AB17" s="555"/>
      <c r="AC17" s="654"/>
      <c r="AD17" s="654"/>
      <c r="AE17" s="690"/>
      <c r="AF17" s="555"/>
      <c r="AG17" s="555"/>
      <c r="AH17" s="555"/>
    </row>
    <row r="18" spans="1:34" ht="18.75" x14ac:dyDescent="0.3">
      <c r="A18" s="549" t="s">
        <v>422</v>
      </c>
      <c r="B18" s="555"/>
      <c r="C18" s="555"/>
      <c r="D18" s="555"/>
      <c r="E18" s="661"/>
      <c r="F18" s="661"/>
      <c r="G18" s="555"/>
      <c r="H18" s="661"/>
      <c r="I18" s="661"/>
      <c r="J18" s="555"/>
      <c r="K18" s="661"/>
      <c r="L18" s="661"/>
      <c r="M18" s="555"/>
      <c r="N18" s="661"/>
      <c r="O18" s="661"/>
      <c r="P18" s="555"/>
      <c r="Q18" s="661"/>
      <c r="R18" s="661"/>
      <c r="S18" s="555"/>
      <c r="T18" s="654"/>
      <c r="U18" s="654"/>
      <c r="V18" s="555"/>
      <c r="W18" s="667"/>
      <c r="X18" s="654"/>
      <c r="Y18" s="555"/>
      <c r="Z18" s="661"/>
      <c r="AA18" s="654"/>
      <c r="AB18" s="555"/>
      <c r="AC18" s="654"/>
      <c r="AD18" s="654">
        <v>1685</v>
      </c>
      <c r="AE18" s="690" t="str">
        <f>IF(AC18=0, "    ---- ", IF(ABS(ROUND(100/AC18*AD18-100,1))&lt;999,ROUND(100/AC18*AD18-100,1),IF(ROUND(100/AC18*AD18-100,1)&gt;999,999,-999)))</f>
        <v xml:space="preserve">    ---- </v>
      </c>
      <c r="AF18" s="555">
        <f>B18+E18+H18+K18+N18+Q18+T18+W18+Z18+AC18</f>
        <v>0</v>
      </c>
      <c r="AG18" s="555">
        <f>C18+F18+I18+L18+O18+R18+U18+X18+AA18+AD18</f>
        <v>1685</v>
      </c>
      <c r="AH18" s="555" t="str">
        <f>IF(AF18=0, "    ---- ", IF(ABS(ROUND(100/AF18*AG18-100,1))&lt;999,ROUND(100/AF18*AG18-100,1),IF(ROUND(100/AF18*AG18-100,1)&gt;999,999,-999)))</f>
        <v xml:space="preserve">    ---- </v>
      </c>
    </row>
    <row r="19" spans="1:34" ht="18.75" x14ac:dyDescent="0.3">
      <c r="A19" s="549"/>
      <c r="B19" s="555"/>
      <c r="C19" s="555"/>
      <c r="D19" s="555"/>
      <c r="E19" s="661"/>
      <c r="F19" s="661"/>
      <c r="G19" s="555"/>
      <c r="H19" s="661"/>
      <c r="I19" s="661"/>
      <c r="J19" s="555"/>
      <c r="K19" s="661"/>
      <c r="L19" s="661"/>
      <c r="M19" s="555"/>
      <c r="N19" s="661"/>
      <c r="O19" s="661"/>
      <c r="P19" s="555"/>
      <c r="Q19" s="661"/>
      <c r="R19" s="661"/>
      <c r="S19" s="555"/>
      <c r="T19" s="654"/>
      <c r="U19" s="654"/>
      <c r="V19" s="555"/>
      <c r="W19" s="667"/>
      <c r="X19" s="654"/>
      <c r="Y19" s="555"/>
      <c r="Z19" s="661"/>
      <c r="AA19" s="654"/>
      <c r="AB19" s="555"/>
      <c r="AC19" s="654"/>
      <c r="AD19" s="654"/>
      <c r="AE19" s="690"/>
      <c r="AF19" s="555"/>
      <c r="AG19" s="555"/>
      <c r="AH19" s="555"/>
    </row>
    <row r="20" spans="1:34" ht="18.75" x14ac:dyDescent="0.3">
      <c r="A20" s="550" t="s">
        <v>391</v>
      </c>
      <c r="B20" s="556"/>
      <c r="C20" s="556"/>
      <c r="D20" s="556"/>
      <c r="E20" s="662">
        <v>-1413.866</v>
      </c>
      <c r="F20" s="662">
        <v>-3524.8589469199701</v>
      </c>
      <c r="G20" s="556">
        <f>IF(E20=0, "    ---- ", IF(ABS(ROUND(100/E20*F20-100,1))&lt;999,ROUND(100/E20*F20-100,1),IF(ROUND(100/E20*F20-100,1)&gt;999,999,-999)))</f>
        <v>149.30000000000001</v>
      </c>
      <c r="H20" s="665">
        <v>5.6</v>
      </c>
      <c r="I20" s="665">
        <v>1.2</v>
      </c>
      <c r="J20" s="556">
        <f>IF(H20=0, "    ---- ", IF(ABS(ROUND(100/H20*I20-100,1))&lt;999,ROUND(100/H20*I20-100,1),IF(ROUND(100/H20*I20-100,1)&gt;999,999,-999)))</f>
        <v>-78.599999999999994</v>
      </c>
      <c r="K20" s="662"/>
      <c r="L20" s="662"/>
      <c r="M20" s="556"/>
      <c r="N20" s="662">
        <v>-13</v>
      </c>
      <c r="O20" s="662">
        <v>-20</v>
      </c>
      <c r="P20" s="556"/>
      <c r="Q20" s="662">
        <v>-291.17599999999999</v>
      </c>
      <c r="R20" s="662">
        <v>-1122.6015930000001</v>
      </c>
      <c r="S20" s="556">
        <f>IF(Q20=0, "    ---- ", IF(ABS(ROUND(100/Q20*R20-100,1))&lt;999,ROUND(100/Q20*R20-100,1),IF(ROUND(100/Q20*R20-100,1)&gt;999,999,-999)))</f>
        <v>285.5</v>
      </c>
      <c r="T20" s="655">
        <v>-1009</v>
      </c>
      <c r="U20" s="655">
        <v>-2083</v>
      </c>
      <c r="V20" s="556">
        <f>IF(T20=0, "    ---- ", IF(ABS(ROUND(100/T20*U20-100,1))&lt;999,ROUND(100/T20*U20-100,1),IF(ROUND(100/T20*U20-100,1)&gt;999,999,-999)))</f>
        <v>106.4</v>
      </c>
      <c r="W20" s="655">
        <v>771</v>
      </c>
      <c r="X20" s="655">
        <v>-1441</v>
      </c>
      <c r="Y20" s="556">
        <f>IF(W20=0, "    ---- ", IF(ABS(ROUND(100/W20*X20-100,1))&lt;999,ROUND(100/W20*X20-100,1),IF(ROUND(100/W20*X20-100,1)&gt;999,999,-999)))</f>
        <v>-286.89999999999998</v>
      </c>
      <c r="Z20" s="662">
        <v>-28.190999999999999</v>
      </c>
      <c r="AA20" s="655">
        <v>-57.101999999999997</v>
      </c>
      <c r="AB20" s="556">
        <f>IF(Z20=0, "    ---- ", IF(ABS(ROUND(100/Z20*AA20-100,1))&lt;999,ROUND(100/Z20*AA20-100,1),IF(ROUND(100/Z20*AA20-100,1)&gt;999,999,-999)))</f>
        <v>102.6</v>
      </c>
      <c r="AC20" s="655">
        <v>-4781</v>
      </c>
      <c r="AD20" s="655">
        <v>-9817</v>
      </c>
      <c r="AE20" s="691">
        <f>IF(AC20=0, "    ---- ", IF(ABS(ROUND(100/AC20*AD20-100,1))&lt;999,ROUND(100/AC20*AD20-100,1),IF(ROUND(100/AC20*AD20-100,1)&gt;999,999,-999)))</f>
        <v>105.3</v>
      </c>
      <c r="AF20" s="556">
        <f>B20+E20+H20+K20+N20+Q20+T20+W20+Z20+AC20</f>
        <v>-6759.6329999999998</v>
      </c>
      <c r="AG20" s="556">
        <f>C20+F20+I20+L20+O20+R20+U20+X20+AA20+AD20</f>
        <v>-18064.36253991997</v>
      </c>
      <c r="AH20" s="556">
        <f>IF(AF20=0, "    ---- ", IF(ABS(ROUND(100/AF20*AG20-100,1))&lt;999,ROUND(100/AF20*AG20-100,1),IF(ROUND(100/AF20*AG20-100,1)&gt;999,999,-999)))</f>
        <v>167.2</v>
      </c>
    </row>
  </sheetData>
  <protectedRanges>
    <protectedRange sqref="C9:C10 C18:C20" name="Område1_12_1_1_1"/>
    <protectedRange sqref="C11:C17" name="Område1_1_1_1_1_1"/>
    <protectedRange sqref="B9:B10 B19:B20" name="Område1_12_1_1_1_1"/>
    <protectedRange sqref="B11:B18" name="Område1_1_1_1_1_1_1"/>
    <protectedRange sqref="U9:U10" name="Område1_13_3_1_1_2"/>
    <protectedRange sqref="T9:T10" name="Område1_13_3_1_1_2_1"/>
    <protectedRange sqref="T11:T20" name="Område1_5_1_2_1_2"/>
    <protectedRange sqref="F9:F10" name="Område1_13_5_1_1_2"/>
    <protectedRange sqref="F11:F20" name="Område1_2_1_2_1_1_2"/>
    <protectedRange sqref="E9:E10" name="Område1_13_5_1_1_2_1"/>
    <protectedRange sqref="E11:E20" name="Område1_2_1_2_1_1_2_1"/>
    <protectedRange sqref="I9:I10" name="Område1_13_5_2_2"/>
    <protectedRange sqref="I11:I20" name="Område1_2_1_2_2_2"/>
    <protectedRange sqref="H9:H10" name="Område1_13_5_2_1_1"/>
    <protectedRange sqref="H11:H20" name="Område1_2_1_2_2_1_1"/>
    <protectedRange sqref="AD9:AD10" name="Område1_10_1_1_1"/>
    <protectedRange sqref="AD11:AD20" name="Område1_8_1_1_1_1"/>
    <protectedRange sqref="AC9:AC10" name="Område1_10_1_1_1_1_2"/>
    <protectedRange sqref="AC11:AC20" name="Område1_8_1_1_1_1_1_2"/>
    <protectedRange sqref="X9:X10" name="Område1_13_4_1_1_2"/>
    <protectedRange sqref="X11 X15:X20 X13" name="Område1_6_1_2_1_2"/>
    <protectedRange sqref="W9:W10" name="Område1_13_4_1_1_1_1"/>
    <protectedRange sqref="W11:W13 W15:W20" name="Område1_6_1_2_1_1_1"/>
    <protectedRange sqref="W14:X14" name="Område1_4_2_5_1"/>
    <protectedRange sqref="L9:L13 L15:L20" name="Område1_13_1_1_1_2"/>
    <protectedRange sqref="L14" name="Område1_4_1_2_1_2"/>
    <protectedRange sqref="K9:K13 K15:K20" name="Område1_13_1_1_1_1_1"/>
    <protectedRange sqref="K14" name="Område1_4_1_2_1_1_1"/>
    <protectedRange sqref="O9:O13 O15:O20" name="Område1_9_6_1"/>
    <protectedRange sqref="O14" name="Område1_4_2_6_1"/>
    <protectedRange sqref="N9:N13 N15:N20" name="Område1_9_6_1_1_2"/>
    <protectedRange sqref="N14" name="Område1_4_2_6_1_1_2"/>
    <protectedRange sqref="Z9:AA10 Z15:AA15 Z16:Z20 Z11:Z14" name="Område1_11_1_1_1_2"/>
    <protectedRange sqref="AA11:AA13" name="Område1_11_1_1_1_1_1"/>
    <protectedRange sqref="AA16:AA20" name="Område1_11_1_1_1_2_1"/>
    <protectedRange sqref="AA14" name="Område1_11_1_1_1_3"/>
    <protectedRange sqref="R9:R10" name="Område1_13_2_1_1_2"/>
    <protectedRange sqref="R11:R20" name="Område1_3_1_2_1_2"/>
    <protectedRange sqref="Q9:Q10" name="Område1_13_2_1_1_2_1"/>
    <protectedRange sqref="Q11:Q20" name="Område1_3_1_2_1_2_1"/>
  </protectedRanges>
  <mergeCells count="27">
    <mergeCell ref="B5:D5"/>
    <mergeCell ref="E5:G5"/>
    <mergeCell ref="K5:M5"/>
    <mergeCell ref="B6:D6"/>
    <mergeCell ref="E6:G6"/>
    <mergeCell ref="H6:J6"/>
    <mergeCell ref="K6:M6"/>
    <mergeCell ref="AN5:AP5"/>
    <mergeCell ref="AQ5:AS5"/>
    <mergeCell ref="AT5:AV5"/>
    <mergeCell ref="AK5:AM5"/>
    <mergeCell ref="AC6:AE6"/>
    <mergeCell ref="AF6:AH6"/>
    <mergeCell ref="AC5:AE5"/>
    <mergeCell ref="AF5:AH5"/>
    <mergeCell ref="AK6:AM6"/>
    <mergeCell ref="AN6:AP6"/>
    <mergeCell ref="AQ6:AS6"/>
    <mergeCell ref="AT6:AV6"/>
    <mergeCell ref="N5:P5"/>
    <mergeCell ref="T6:V6"/>
    <mergeCell ref="W6:Y6"/>
    <mergeCell ref="Z6:AB6"/>
    <mergeCell ref="Q6:S6"/>
    <mergeCell ref="W5:Y5"/>
    <mergeCell ref="Z5:AB5"/>
    <mergeCell ref="N6:P6"/>
  </mergeCells>
  <hyperlinks>
    <hyperlink ref="B1" location="Innhold!A1" display="Tilbake" xr:uid="{10497701-2AA6-4565-8F01-4AFD14AEF8B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2"/>
      <c r="D2" s="332"/>
      <c r="E2" s="332"/>
    </row>
    <row r="3" spans="1:17" x14ac:dyDescent="0.2">
      <c r="A3" s="43" t="s">
        <v>51</v>
      </c>
    </row>
    <row r="4" spans="1:17" x14ac:dyDescent="0.2">
      <c r="C4" s="332"/>
      <c r="D4" s="332"/>
      <c r="E4" s="332"/>
      <c r="F4" s="332"/>
      <c r="G4" s="332"/>
      <c r="H4" s="332"/>
      <c r="I4" s="332"/>
      <c r="J4" s="332"/>
      <c r="K4" s="332"/>
    </row>
    <row r="6" spans="1:17" ht="15.75" x14ac:dyDescent="0.25">
      <c r="C6" s="339" t="s">
        <v>16</v>
      </c>
      <c r="D6" s="3"/>
      <c r="E6" s="339"/>
    </row>
    <row r="7" spans="1:17" ht="18.75" customHeight="1" x14ac:dyDescent="0.2">
      <c r="C7" s="3"/>
      <c r="D7" s="3"/>
      <c r="E7" s="50"/>
    </row>
    <row r="8" spans="1:17" ht="15.75" x14ac:dyDescent="0.25">
      <c r="B8" s="333">
        <v>1</v>
      </c>
      <c r="C8" s="334" t="s">
        <v>336</v>
      </c>
      <c r="E8" s="343"/>
    </row>
    <row r="9" spans="1:17" ht="31.5" x14ac:dyDescent="0.2">
      <c r="B9" s="333">
        <v>2</v>
      </c>
      <c r="C9" s="336" t="s">
        <v>270</v>
      </c>
      <c r="E9" s="8"/>
      <c r="Q9" s="3"/>
    </row>
    <row r="10" spans="1:17" ht="47.25" x14ac:dyDescent="0.2">
      <c r="B10" s="333">
        <v>3</v>
      </c>
      <c r="C10" s="334" t="s">
        <v>271</v>
      </c>
      <c r="E10" s="8"/>
    </row>
    <row r="11" spans="1:17" ht="47.25" x14ac:dyDescent="0.2">
      <c r="B11" s="333">
        <v>4</v>
      </c>
      <c r="C11" s="336" t="s">
        <v>272</v>
      </c>
      <c r="E11" s="8"/>
    </row>
    <row r="12" spans="1:17" ht="31.5" x14ac:dyDescent="0.2">
      <c r="B12" s="333">
        <v>5</v>
      </c>
      <c r="C12" s="334" t="s">
        <v>21</v>
      </c>
      <c r="E12" s="3"/>
    </row>
    <row r="13" spans="1:17" ht="15.75" x14ac:dyDescent="0.2">
      <c r="B13" s="333">
        <v>6</v>
      </c>
      <c r="C13" s="334" t="s">
        <v>337</v>
      </c>
      <c r="E13" s="3"/>
    </row>
    <row r="14" spans="1:17" ht="15.75" x14ac:dyDescent="0.2">
      <c r="B14" s="333">
        <v>7</v>
      </c>
      <c r="C14" s="334" t="s">
        <v>17</v>
      </c>
    </row>
    <row r="15" spans="1:17" ht="18.75" customHeight="1" x14ac:dyDescent="0.2">
      <c r="B15" s="333">
        <v>8</v>
      </c>
      <c r="C15" s="334" t="s">
        <v>18</v>
      </c>
    </row>
    <row r="16" spans="1:17" ht="18.75" customHeight="1" x14ac:dyDescent="0.2">
      <c r="B16" s="333">
        <v>9</v>
      </c>
      <c r="C16" s="334" t="s">
        <v>22</v>
      </c>
    </row>
    <row r="17" spans="2:9" ht="63" x14ac:dyDescent="0.25">
      <c r="B17" s="333">
        <v>10</v>
      </c>
      <c r="C17" s="334" t="s">
        <v>346</v>
      </c>
      <c r="E17" s="339"/>
    </row>
    <row r="18" spans="2:9" ht="15.75" x14ac:dyDescent="0.2">
      <c r="B18" s="333">
        <v>11</v>
      </c>
      <c r="C18" s="334" t="s">
        <v>19</v>
      </c>
      <c r="E18" s="8"/>
    </row>
    <row r="19" spans="2:9" ht="15.75" x14ac:dyDescent="0.2">
      <c r="B19" s="333">
        <v>12</v>
      </c>
      <c r="C19" s="334" t="s">
        <v>274</v>
      </c>
      <c r="E19" s="8"/>
    </row>
    <row r="20" spans="2:9" ht="15.75" x14ac:dyDescent="0.2">
      <c r="B20" s="333">
        <v>13</v>
      </c>
      <c r="C20" s="334" t="s">
        <v>20</v>
      </c>
      <c r="E20" s="3"/>
    </row>
    <row r="21" spans="2:9" ht="47.25" x14ac:dyDescent="0.2">
      <c r="B21" s="333">
        <v>14</v>
      </c>
      <c r="C21" s="334" t="s">
        <v>275</v>
      </c>
      <c r="E21" s="344"/>
    </row>
    <row r="22" spans="2:9" ht="31.5" x14ac:dyDescent="0.2">
      <c r="B22" s="333">
        <v>15</v>
      </c>
      <c r="C22" s="336" t="s">
        <v>325</v>
      </c>
      <c r="E22" s="3"/>
    </row>
    <row r="23" spans="2:9" ht="15.75" x14ac:dyDescent="0.25">
      <c r="B23" s="333">
        <v>16</v>
      </c>
      <c r="C23" s="338" t="s">
        <v>273</v>
      </c>
      <c r="D23" s="337"/>
      <c r="E23" s="332"/>
      <c r="F23" s="337"/>
      <c r="G23" s="2"/>
      <c r="H23" s="2"/>
      <c r="I23" s="2"/>
    </row>
    <row r="24" spans="2:9" ht="18.75" customHeight="1" x14ac:dyDescent="0.25">
      <c r="B24" s="335">
        <v>17</v>
      </c>
      <c r="C24" s="338" t="s">
        <v>276</v>
      </c>
    </row>
    <row r="25" spans="2:9" ht="18.75" customHeight="1" x14ac:dyDescent="0.2">
      <c r="B25" s="578">
        <v>18</v>
      </c>
      <c r="C25" s="769" t="s">
        <v>406</v>
      </c>
    </row>
    <row r="26" spans="2:9" ht="18.75" customHeight="1" x14ac:dyDescent="0.25">
      <c r="B26" s="579"/>
      <c r="C26" s="769"/>
    </row>
    <row r="27" spans="2:9" ht="18.75" customHeight="1" x14ac:dyDescent="0.2">
      <c r="C27" s="341"/>
    </row>
    <row r="28" spans="2:9" ht="18.75" customHeight="1" x14ac:dyDescent="0.2">
      <c r="C28" s="341"/>
    </row>
    <row r="29" spans="2:9" ht="18.75" customHeight="1" x14ac:dyDescent="0.2">
      <c r="C29" s="341"/>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2"/>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2"/>
      <c r="E50" s="332"/>
      <c r="F50" s="332"/>
      <c r="G50" s="332"/>
      <c r="H50" s="332"/>
      <c r="I50" s="332"/>
      <c r="J50" s="332"/>
      <c r="K50" s="332"/>
      <c r="L50" s="332"/>
      <c r="M50" s="332"/>
      <c r="N50" s="332"/>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3</vt:i4>
      </vt:variant>
    </vt:vector>
  </HeadingPairs>
  <TitlesOfParts>
    <vt:vector size="40" baseType="lpstr">
      <vt:lpstr>Forside</vt:lpstr>
      <vt:lpstr>Innhold</vt:lpstr>
      <vt:lpstr>Figurer</vt:lpstr>
      <vt:lpstr>Tabel 1.1</vt:lpstr>
      <vt:lpstr>Tabell 1.2</vt:lpstr>
      <vt:lpstr>Tabell 1.3</vt:lpstr>
      <vt:lpstr>Skjema total MA</vt:lpstr>
      <vt:lpstr>Codan Forsikring</vt:lpstr>
      <vt:lpstr>Storebrand Danica Pensjon</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KLP</vt:lpstr>
      <vt:lpstr>KLP Skadeforsikring AS</vt:lpstr>
      <vt:lpstr>Landkreditt Forsikring</vt:lpstr>
      <vt:lpstr>Ly Forsikring</vt:lpstr>
      <vt:lpstr>Nordea Liv </vt:lpstr>
      <vt:lpstr>Oslo Pensjonsforsikring</vt:lpstr>
      <vt:lpstr>Protector Forsikring</vt:lpstr>
      <vt:lpstr>SHB Liv</vt:lpstr>
      <vt:lpstr>Sparebank 1 Forsikring</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2023-08-25T11:51:07Z</dcterms:modified>
</cp:coreProperties>
</file>