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connections.xml" ContentType="application/vnd.openxmlformats-officedocument.spreadsheetml.connection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O:\Statistikk og analyse\Livstatistikk\Faste statistikker\MA\2021\Q1-2021\Publisert\"/>
    </mc:Choice>
  </mc:AlternateContent>
  <xr:revisionPtr revIDLastSave="0" documentId="13_ncr:1_{6063FF36-3C4D-4C69-9FB7-9616AB2D45F8}" xr6:coauthVersionLast="46" xr6:coauthVersionMax="46" xr10:uidLastSave="{00000000-0000-0000-0000-000000000000}"/>
  <bookViews>
    <workbookView xWindow="-120" yWindow="-120" windowWidth="29040" windowHeight="17640" tabRatio="835" activeTab="1" xr2:uid="{00000000-000D-0000-FFFF-FFFF00000000}"/>
  </bookViews>
  <sheets>
    <sheet name="Forside" sheetId="6" r:id="rId1"/>
    <sheet name="Innhold" sheetId="7" r:id="rId2"/>
    <sheet name="Figurer" sheetId="8" r:id="rId3"/>
    <sheet name="Tabel 1.1" sheetId="9" r:id="rId4"/>
    <sheet name="Tabell 1.2" sheetId="10" r:id="rId5"/>
    <sheet name="Tabell 1.3" sheetId="58" r:id="rId6"/>
    <sheet name="Skjema total MA" sheetId="4" r:id="rId7"/>
    <sheet name="Codan Forsikring" sheetId="76" r:id="rId8"/>
    <sheet name="Danica Pensjonsforsikring" sheetId="18" r:id="rId9"/>
    <sheet name="DNB Bedriftspensjon" sheetId="27" r:id="rId10"/>
    <sheet name="DNB Livsforsikring" sheetId="13" r:id="rId11"/>
    <sheet name="Eika Forsikring AS" sheetId="19" r:id="rId12"/>
    <sheet name="Euro Accident" sheetId="77" r:id="rId13"/>
    <sheet name="Fremtind Livsforsikring" sheetId="16" r:id="rId14"/>
    <sheet name="Frende Livsforsikring" sheetId="20" r:id="rId15"/>
    <sheet name="Frende Skadeforsikring" sheetId="21" r:id="rId16"/>
    <sheet name="Gjensidige Forsikring" sheetId="22" r:id="rId17"/>
    <sheet name="Gjensidige Pensjon" sheetId="23" r:id="rId18"/>
    <sheet name="Handelsbanken Liv" sheetId="24" r:id="rId19"/>
    <sheet name="If Skadeforsikring NUF" sheetId="25" r:id="rId20"/>
    <sheet name="Insr" sheetId="41" r:id="rId21"/>
    <sheet name="KLP" sheetId="26" r:id="rId22"/>
    <sheet name="KLP Skadeforsikring AS" sheetId="51" r:id="rId23"/>
    <sheet name="Landkreditt Forsikring" sheetId="40" r:id="rId24"/>
    <sheet name="Nordea Liv " sheetId="29" r:id="rId25"/>
    <sheet name="Oslo Pensjonsforsikring" sheetId="34" r:id="rId26"/>
    <sheet name="Protector Forsikring" sheetId="72" r:id="rId27"/>
    <sheet name="SHB Liv" sheetId="35" r:id="rId28"/>
    <sheet name="Sparebank 1" sheetId="33" r:id="rId29"/>
    <sheet name="Storebrand Livsforsikring" sheetId="37" r:id="rId30"/>
    <sheet name="Telenor Forsikring" sheetId="38" r:id="rId31"/>
    <sheet name="Tryg Forsikring" sheetId="39" r:id="rId32"/>
    <sheet name="WaterCircle F" sheetId="74" r:id="rId33"/>
    <sheet name="Tabell 4" sheetId="65" r:id="rId34"/>
    <sheet name="Tabell 6" sheetId="62" r:id="rId35"/>
    <sheet name="Tabell 8" sheetId="75" r:id="rId36"/>
    <sheet name="Noter og kommentarer" sheetId="3" r:id="rId37"/>
  </sheets>
  <externalReferences>
    <externalReference r:id="rId38"/>
    <externalReference r:id="rId39"/>
  </externalReferences>
  <definedNames>
    <definedName name="Dag">#REF!</definedName>
    <definedName name="Dager">#REF!</definedName>
    <definedName name="dato">#REF!</definedName>
    <definedName name="Feilmelding">#REF!</definedName>
    <definedName name="FilNavn">[1]Oppslagstabeller!$N$5</definedName>
    <definedName name="Fjorårstall">#REF!</definedName>
    <definedName name="Koder2a">#REF!</definedName>
    <definedName name="kvartal">#REF!</definedName>
    <definedName name="Måned">#REF!</definedName>
    <definedName name="OppslagsKolonneDataVerdi">#REF!</definedName>
    <definedName name="OppslagsKolonneSelskapNavn">#REF!</definedName>
    <definedName name="Selskap">[1]Oppslagstabeller!$N$4</definedName>
    <definedName name="SelskapKolonneIndeks">[1]!Tabell3[#All]</definedName>
    <definedName name="SelskapListe">#REF!</definedName>
    <definedName name="Selskapsliste">[1]Oppslagstabeller!$A$1:$G$36</definedName>
    <definedName name="UtfylteTall">#REF!</definedName>
    <definedName name="_xlnm.Print_Area" localSheetId="13">'Fremtind Livsforsikring'!$A$1:$M$138</definedName>
    <definedName name="_xlnm.Print_Area" localSheetId="20">Insr!$A$1:$M$138</definedName>
    <definedName name="_xlnm.Print_Area" localSheetId="36">'Noter og kommentarer'!$A$1:$L$43</definedName>
    <definedName name="_xlnm.Print_Area" localSheetId="6">'Skjema total MA'!$A$1:$J$139</definedName>
    <definedName name="år">#REF!</definedName>
    <definedName name="ÅrFratrek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0" i="16" l="1"/>
  <c r="L10" i="16"/>
  <c r="M9" i="16"/>
  <c r="L9" i="16"/>
  <c r="M8" i="16"/>
  <c r="L8" i="16"/>
  <c r="M7" i="16"/>
  <c r="L7" i="16"/>
  <c r="E57" i="76" l="1"/>
  <c r="D57" i="76"/>
  <c r="E56" i="76"/>
  <c r="D56" i="76"/>
  <c r="E54" i="76"/>
  <c r="D54" i="76"/>
  <c r="E53" i="76"/>
  <c r="D53" i="76"/>
  <c r="H10" i="18" l="1"/>
  <c r="C52" i="4" l="1"/>
  <c r="B52" i="4"/>
  <c r="C51" i="4"/>
  <c r="B51" i="4"/>
  <c r="C50" i="4"/>
  <c r="B50" i="4"/>
  <c r="I107" i="4"/>
  <c r="H107" i="4"/>
  <c r="I106" i="4"/>
  <c r="H106" i="4"/>
  <c r="I105" i="4"/>
  <c r="H105" i="4"/>
  <c r="I104" i="4"/>
  <c r="H104" i="4"/>
  <c r="I103" i="4"/>
  <c r="H103" i="4"/>
  <c r="I102" i="4"/>
  <c r="H102" i="4"/>
  <c r="F107" i="4"/>
  <c r="E107" i="4"/>
  <c r="F106" i="4"/>
  <c r="E106" i="4"/>
  <c r="F105" i="4"/>
  <c r="E105" i="4"/>
  <c r="F104" i="4"/>
  <c r="E104" i="4"/>
  <c r="F103" i="4"/>
  <c r="E103" i="4"/>
  <c r="F102" i="4"/>
  <c r="E102" i="4"/>
  <c r="C105" i="4"/>
  <c r="B105" i="4"/>
  <c r="C104" i="4"/>
  <c r="B104" i="4"/>
  <c r="C103" i="4"/>
  <c r="B103" i="4"/>
  <c r="C102" i="4"/>
  <c r="B102" i="4"/>
  <c r="I95" i="4"/>
  <c r="H95" i="4"/>
  <c r="I94" i="4"/>
  <c r="H94" i="4"/>
  <c r="I93" i="4"/>
  <c r="H93" i="4"/>
  <c r="I92" i="4"/>
  <c r="H92" i="4"/>
  <c r="I91" i="4"/>
  <c r="H91" i="4"/>
  <c r="I90" i="4"/>
  <c r="H90" i="4"/>
  <c r="F95" i="4"/>
  <c r="E95" i="4"/>
  <c r="F94" i="4"/>
  <c r="E94" i="4"/>
  <c r="F93" i="4"/>
  <c r="E93" i="4"/>
  <c r="F92" i="4"/>
  <c r="E92" i="4"/>
  <c r="F91" i="4"/>
  <c r="E91" i="4"/>
  <c r="F90" i="4"/>
  <c r="E90" i="4"/>
  <c r="C93" i="4"/>
  <c r="B93" i="4"/>
  <c r="C92" i="4"/>
  <c r="B92" i="4"/>
  <c r="C91" i="4"/>
  <c r="B91" i="4"/>
  <c r="C90" i="4"/>
  <c r="B90" i="4"/>
  <c r="C83" i="4"/>
  <c r="B83" i="4"/>
  <c r="C82" i="4"/>
  <c r="B82" i="4"/>
  <c r="C81" i="4"/>
  <c r="B81" i="4"/>
  <c r="C80" i="4"/>
  <c r="B80" i="4"/>
  <c r="I74" i="4"/>
  <c r="H74" i="4"/>
  <c r="I73" i="4"/>
  <c r="H73" i="4"/>
  <c r="I72" i="4"/>
  <c r="H72" i="4"/>
  <c r="I71" i="4"/>
  <c r="H71" i="4"/>
  <c r="I70" i="4"/>
  <c r="H70" i="4"/>
  <c r="I69" i="4"/>
  <c r="H69" i="4"/>
  <c r="F74" i="4"/>
  <c r="E74" i="4"/>
  <c r="F73" i="4"/>
  <c r="E73" i="4"/>
  <c r="F72" i="4"/>
  <c r="E72" i="4"/>
  <c r="F71" i="4"/>
  <c r="E71" i="4"/>
  <c r="F70" i="4"/>
  <c r="E70" i="4"/>
  <c r="F69" i="4"/>
  <c r="E69" i="4"/>
  <c r="C72" i="4"/>
  <c r="B72" i="4"/>
  <c r="C69" i="4"/>
  <c r="B69" i="4"/>
  <c r="C33" i="9" l="1"/>
  <c r="F138" i="4" l="1"/>
  <c r="E138" i="4"/>
  <c r="F137" i="4"/>
  <c r="E137" i="4"/>
  <c r="F136" i="4"/>
  <c r="E136" i="4"/>
  <c r="F135" i="4"/>
  <c r="E135" i="4"/>
  <c r="C138" i="4"/>
  <c r="B138" i="4"/>
  <c r="C137" i="4"/>
  <c r="B137" i="4"/>
  <c r="C136" i="4"/>
  <c r="B136" i="4"/>
  <c r="C135" i="4"/>
  <c r="B135" i="4"/>
  <c r="F127" i="4"/>
  <c r="E127" i="4"/>
  <c r="F126" i="4"/>
  <c r="E126" i="4"/>
  <c r="G126" i="4" s="1"/>
  <c r="F125" i="4"/>
  <c r="E125" i="4"/>
  <c r="G125" i="4" s="1"/>
  <c r="F124" i="4"/>
  <c r="E124" i="4"/>
  <c r="F123" i="4"/>
  <c r="E123" i="4"/>
  <c r="F122" i="4"/>
  <c r="E122" i="4"/>
  <c r="G122" i="4" s="1"/>
  <c r="F121" i="4"/>
  <c r="E121" i="4"/>
  <c r="F120" i="4"/>
  <c r="E120" i="4"/>
  <c r="G120" i="4" s="1"/>
  <c r="F119" i="4"/>
  <c r="E119" i="4"/>
  <c r="F118" i="4"/>
  <c r="E118" i="4"/>
  <c r="G118" i="4" s="1"/>
  <c r="F117" i="4"/>
  <c r="E117" i="4"/>
  <c r="G117" i="4" s="1"/>
  <c r="F116" i="4"/>
  <c r="E116" i="4"/>
  <c r="F115" i="4"/>
  <c r="E115" i="4"/>
  <c r="G115" i="4" s="1"/>
  <c r="F114" i="4"/>
  <c r="E114" i="4"/>
  <c r="G114" i="4" s="1"/>
  <c r="F113" i="4"/>
  <c r="E113" i="4"/>
  <c r="G113" i="4" s="1"/>
  <c r="F112" i="4"/>
  <c r="E112" i="4"/>
  <c r="G112" i="4" s="1"/>
  <c r="F111" i="4"/>
  <c r="E111" i="4"/>
  <c r="F110" i="4"/>
  <c r="E110" i="4"/>
  <c r="F109" i="4"/>
  <c r="E109" i="4"/>
  <c r="F108" i="4"/>
  <c r="E108" i="4"/>
  <c r="G108" i="4" s="1"/>
  <c r="F101" i="4"/>
  <c r="E101" i="4"/>
  <c r="G101" i="4" s="1"/>
  <c r="F100" i="4"/>
  <c r="E100" i="4"/>
  <c r="G100" i="4" s="1"/>
  <c r="F99" i="4"/>
  <c r="E99" i="4"/>
  <c r="F98" i="4"/>
  <c r="E98" i="4"/>
  <c r="G98" i="4" s="1"/>
  <c r="F97" i="4"/>
  <c r="E97" i="4"/>
  <c r="F96" i="4"/>
  <c r="E96" i="4"/>
  <c r="G96" i="4" s="1"/>
  <c r="F89" i="4"/>
  <c r="E89" i="4"/>
  <c r="G89" i="4" s="1"/>
  <c r="F88" i="4"/>
  <c r="E88" i="4"/>
  <c r="G88" i="4" s="1"/>
  <c r="F87" i="4"/>
  <c r="E87" i="4"/>
  <c r="G87" i="4" s="1"/>
  <c r="F86" i="4"/>
  <c r="E86" i="4"/>
  <c r="G86" i="4" s="1"/>
  <c r="F79" i="4"/>
  <c r="E79" i="4"/>
  <c r="G79" i="4" s="1"/>
  <c r="F78" i="4"/>
  <c r="E78" i="4"/>
  <c r="F77" i="4"/>
  <c r="E77" i="4"/>
  <c r="F76" i="4"/>
  <c r="E76" i="4"/>
  <c r="F75" i="4"/>
  <c r="E75" i="4"/>
  <c r="G75" i="4" s="1"/>
  <c r="F68" i="4"/>
  <c r="E68" i="4"/>
  <c r="G68" i="4" s="1"/>
  <c r="F67" i="4"/>
  <c r="E67" i="4"/>
  <c r="F66" i="4"/>
  <c r="E66" i="4"/>
  <c r="C66" i="4"/>
  <c r="C127" i="4"/>
  <c r="B127" i="4"/>
  <c r="C126" i="4"/>
  <c r="B126" i="4"/>
  <c r="C125" i="4"/>
  <c r="B125" i="4"/>
  <c r="C124" i="4"/>
  <c r="B124" i="4"/>
  <c r="C123" i="4"/>
  <c r="B123" i="4"/>
  <c r="C122" i="4"/>
  <c r="B122" i="4"/>
  <c r="C121" i="4"/>
  <c r="B121" i="4"/>
  <c r="C120" i="4"/>
  <c r="B120" i="4"/>
  <c r="C119" i="4"/>
  <c r="B119" i="4"/>
  <c r="C118" i="4"/>
  <c r="B118" i="4"/>
  <c r="C117" i="4"/>
  <c r="B117" i="4"/>
  <c r="C116" i="4"/>
  <c r="B116" i="4"/>
  <c r="C115" i="4"/>
  <c r="B115" i="4"/>
  <c r="C114" i="4"/>
  <c r="B114" i="4"/>
  <c r="C113" i="4"/>
  <c r="B113" i="4"/>
  <c r="C112" i="4"/>
  <c r="B112" i="4"/>
  <c r="C111" i="4"/>
  <c r="B111" i="4"/>
  <c r="C110" i="4"/>
  <c r="B110" i="4"/>
  <c r="C109" i="4"/>
  <c r="B109" i="4"/>
  <c r="C108" i="4"/>
  <c r="B108" i="4"/>
  <c r="C107" i="4"/>
  <c r="B107" i="4"/>
  <c r="C106" i="4"/>
  <c r="B106" i="4"/>
  <c r="C101" i="4"/>
  <c r="B101" i="4"/>
  <c r="C100" i="4"/>
  <c r="B100" i="4"/>
  <c r="C99" i="4"/>
  <c r="B99" i="4"/>
  <c r="C98" i="4"/>
  <c r="B98" i="4"/>
  <c r="C97" i="4"/>
  <c r="B97" i="4"/>
  <c r="C96" i="4"/>
  <c r="B96" i="4"/>
  <c r="C95" i="4"/>
  <c r="B95" i="4"/>
  <c r="C94" i="4"/>
  <c r="B94" i="4"/>
  <c r="C89" i="4"/>
  <c r="B89" i="4"/>
  <c r="C88" i="4"/>
  <c r="B88" i="4"/>
  <c r="C87" i="4"/>
  <c r="B87" i="4"/>
  <c r="C86" i="4"/>
  <c r="B86" i="4"/>
  <c r="C85" i="4"/>
  <c r="B85" i="4"/>
  <c r="C84" i="4"/>
  <c r="B84" i="4"/>
  <c r="C79" i="4"/>
  <c r="B79" i="4"/>
  <c r="C78" i="4"/>
  <c r="B78" i="4"/>
  <c r="C77" i="4"/>
  <c r="B77" i="4"/>
  <c r="C76" i="4"/>
  <c r="B76" i="4"/>
  <c r="C75" i="4"/>
  <c r="B75" i="4"/>
  <c r="C74" i="4"/>
  <c r="B74" i="4"/>
  <c r="C73" i="4"/>
  <c r="B73" i="4"/>
  <c r="C71" i="4"/>
  <c r="B71" i="4"/>
  <c r="C70" i="4"/>
  <c r="B70" i="4"/>
  <c r="C68" i="4"/>
  <c r="B68" i="4"/>
  <c r="C67" i="4"/>
  <c r="B67" i="4"/>
  <c r="B66" i="4"/>
  <c r="C58" i="4"/>
  <c r="B58" i="4"/>
  <c r="C57" i="4"/>
  <c r="B57" i="4"/>
  <c r="C56" i="4"/>
  <c r="B56" i="4"/>
  <c r="C55" i="4"/>
  <c r="B55" i="4"/>
  <c r="C54" i="4"/>
  <c r="B54" i="4"/>
  <c r="C53" i="4"/>
  <c r="B53" i="4"/>
  <c r="C49" i="4"/>
  <c r="B49" i="4"/>
  <c r="D49" i="4" s="1"/>
  <c r="C48" i="4"/>
  <c r="B48" i="4"/>
  <c r="B47" i="4"/>
  <c r="F39" i="4"/>
  <c r="E39" i="4"/>
  <c r="F38" i="4"/>
  <c r="E38" i="4"/>
  <c r="F37" i="4"/>
  <c r="E37" i="4"/>
  <c r="F36" i="4"/>
  <c r="E36" i="4"/>
  <c r="F35" i="4"/>
  <c r="E35" i="4"/>
  <c r="F34" i="4"/>
  <c r="E34" i="4"/>
  <c r="F33" i="4"/>
  <c r="E33" i="4"/>
  <c r="F32" i="4"/>
  <c r="E32" i="4"/>
  <c r="F31" i="4"/>
  <c r="E31" i="4"/>
  <c r="F30" i="4"/>
  <c r="E30" i="4"/>
  <c r="F29" i="4"/>
  <c r="E29" i="4"/>
  <c r="F28" i="4"/>
  <c r="E28" i="4"/>
  <c r="F27" i="4"/>
  <c r="E27" i="4"/>
  <c r="F26" i="4"/>
  <c r="E26" i="4"/>
  <c r="F25" i="4"/>
  <c r="E25" i="4"/>
  <c r="F24" i="4"/>
  <c r="E24" i="4"/>
  <c r="F23" i="4"/>
  <c r="E23" i="4"/>
  <c r="C39" i="4"/>
  <c r="B39" i="4"/>
  <c r="C38" i="4"/>
  <c r="B38" i="4"/>
  <c r="C37" i="4"/>
  <c r="B37" i="4"/>
  <c r="C36" i="4"/>
  <c r="B36" i="4"/>
  <c r="C35" i="4"/>
  <c r="B35" i="4"/>
  <c r="C34" i="4"/>
  <c r="B34" i="4"/>
  <c r="C33" i="4"/>
  <c r="B33" i="4"/>
  <c r="C32" i="4"/>
  <c r="B32" i="4"/>
  <c r="C31" i="4"/>
  <c r="B31" i="4"/>
  <c r="C30" i="4"/>
  <c r="B30" i="4"/>
  <c r="C29" i="4"/>
  <c r="B29" i="4"/>
  <c r="C28" i="4"/>
  <c r="B28" i="4"/>
  <c r="C27" i="4"/>
  <c r="B27" i="4"/>
  <c r="C26" i="4"/>
  <c r="B26" i="4"/>
  <c r="C25" i="4"/>
  <c r="B25" i="4"/>
  <c r="C24" i="4"/>
  <c r="B24" i="4"/>
  <c r="C23" i="4"/>
  <c r="B23" i="4"/>
  <c r="C22" i="4"/>
  <c r="B22" i="4"/>
  <c r="F7" i="4"/>
  <c r="F12" i="4"/>
  <c r="E12" i="4"/>
  <c r="F11" i="4"/>
  <c r="E11" i="4"/>
  <c r="F10" i="4"/>
  <c r="E10" i="4"/>
  <c r="F9" i="4"/>
  <c r="E9" i="4"/>
  <c r="F8" i="4"/>
  <c r="E8" i="4"/>
  <c r="E7" i="4"/>
  <c r="C12" i="4"/>
  <c r="C11" i="4"/>
  <c r="C10" i="4"/>
  <c r="C9" i="4"/>
  <c r="C8" i="4"/>
  <c r="C7" i="4"/>
  <c r="B12" i="4"/>
  <c r="B11" i="4"/>
  <c r="B10" i="4"/>
  <c r="B9" i="4"/>
  <c r="B8" i="4"/>
  <c r="B7" i="4"/>
  <c r="G110" i="4" l="1"/>
  <c r="G77" i="4"/>
  <c r="G109" i="4"/>
  <c r="AJ18" i="75"/>
  <c r="AJ16" i="75"/>
  <c r="AI16" i="75"/>
  <c r="G14" i="75"/>
  <c r="AS89" i="62"/>
  <c r="AS87" i="62"/>
  <c r="AS86" i="62"/>
  <c r="AS84" i="62"/>
  <c r="AS83" i="62"/>
  <c r="AS82" i="62"/>
  <c r="AS81" i="62"/>
  <c r="AS78" i="62"/>
  <c r="AS77" i="62"/>
  <c r="AS76" i="62"/>
  <c r="AS75" i="62"/>
  <c r="AS74" i="62"/>
  <c r="AS73" i="62"/>
  <c r="AS71" i="62"/>
  <c r="AS70" i="62"/>
  <c r="AS68" i="62"/>
  <c r="AS61" i="62"/>
  <c r="AS58" i="62"/>
  <c r="AS57" i="62"/>
  <c r="AS56" i="62"/>
  <c r="AS55" i="62"/>
  <c r="AS52" i="62"/>
  <c r="AS51" i="62"/>
  <c r="AS49" i="62"/>
  <c r="AS48" i="62"/>
  <c r="AS46" i="62"/>
  <c r="AS44" i="62"/>
  <c r="AS43" i="62"/>
  <c r="AS42" i="62"/>
  <c r="AS41" i="62"/>
  <c r="AS40" i="62"/>
  <c r="AS37" i="62"/>
  <c r="AS36" i="62"/>
  <c r="AS33" i="62"/>
  <c r="AS26" i="62"/>
  <c r="AS25" i="62"/>
  <c r="AS24" i="62"/>
  <c r="AS23" i="62"/>
  <c r="AS22" i="62"/>
  <c r="AS21" i="62"/>
  <c r="AS18" i="62"/>
  <c r="AS17" i="62"/>
  <c r="AS15" i="62"/>
  <c r="AS14" i="62"/>
  <c r="AR89" i="62"/>
  <c r="AR88" i="62"/>
  <c r="AR87" i="62"/>
  <c r="AR86" i="62"/>
  <c r="AR84" i="62"/>
  <c r="AR83" i="62"/>
  <c r="AR82" i="62"/>
  <c r="AR81" i="62"/>
  <c r="AR78" i="62"/>
  <c r="AR77" i="62"/>
  <c r="AR76" i="62"/>
  <c r="AR75" i="62"/>
  <c r="AR74" i="62"/>
  <c r="AR73" i="62"/>
  <c r="AR71" i="62"/>
  <c r="AR70" i="62"/>
  <c r="AR69" i="62"/>
  <c r="AR68" i="62"/>
  <c r="AR61" i="62"/>
  <c r="AR58" i="62"/>
  <c r="AR57" i="62"/>
  <c r="AR56" i="62"/>
  <c r="AR52" i="62"/>
  <c r="AR51" i="62"/>
  <c r="AR49" i="62"/>
  <c r="AR48" i="62"/>
  <c r="AR46" i="62"/>
  <c r="AR44" i="62"/>
  <c r="AR43" i="62"/>
  <c r="AR42" i="62"/>
  <c r="AR41" i="62"/>
  <c r="AR40" i="62"/>
  <c r="AR37" i="62"/>
  <c r="AR36" i="62"/>
  <c r="AR33" i="62"/>
  <c r="AR26" i="62"/>
  <c r="AR25" i="62"/>
  <c r="AR24" i="62"/>
  <c r="AR23" i="62"/>
  <c r="AR22" i="62"/>
  <c r="AR21" i="62"/>
  <c r="AR18" i="62"/>
  <c r="AR17" i="62"/>
  <c r="AR15" i="62"/>
  <c r="AR14" i="62"/>
  <c r="AP89" i="62"/>
  <c r="AO89" i="62"/>
  <c r="AO88" i="62"/>
  <c r="AP87" i="62"/>
  <c r="AO87" i="62"/>
  <c r="AP86" i="62"/>
  <c r="AO86" i="62"/>
  <c r="AQ86" i="62" s="1"/>
  <c r="AP84" i="62"/>
  <c r="AO84" i="62"/>
  <c r="AQ84" i="62" s="1"/>
  <c r="AP83" i="62"/>
  <c r="AO83" i="62"/>
  <c r="AP82" i="62"/>
  <c r="AO82" i="62"/>
  <c r="AQ82" i="62" s="1"/>
  <c r="AP81" i="62"/>
  <c r="AO81" i="62"/>
  <c r="AP78" i="62"/>
  <c r="AO78" i="62"/>
  <c r="AQ78" i="62" s="1"/>
  <c r="AP77" i="62"/>
  <c r="AO77" i="62"/>
  <c r="AP76" i="62"/>
  <c r="AO76" i="62"/>
  <c r="AQ76" i="62" s="1"/>
  <c r="AP75" i="62"/>
  <c r="AO75" i="62"/>
  <c r="AP74" i="62"/>
  <c r="AO74" i="62"/>
  <c r="AP73" i="62"/>
  <c r="AO73" i="62"/>
  <c r="AP71" i="62"/>
  <c r="AO71" i="62"/>
  <c r="AP70" i="62"/>
  <c r="AO70" i="62"/>
  <c r="AO69" i="62"/>
  <c r="AP68" i="62"/>
  <c r="AO68" i="62"/>
  <c r="AP61" i="62"/>
  <c r="AO61" i="62"/>
  <c r="AQ61" i="62" s="1"/>
  <c r="AP58" i="62"/>
  <c r="AO58" i="62"/>
  <c r="AP57" i="62"/>
  <c r="AO57" i="62"/>
  <c r="AP56" i="62"/>
  <c r="AO56" i="62"/>
  <c r="AP55" i="62"/>
  <c r="AP52" i="62"/>
  <c r="AO52" i="62"/>
  <c r="AQ52" i="62" s="1"/>
  <c r="AP51" i="62"/>
  <c r="AO51" i="62"/>
  <c r="AP49" i="62"/>
  <c r="AO49" i="62"/>
  <c r="AP48" i="62"/>
  <c r="AO48" i="62"/>
  <c r="AQ48" i="62" s="1"/>
  <c r="AP46" i="62"/>
  <c r="AO46" i="62"/>
  <c r="AP44" i="62"/>
  <c r="AO44" i="62"/>
  <c r="AP43" i="62"/>
  <c r="AO43" i="62"/>
  <c r="AP42" i="62"/>
  <c r="AO42" i="62"/>
  <c r="AP41" i="62"/>
  <c r="AO41" i="62"/>
  <c r="AP40" i="62"/>
  <c r="AO40" i="62"/>
  <c r="AP37" i="62"/>
  <c r="AO37" i="62"/>
  <c r="AP36" i="62"/>
  <c r="AO36" i="62"/>
  <c r="AP33" i="62"/>
  <c r="AO33" i="62"/>
  <c r="AP26" i="62"/>
  <c r="AO26" i="62"/>
  <c r="AQ26" i="62" s="1"/>
  <c r="AP25" i="62"/>
  <c r="AO25" i="62"/>
  <c r="AP24" i="62"/>
  <c r="AO24" i="62"/>
  <c r="AP23" i="62"/>
  <c r="AO23" i="62"/>
  <c r="AP22" i="62"/>
  <c r="AO22" i="62"/>
  <c r="AP21" i="62"/>
  <c r="AO21" i="62"/>
  <c r="AP18" i="62"/>
  <c r="AO18" i="62"/>
  <c r="AP17" i="62"/>
  <c r="AO17" i="62"/>
  <c r="AP15" i="62"/>
  <c r="AO15" i="62"/>
  <c r="AP14" i="62"/>
  <c r="AO14" i="62"/>
  <c r="AP8" i="62"/>
  <c r="AO8" i="62"/>
  <c r="G89" i="62"/>
  <c r="G88" i="62"/>
  <c r="G86" i="62"/>
  <c r="F85" i="62"/>
  <c r="E85" i="62"/>
  <c r="G83" i="62"/>
  <c r="G81" i="62"/>
  <c r="F79" i="62"/>
  <c r="E79" i="62"/>
  <c r="E91" i="62" s="1"/>
  <c r="G76" i="62"/>
  <c r="G75" i="62"/>
  <c r="G74" i="62"/>
  <c r="G73" i="62"/>
  <c r="G70" i="62"/>
  <c r="G69" i="62"/>
  <c r="G68" i="62"/>
  <c r="G57" i="62"/>
  <c r="G56" i="62"/>
  <c r="G55" i="62"/>
  <c r="F54" i="62"/>
  <c r="E54" i="62"/>
  <c r="F50" i="62"/>
  <c r="G42" i="62"/>
  <c r="G41" i="62"/>
  <c r="G40" i="62"/>
  <c r="F39" i="62"/>
  <c r="E39" i="62"/>
  <c r="G38" i="62"/>
  <c r="G36" i="62"/>
  <c r="F35" i="62"/>
  <c r="E35" i="62"/>
  <c r="E45" i="62" s="1"/>
  <c r="G34" i="62"/>
  <c r="G28" i="62"/>
  <c r="G23" i="62"/>
  <c r="G22" i="62"/>
  <c r="G21" i="62"/>
  <c r="F20" i="62"/>
  <c r="E20" i="62"/>
  <c r="F16" i="62"/>
  <c r="F27" i="62" s="1"/>
  <c r="F29" i="62" s="1"/>
  <c r="E16" i="62"/>
  <c r="F8" i="62"/>
  <c r="E8" i="62"/>
  <c r="AS20" i="65"/>
  <c r="AS17" i="65"/>
  <c r="AS16" i="65"/>
  <c r="AS15" i="65"/>
  <c r="AS13" i="65"/>
  <c r="AS12" i="65"/>
  <c r="AR20" i="65"/>
  <c r="AR17" i="65"/>
  <c r="AR16" i="65"/>
  <c r="AR15" i="65"/>
  <c r="AR13" i="65"/>
  <c r="AR12" i="65"/>
  <c r="AP44" i="65"/>
  <c r="AP42" i="65"/>
  <c r="AP39" i="65"/>
  <c r="AP38" i="65"/>
  <c r="AP37" i="65"/>
  <c r="AP32" i="65"/>
  <c r="AP31" i="65"/>
  <c r="AP30" i="65"/>
  <c r="AP28" i="65"/>
  <c r="AP27" i="65"/>
  <c r="AP26" i="65"/>
  <c r="AP25" i="65"/>
  <c r="AP24" i="65"/>
  <c r="AP20" i="65"/>
  <c r="AP17" i="65"/>
  <c r="AP16" i="65"/>
  <c r="AP15" i="65"/>
  <c r="AP13" i="65"/>
  <c r="AP12" i="65"/>
  <c r="AO44" i="65"/>
  <c r="AO42" i="65"/>
  <c r="AO39" i="65"/>
  <c r="AO38" i="65"/>
  <c r="AO37" i="65"/>
  <c r="AO33" i="65"/>
  <c r="AO32" i="65"/>
  <c r="AO31" i="65"/>
  <c r="AO30" i="65"/>
  <c r="AO28" i="65"/>
  <c r="AO27" i="65"/>
  <c r="AO26" i="65"/>
  <c r="AO25" i="65"/>
  <c r="AO24" i="65"/>
  <c r="AO20" i="65"/>
  <c r="AO17" i="65"/>
  <c r="AO16" i="65"/>
  <c r="AO15" i="65"/>
  <c r="AO13" i="65"/>
  <c r="AO12" i="65"/>
  <c r="G44" i="65"/>
  <c r="E40" i="65"/>
  <c r="G40" i="65" s="1"/>
  <c r="G39" i="65"/>
  <c r="G38" i="65"/>
  <c r="G37" i="65"/>
  <c r="G33" i="65"/>
  <c r="G32" i="65"/>
  <c r="G30" i="65"/>
  <c r="E29" i="65"/>
  <c r="G29" i="65" s="1"/>
  <c r="G28" i="65"/>
  <c r="G26" i="65"/>
  <c r="G25" i="65"/>
  <c r="G24" i="65"/>
  <c r="G23" i="65"/>
  <c r="E21" i="65"/>
  <c r="G21" i="65" s="1"/>
  <c r="G20" i="65"/>
  <c r="G19" i="65"/>
  <c r="G17" i="65"/>
  <c r="G16" i="65"/>
  <c r="G15" i="65"/>
  <c r="E14" i="65"/>
  <c r="G14" i="65" s="1"/>
  <c r="G13" i="65"/>
  <c r="G12" i="65"/>
  <c r="G11" i="65"/>
  <c r="F8" i="65"/>
  <c r="E8" i="65"/>
  <c r="AQ15" i="62" l="1"/>
  <c r="AQ14" i="62"/>
  <c r="AQ17" i="62"/>
  <c r="AQ18" i="62"/>
  <c r="AQ22" i="62"/>
  <c r="AQ40" i="62"/>
  <c r="AQ51" i="62"/>
  <c r="AQ75" i="62"/>
  <c r="AQ46" i="62"/>
  <c r="AQ23" i="62"/>
  <c r="G54" i="62"/>
  <c r="AQ42" i="62"/>
  <c r="G39" i="62"/>
  <c r="AQ21" i="62"/>
  <c r="AQ77" i="62"/>
  <c r="AQ83" i="62"/>
  <c r="AQ37" i="62"/>
  <c r="AQ43" i="62"/>
  <c r="AQ74" i="62"/>
  <c r="AQ89" i="62"/>
  <c r="AQ33" i="62"/>
  <c r="AQ24" i="62"/>
  <c r="AQ44" i="62"/>
  <c r="AQ58" i="62"/>
  <c r="E27" i="62"/>
  <c r="E29" i="62" s="1"/>
  <c r="AQ25" i="62"/>
  <c r="AQ41" i="62"/>
  <c r="AQ49" i="62"/>
  <c r="AQ70" i="62"/>
  <c r="E60" i="62"/>
  <c r="E62" i="62" s="1"/>
  <c r="AQ56" i="62"/>
  <c r="AQ71" i="62"/>
  <c r="AQ87" i="62"/>
  <c r="AQ57" i="62"/>
  <c r="AQ68" i="62"/>
  <c r="AQ73" i="62"/>
  <c r="AQ81" i="62"/>
  <c r="AQ36" i="62"/>
  <c r="G35" i="62"/>
  <c r="G20" i="62"/>
  <c r="F45" i="62"/>
  <c r="G45" i="62" s="1"/>
  <c r="F91" i="62"/>
  <c r="G27" i="62"/>
  <c r="G85" i="62"/>
  <c r="F60" i="62"/>
  <c r="G79" i="62"/>
  <c r="E34" i="65"/>
  <c r="G60" i="62" l="1"/>
  <c r="F62" i="62"/>
  <c r="F64" i="62" s="1"/>
  <c r="G91" i="62"/>
  <c r="E64" i="62"/>
  <c r="G29" i="62"/>
  <c r="E41" i="65"/>
  <c r="G34" i="65"/>
  <c r="G62" i="62" l="1"/>
  <c r="G64" i="62"/>
  <c r="E43" i="65"/>
  <c r="G41" i="65"/>
  <c r="E45" i="65" l="1"/>
  <c r="G43" i="65"/>
  <c r="G45" i="65" l="1"/>
  <c r="X85" i="62" l="1"/>
  <c r="X79" i="62"/>
  <c r="X69" i="62"/>
  <c r="X54" i="62"/>
  <c r="X50" i="62"/>
  <c r="X39" i="62"/>
  <c r="X35" i="62"/>
  <c r="X20" i="62"/>
  <c r="X16" i="62"/>
  <c r="X60" i="62" l="1"/>
  <c r="X45" i="62"/>
  <c r="X62" i="62" s="1"/>
  <c r="AP69" i="62"/>
  <c r="AQ69" i="62" s="1"/>
  <c r="AS69" i="62"/>
  <c r="X91" i="62"/>
  <c r="X27" i="62"/>
  <c r="X29" i="62" s="1"/>
  <c r="X64" i="62" l="1"/>
  <c r="H14" i="75"/>
  <c r="I85" i="62"/>
  <c r="H85" i="62"/>
  <c r="I79" i="62"/>
  <c r="I91" i="62" s="1"/>
  <c r="H79" i="62"/>
  <c r="I54" i="62"/>
  <c r="H54" i="62"/>
  <c r="H60" i="62" s="1"/>
  <c r="I50" i="62"/>
  <c r="I60" i="62" s="1"/>
  <c r="I39" i="62"/>
  <c r="H39" i="62"/>
  <c r="I35" i="62"/>
  <c r="H35" i="62"/>
  <c r="I20" i="62"/>
  <c r="H20" i="62"/>
  <c r="I16" i="62"/>
  <c r="H16" i="62"/>
  <c r="I40" i="65"/>
  <c r="H40" i="65"/>
  <c r="I29" i="65"/>
  <c r="H29" i="65"/>
  <c r="I21" i="65"/>
  <c r="H21" i="65"/>
  <c r="I14" i="65"/>
  <c r="H14" i="65"/>
  <c r="I45" i="62" l="1"/>
  <c r="I62" i="62" s="1"/>
  <c r="H45" i="62"/>
  <c r="H62" i="62" s="1"/>
  <c r="H27" i="62"/>
  <c r="H29" i="62" s="1"/>
  <c r="I27" i="62"/>
  <c r="I29" i="62" s="1"/>
  <c r="H91" i="62"/>
  <c r="I34" i="65"/>
  <c r="I41" i="65" s="1"/>
  <c r="I43" i="65" s="1"/>
  <c r="I45" i="65" s="1"/>
  <c r="H34" i="65"/>
  <c r="H41" i="65" s="1"/>
  <c r="H43" i="65" s="1"/>
  <c r="H45" i="65" s="1"/>
  <c r="I64" i="62" l="1"/>
  <c r="H64" i="62"/>
  <c r="O85" i="62"/>
  <c r="N85" i="62"/>
  <c r="O79" i="62"/>
  <c r="N79" i="62"/>
  <c r="N91" i="62" s="1"/>
  <c r="N55" i="62"/>
  <c r="O54" i="62"/>
  <c r="O50" i="62"/>
  <c r="O39" i="62"/>
  <c r="N39" i="62"/>
  <c r="O35" i="62"/>
  <c r="N35" i="62"/>
  <c r="O20" i="62"/>
  <c r="N20" i="62"/>
  <c r="O16" i="62"/>
  <c r="N16" i="62"/>
  <c r="O40" i="65"/>
  <c r="N40" i="65"/>
  <c r="O29" i="65"/>
  <c r="N29" i="65"/>
  <c r="O21" i="65"/>
  <c r="N21" i="65"/>
  <c r="O14" i="65"/>
  <c r="N14" i="65"/>
  <c r="O45" i="62" l="1"/>
  <c r="AR55" i="62"/>
  <c r="AO55" i="62"/>
  <c r="AQ55" i="62" s="1"/>
  <c r="O27" i="62"/>
  <c r="O29" i="62" s="1"/>
  <c r="O60" i="62"/>
  <c r="O62" i="62" s="1"/>
  <c r="N54" i="62"/>
  <c r="N60" i="62" s="1"/>
  <c r="N45" i="62"/>
  <c r="N62" i="62" s="1"/>
  <c r="O91" i="62"/>
  <c r="O34" i="65"/>
  <c r="O41" i="65" s="1"/>
  <c r="O43" i="65" s="1"/>
  <c r="O45" i="65" s="1"/>
  <c r="N34" i="65"/>
  <c r="N41" i="65" s="1"/>
  <c r="N43" i="65" s="1"/>
  <c r="N45" i="65" s="1"/>
  <c r="N27" i="62"/>
  <c r="N29" i="62" s="1"/>
  <c r="O64" i="62" l="1"/>
  <c r="N64" i="62"/>
  <c r="U85" i="62"/>
  <c r="U79" i="62"/>
  <c r="U91" i="62" s="1"/>
  <c r="T79" i="62"/>
  <c r="T91" i="62" s="1"/>
  <c r="U54" i="62"/>
  <c r="U50" i="62"/>
  <c r="U39" i="62"/>
  <c r="U35" i="62"/>
  <c r="T29" i="62"/>
  <c r="T64" i="62" s="1"/>
  <c r="U20" i="62"/>
  <c r="U16" i="62"/>
  <c r="AG85" i="62"/>
  <c r="AF85" i="62"/>
  <c r="AF91" i="62" s="1"/>
  <c r="AG79" i="62"/>
  <c r="AG54" i="62"/>
  <c r="AG60" i="62" s="1"/>
  <c r="AF54" i="62"/>
  <c r="AF60" i="62" s="1"/>
  <c r="AF62" i="62" s="1"/>
  <c r="AG50" i="62"/>
  <c r="AG39" i="62"/>
  <c r="AG35" i="62"/>
  <c r="AG45" i="62" s="1"/>
  <c r="AF29" i="62"/>
  <c r="AG20" i="62"/>
  <c r="AG16" i="62"/>
  <c r="AG40" i="65"/>
  <c r="AF40" i="65"/>
  <c r="AG29" i="65"/>
  <c r="AG21" i="65"/>
  <c r="AF21" i="65"/>
  <c r="AG14" i="65"/>
  <c r="AG34" i="65" s="1"/>
  <c r="AF14" i="65"/>
  <c r="AF34" i="65" s="1"/>
  <c r="U40" i="65"/>
  <c r="T40" i="65"/>
  <c r="U29" i="65"/>
  <c r="T29" i="65"/>
  <c r="U21" i="65"/>
  <c r="T21" i="65"/>
  <c r="U14" i="65"/>
  <c r="T14" i="65"/>
  <c r="T34" i="65" s="1"/>
  <c r="U60" i="62" l="1"/>
  <c r="AG27" i="62"/>
  <c r="AG29" i="62" s="1"/>
  <c r="U27" i="62"/>
  <c r="U29" i="62" s="1"/>
  <c r="T41" i="65"/>
  <c r="T43" i="65" s="1"/>
  <c r="T45" i="65" s="1"/>
  <c r="AF41" i="65"/>
  <c r="AF43" i="65" s="1"/>
  <c r="AF45" i="65" s="1"/>
  <c r="AG41" i="65"/>
  <c r="AG43" i="65" s="1"/>
  <c r="AG45" i="65" s="1"/>
  <c r="U34" i="65"/>
  <c r="U41" i="65" s="1"/>
  <c r="U43" i="65" s="1"/>
  <c r="U45" i="65" s="1"/>
  <c r="AG91" i="62"/>
  <c r="AG62" i="62"/>
  <c r="U45" i="62"/>
  <c r="U62" i="62" s="1"/>
  <c r="U64" i="62" s="1"/>
  <c r="AF64" i="62"/>
  <c r="AG64" i="62" l="1"/>
  <c r="Z18" i="75"/>
  <c r="AI18" i="75" s="1"/>
  <c r="AA14" i="75"/>
  <c r="Z14" i="75"/>
  <c r="AD88" i="62"/>
  <c r="AD85" i="62"/>
  <c r="AD79" i="62"/>
  <c r="AD91" i="62" s="1"/>
  <c r="AC79" i="62"/>
  <c r="AC91" i="62" s="1"/>
  <c r="AD54" i="62"/>
  <c r="AD50" i="62"/>
  <c r="AD39" i="62"/>
  <c r="AC39" i="62"/>
  <c r="AD35" i="62"/>
  <c r="AC35" i="62"/>
  <c r="AD34" i="62"/>
  <c r="AC34" i="62"/>
  <c r="AD28" i="62"/>
  <c r="AD20" i="62"/>
  <c r="AC20" i="62"/>
  <c r="AD16" i="62"/>
  <c r="AD27" i="62" s="1"/>
  <c r="AC16" i="62"/>
  <c r="AD40" i="65"/>
  <c r="AC40" i="65"/>
  <c r="AD33" i="65"/>
  <c r="AP33" i="65" s="1"/>
  <c r="AD29" i="65"/>
  <c r="AC29" i="65"/>
  <c r="AD21" i="65"/>
  <c r="AC21" i="65"/>
  <c r="AD14" i="65"/>
  <c r="AC14" i="65"/>
  <c r="AC34" i="65" l="1"/>
  <c r="AC41" i="65" s="1"/>
  <c r="AC43" i="65" s="1"/>
  <c r="AC45" i="65" s="1"/>
  <c r="AR34" i="62"/>
  <c r="AO34" i="62"/>
  <c r="AP34" i="62"/>
  <c r="AS34" i="62"/>
  <c r="AC27" i="62"/>
  <c r="AC29" i="62" s="1"/>
  <c r="AS88" i="62"/>
  <c r="AP88" i="62"/>
  <c r="AQ88" i="62" s="1"/>
  <c r="AD29" i="62"/>
  <c r="AD34" i="65"/>
  <c r="AD41" i="65" s="1"/>
  <c r="AD43" i="65" s="1"/>
  <c r="AD45" i="65" s="1"/>
  <c r="AD60" i="62"/>
  <c r="AC45" i="62"/>
  <c r="AC62" i="62" s="1"/>
  <c r="AD45" i="62"/>
  <c r="AD62" i="62" l="1"/>
  <c r="AD64" i="62" s="1"/>
  <c r="AC64" i="62"/>
  <c r="AQ34" i="62"/>
  <c r="C85" i="62"/>
  <c r="B85" i="62"/>
  <c r="C79" i="62"/>
  <c r="B79" i="62"/>
  <c r="C59" i="62"/>
  <c r="B59" i="62"/>
  <c r="B54" i="62" s="1"/>
  <c r="C50" i="62"/>
  <c r="C39" i="62"/>
  <c r="B39" i="62"/>
  <c r="C35" i="62"/>
  <c r="C28" i="62"/>
  <c r="B28" i="62"/>
  <c r="C20" i="62"/>
  <c r="B20" i="62"/>
  <c r="C16" i="62"/>
  <c r="C40" i="65"/>
  <c r="B40" i="65"/>
  <c r="C23" i="65"/>
  <c r="AP23" i="65" s="1"/>
  <c r="B23" i="65"/>
  <c r="C19" i="65"/>
  <c r="B19" i="65"/>
  <c r="C11" i="65"/>
  <c r="B11" i="65"/>
  <c r="AP59" i="62" l="1"/>
  <c r="AS59" i="62"/>
  <c r="AP11" i="65"/>
  <c r="AS11" i="65"/>
  <c r="AR11" i="65"/>
  <c r="AO11" i="65"/>
  <c r="C54" i="62"/>
  <c r="C60" i="62" s="1"/>
  <c r="B60" i="62"/>
  <c r="B27" i="62"/>
  <c r="C45" i="62"/>
  <c r="B45" i="62"/>
  <c r="B91" i="62"/>
  <c r="B21" i="65"/>
  <c r="C29" i="65"/>
  <c r="B29" i="65"/>
  <c r="C14" i="65"/>
  <c r="C21" i="65"/>
  <c r="B14" i="65"/>
  <c r="C91" i="62"/>
  <c r="C27" i="62"/>
  <c r="L79" i="62"/>
  <c r="L91" i="62" s="1"/>
  <c r="L39" i="62"/>
  <c r="L35" i="62"/>
  <c r="L20" i="62"/>
  <c r="L27" i="62" s="1"/>
  <c r="L29" i="62" s="1"/>
  <c r="L40" i="65"/>
  <c r="L29" i="65"/>
  <c r="L21" i="65"/>
  <c r="L14" i="65"/>
  <c r="C34" i="65" l="1"/>
  <c r="C41" i="65" s="1"/>
  <c r="B62" i="62"/>
  <c r="C29" i="62"/>
  <c r="B29" i="62"/>
  <c r="C62" i="62"/>
  <c r="B34" i="65"/>
  <c r="L45" i="62"/>
  <c r="L62" i="62" s="1"/>
  <c r="L64" i="62" s="1"/>
  <c r="L34" i="65"/>
  <c r="L41" i="65" s="1"/>
  <c r="L43" i="65" s="1"/>
  <c r="L45" i="65" s="1"/>
  <c r="AA85" i="62"/>
  <c r="Z85" i="62"/>
  <c r="AA79" i="62"/>
  <c r="Z79" i="62"/>
  <c r="AA54" i="62"/>
  <c r="Z54" i="62"/>
  <c r="Z60" i="62" s="1"/>
  <c r="AA50" i="62"/>
  <c r="AA39" i="62"/>
  <c r="Z39" i="62"/>
  <c r="AA35" i="62"/>
  <c r="Z35" i="62"/>
  <c r="AA20" i="62"/>
  <c r="Z20" i="62"/>
  <c r="Z27" i="62" s="1"/>
  <c r="Z29" i="62" s="1"/>
  <c r="AA16" i="62"/>
  <c r="AA40" i="65"/>
  <c r="Z40" i="65"/>
  <c r="AA29" i="65"/>
  <c r="Z29" i="65"/>
  <c r="AA21" i="65"/>
  <c r="Z21" i="65"/>
  <c r="AA14" i="65"/>
  <c r="Z14" i="65"/>
  <c r="Z34" i="65" s="1"/>
  <c r="Z41" i="65" l="1"/>
  <c r="Z43" i="65" s="1"/>
  <c r="Z45" i="65" s="1"/>
  <c r="B64" i="62"/>
  <c r="Z91" i="62"/>
  <c r="C64" i="62"/>
  <c r="B41" i="65"/>
  <c r="C43" i="65"/>
  <c r="AA60" i="62"/>
  <c r="AA91" i="62"/>
  <c r="AA45" i="62"/>
  <c r="AA27" i="62"/>
  <c r="AA29" i="62" s="1"/>
  <c r="AA34" i="65"/>
  <c r="AA41" i="65" s="1"/>
  <c r="AA43" i="65" s="1"/>
  <c r="AA45" i="65" s="1"/>
  <c r="Z45" i="62"/>
  <c r="Z62" i="62" s="1"/>
  <c r="Z64" i="62" s="1"/>
  <c r="C45" i="65" l="1"/>
  <c r="B43" i="65"/>
  <c r="AA62" i="62"/>
  <c r="AA64" i="62" s="1"/>
  <c r="AD14" i="75"/>
  <c r="AJ85" i="62"/>
  <c r="AI85" i="62"/>
  <c r="AJ79" i="62"/>
  <c r="AI79" i="62"/>
  <c r="AJ54" i="62"/>
  <c r="AI54" i="62"/>
  <c r="AI60" i="62" s="1"/>
  <c r="AJ50" i="62"/>
  <c r="AJ39" i="62"/>
  <c r="AI39" i="62"/>
  <c r="AJ35" i="62"/>
  <c r="AI35" i="62"/>
  <c r="AJ20" i="62"/>
  <c r="AI20" i="62"/>
  <c r="AJ16" i="62"/>
  <c r="AI16" i="62"/>
  <c r="AJ40" i="65"/>
  <c r="AI40" i="65"/>
  <c r="AJ29" i="65"/>
  <c r="AI29" i="65"/>
  <c r="AJ21" i="65"/>
  <c r="AI21" i="65"/>
  <c r="AJ14" i="65"/>
  <c r="AI14" i="65"/>
  <c r="B45" i="65" l="1"/>
  <c r="AJ45" i="62"/>
  <c r="AI27" i="62"/>
  <c r="AI29" i="62" s="1"/>
  <c r="AJ60" i="62"/>
  <c r="AJ27" i="62"/>
  <c r="AJ29" i="62" s="1"/>
  <c r="AI91" i="62"/>
  <c r="AI34" i="65"/>
  <c r="AI41" i="65" s="1"/>
  <c r="AI43" i="65" s="1"/>
  <c r="AI45" i="65" s="1"/>
  <c r="AI45" i="62"/>
  <c r="AI62" i="62" s="1"/>
  <c r="AJ34" i="65"/>
  <c r="AJ41" i="65" s="1"/>
  <c r="AJ43" i="65" s="1"/>
  <c r="AJ45" i="65" s="1"/>
  <c r="AJ91" i="62"/>
  <c r="R85" i="62"/>
  <c r="Q85" i="62"/>
  <c r="R79" i="62"/>
  <c r="Q79" i="62"/>
  <c r="Q59" i="62"/>
  <c r="R54" i="62"/>
  <c r="R50" i="62"/>
  <c r="R39" i="62"/>
  <c r="Q39" i="62"/>
  <c r="R35" i="62"/>
  <c r="Q35" i="62"/>
  <c r="Q28" i="62"/>
  <c r="R20" i="62"/>
  <c r="Q20" i="62"/>
  <c r="R16" i="62"/>
  <c r="Q16" i="62"/>
  <c r="R40" i="65"/>
  <c r="Q40" i="65"/>
  <c r="R29" i="65"/>
  <c r="Q23" i="65"/>
  <c r="AO23" i="65" s="1"/>
  <c r="R21" i="65"/>
  <c r="Q19" i="65"/>
  <c r="R14" i="65"/>
  <c r="Q14" i="65"/>
  <c r="AR59" i="62" l="1"/>
  <c r="AO59" i="62"/>
  <c r="AQ59" i="62" s="1"/>
  <c r="AO19" i="65"/>
  <c r="AR19" i="65"/>
  <c r="Q54" i="62"/>
  <c r="Q29" i="65"/>
  <c r="Q21" i="65"/>
  <c r="AI64" i="62"/>
  <c r="Q27" i="62"/>
  <c r="R27" i="62"/>
  <c r="AJ62" i="62"/>
  <c r="AJ64" i="62" s="1"/>
  <c r="R60" i="62"/>
  <c r="Q91" i="62"/>
  <c r="R91" i="62"/>
  <c r="Q45" i="62"/>
  <c r="R34" i="65"/>
  <c r="R45" i="62"/>
  <c r="AM85" i="62"/>
  <c r="AP85" i="62" s="1"/>
  <c r="AL85" i="62"/>
  <c r="AR85" i="62" s="1"/>
  <c r="AM79" i="62"/>
  <c r="AP79" i="62" s="1"/>
  <c r="AL79" i="62"/>
  <c r="AO79" i="62" s="1"/>
  <c r="AM54" i="62"/>
  <c r="AS54" i="62" s="1"/>
  <c r="AL54" i="62"/>
  <c r="AM53" i="62"/>
  <c r="AL53" i="62"/>
  <c r="AM39" i="62"/>
  <c r="AS39" i="62" s="1"/>
  <c r="AL39" i="62"/>
  <c r="AO39" i="62" s="1"/>
  <c r="AM38" i="62"/>
  <c r="AL38" i="62"/>
  <c r="AM28" i="62"/>
  <c r="AL28" i="62"/>
  <c r="AR28" i="62" s="1"/>
  <c r="AM20" i="62"/>
  <c r="AP20" i="62" s="1"/>
  <c r="AL20" i="62"/>
  <c r="AR20" i="62" s="1"/>
  <c r="AM19" i="62"/>
  <c r="AL19" i="62"/>
  <c r="AM40" i="65"/>
  <c r="AP40" i="65" s="1"/>
  <c r="AL40" i="65"/>
  <c r="AO40" i="65" s="1"/>
  <c r="AM29" i="65"/>
  <c r="AP29" i="65" s="1"/>
  <c r="AL29" i="65"/>
  <c r="AL21" i="65"/>
  <c r="AM19" i="65"/>
  <c r="AM14" i="65"/>
  <c r="AP14" i="65" s="1"/>
  <c r="AL14" i="65"/>
  <c r="AO14" i="65" s="1"/>
  <c r="AS8" i="62"/>
  <c r="AR8" i="62"/>
  <c r="AM8" i="62"/>
  <c r="AL8" i="62"/>
  <c r="AJ8" i="62"/>
  <c r="AI8" i="62"/>
  <c r="AG8" i="62"/>
  <c r="AF8" i="62"/>
  <c r="AD8" i="62"/>
  <c r="AC8" i="62"/>
  <c r="AA8" i="62"/>
  <c r="Z8" i="62"/>
  <c r="X8" i="62"/>
  <c r="W8" i="62"/>
  <c r="U8" i="62"/>
  <c r="T8" i="62"/>
  <c r="R8" i="62"/>
  <c r="Q8" i="62"/>
  <c r="O8" i="62"/>
  <c r="N8" i="62"/>
  <c r="L8" i="62"/>
  <c r="K8" i="62"/>
  <c r="I8" i="62"/>
  <c r="H8" i="62"/>
  <c r="AJ8" i="75"/>
  <c r="AI8" i="75"/>
  <c r="AG8" i="75"/>
  <c r="AF8" i="75"/>
  <c r="AD8" i="75"/>
  <c r="AC8" i="75"/>
  <c r="AA8" i="75"/>
  <c r="Z8" i="75"/>
  <c r="X8" i="75"/>
  <c r="W8" i="75"/>
  <c r="U8" i="75"/>
  <c r="T8" i="75"/>
  <c r="R8" i="75"/>
  <c r="Q8" i="75"/>
  <c r="O8" i="75"/>
  <c r="N8" i="75"/>
  <c r="L8" i="75"/>
  <c r="K8" i="75"/>
  <c r="I8" i="75"/>
  <c r="H8" i="75"/>
  <c r="AS8" i="65"/>
  <c r="AR8" i="65"/>
  <c r="AP8" i="65"/>
  <c r="AO8" i="65"/>
  <c r="AM8" i="65"/>
  <c r="AL8" i="65"/>
  <c r="AJ8" i="65"/>
  <c r="AI8" i="65"/>
  <c r="AG8" i="65"/>
  <c r="AF8" i="65"/>
  <c r="AD8" i="65"/>
  <c r="AC8" i="65"/>
  <c r="AA8" i="65"/>
  <c r="Z8" i="65"/>
  <c r="X8" i="65"/>
  <c r="W8" i="65"/>
  <c r="U8" i="65"/>
  <c r="T8" i="65"/>
  <c r="R8" i="65"/>
  <c r="Q8" i="65"/>
  <c r="O8" i="65"/>
  <c r="N8" i="65"/>
  <c r="L8" i="65"/>
  <c r="K8" i="65"/>
  <c r="I8" i="65"/>
  <c r="H8" i="65"/>
  <c r="AS85" i="62" l="1"/>
  <c r="AR39" i="62"/>
  <c r="AS20" i="62"/>
  <c r="AS14" i="65"/>
  <c r="AP39" i="62"/>
  <c r="AQ39" i="62" s="1"/>
  <c r="AS79" i="62"/>
  <c r="AQ79" i="62"/>
  <c r="AP53" i="62"/>
  <c r="AS53" i="62"/>
  <c r="AR21" i="65"/>
  <c r="AO21" i="65"/>
  <c r="AO38" i="62"/>
  <c r="AR38" i="62"/>
  <c r="AO54" i="62"/>
  <c r="AR54" i="62"/>
  <c r="AO85" i="62"/>
  <c r="AS38" i="62"/>
  <c r="AP38" i="62"/>
  <c r="AP54" i="62"/>
  <c r="AO28" i="62"/>
  <c r="AO29" i="65"/>
  <c r="AO19" i="62"/>
  <c r="AR19" i="62"/>
  <c r="AR14" i="65"/>
  <c r="AS28" i="62"/>
  <c r="AP28" i="62"/>
  <c r="AP19" i="62"/>
  <c r="AS19" i="62"/>
  <c r="AO20" i="62"/>
  <c r="AQ20" i="62" s="1"/>
  <c r="AR79" i="62"/>
  <c r="AP19" i="65"/>
  <c r="AS19" i="65"/>
  <c r="AO53" i="62"/>
  <c r="AR53" i="62"/>
  <c r="Q29" i="62"/>
  <c r="AM16" i="62"/>
  <c r="AM27" i="62" s="1"/>
  <c r="AM29" i="62" s="1"/>
  <c r="AL50" i="62"/>
  <c r="R29" i="62"/>
  <c r="AL16" i="62"/>
  <c r="AM50" i="62"/>
  <c r="AL35" i="62"/>
  <c r="AM35" i="62"/>
  <c r="Q60" i="62"/>
  <c r="AM21" i="65"/>
  <c r="AM34" i="65" s="1"/>
  <c r="AM41" i="65" s="1"/>
  <c r="AM43" i="65" s="1"/>
  <c r="AM45" i="65" s="1"/>
  <c r="Q34" i="65"/>
  <c r="R41" i="65"/>
  <c r="R62" i="62"/>
  <c r="AM91" i="62"/>
  <c r="AP91" i="62" s="1"/>
  <c r="AL34" i="65"/>
  <c r="AL41" i="65" s="1"/>
  <c r="AL43" i="65" s="1"/>
  <c r="AL45" i="65" s="1"/>
  <c r="AL91" i="62"/>
  <c r="AR91" i="62" s="1"/>
  <c r="AQ53" i="62" l="1"/>
  <c r="AQ19" i="62"/>
  <c r="AS21" i="65"/>
  <c r="AP21" i="65"/>
  <c r="AS16" i="62"/>
  <c r="AP16" i="62"/>
  <c r="AQ38" i="62"/>
  <c r="AQ85" i="62"/>
  <c r="AO35" i="62"/>
  <c r="AR35" i="62"/>
  <c r="AP34" i="65"/>
  <c r="AP50" i="62"/>
  <c r="AS50" i="62"/>
  <c r="AP27" i="62"/>
  <c r="AQ54" i="62"/>
  <c r="AS27" i="62"/>
  <c r="AO91" i="62"/>
  <c r="AP35" i="62"/>
  <c r="AS35" i="62"/>
  <c r="AO16" i="62"/>
  <c r="AR16" i="62"/>
  <c r="AP41" i="65"/>
  <c r="AP29" i="62"/>
  <c r="AS29" i="62"/>
  <c r="AQ28" i="62"/>
  <c r="AS91" i="62"/>
  <c r="AO34" i="65"/>
  <c r="AR50" i="62"/>
  <c r="AO50" i="62"/>
  <c r="AM45" i="62"/>
  <c r="AL27" i="62"/>
  <c r="R64" i="62"/>
  <c r="AM60" i="62"/>
  <c r="AL45" i="62"/>
  <c r="AL60" i="62"/>
  <c r="AR60" i="62" s="1"/>
  <c r="Q62" i="62"/>
  <c r="R43" i="65"/>
  <c r="AP43" i="65" s="1"/>
  <c r="Q41" i="65"/>
  <c r="AO41" i="65" s="1"/>
  <c r="AO60" i="62" l="1"/>
  <c r="AQ16" i="62"/>
  <c r="AQ91" i="62"/>
  <c r="AR27" i="62"/>
  <c r="AO27" i="62"/>
  <c r="AQ27" i="62" s="1"/>
  <c r="AP45" i="62"/>
  <c r="AS45" i="62"/>
  <c r="AS60" i="62"/>
  <c r="AP60" i="62"/>
  <c r="AQ50" i="62"/>
  <c r="AQ35" i="62"/>
  <c r="AR45" i="62"/>
  <c r="AO45" i="62"/>
  <c r="AM62" i="62"/>
  <c r="AL29" i="62"/>
  <c r="AL62" i="62"/>
  <c r="Q64" i="62"/>
  <c r="Q43" i="65"/>
  <c r="AO43" i="65" s="1"/>
  <c r="R45" i="65"/>
  <c r="AP45" i="65" s="1"/>
  <c r="AL64" i="62" l="1"/>
  <c r="AR29" i="62"/>
  <c r="AO29" i="62"/>
  <c r="AQ29" i="62" s="1"/>
  <c r="AM64" i="62"/>
  <c r="AS62" i="62"/>
  <c r="AP62" i="62"/>
  <c r="AO64" i="62"/>
  <c r="AR64" i="62"/>
  <c r="AR62" i="62"/>
  <c r="AO62" i="62"/>
  <c r="AQ45" i="62"/>
  <c r="AQ60" i="62"/>
  <c r="Q45" i="65"/>
  <c r="AO45" i="65" s="1"/>
  <c r="AS64" i="62" l="1"/>
  <c r="AP64" i="62"/>
  <c r="AQ62" i="62"/>
  <c r="L101" i="37"/>
  <c r="K101" i="37"/>
  <c r="H101" i="37"/>
  <c r="AQ64" i="62" l="1"/>
  <c r="H101" i="4"/>
  <c r="J101" i="4" s="1"/>
  <c r="I101" i="4"/>
  <c r="D54" i="77"/>
  <c r="D55" i="77"/>
  <c r="D48" i="76"/>
  <c r="H14" i="9"/>
  <c r="D48" i="77"/>
  <c r="G14" i="9"/>
  <c r="D53" i="77"/>
  <c r="M64" i="8" l="1"/>
  <c r="G56" i="9"/>
  <c r="H56" i="9"/>
  <c r="N64" i="8"/>
  <c r="D49" i="77"/>
  <c r="C14" i="9"/>
  <c r="C47" i="76"/>
  <c r="C47" i="4" s="1"/>
  <c r="H9" i="9"/>
  <c r="G9" i="9"/>
  <c r="C56" i="9" l="1"/>
  <c r="N13" i="8"/>
  <c r="B14" i="9"/>
  <c r="M13" i="8" s="1"/>
  <c r="H51" i="9"/>
  <c r="N59" i="8"/>
  <c r="C9" i="9"/>
  <c r="D47" i="76"/>
  <c r="B9" i="9"/>
  <c r="M8" i="8" s="1"/>
  <c r="G51" i="9"/>
  <c r="M59" i="8"/>
  <c r="D47" i="77"/>
  <c r="C51" i="9" l="1"/>
  <c r="N8" i="8"/>
  <c r="D9" i="9"/>
  <c r="B51" i="9"/>
  <c r="D51" i="9" s="1"/>
  <c r="D14" i="9"/>
  <c r="B56" i="9"/>
  <c r="D56" i="9" s="1"/>
  <c r="N136" i="8" l="1"/>
  <c r="M136" i="8"/>
  <c r="N112" i="8"/>
  <c r="M112" i="8"/>
  <c r="N86" i="8"/>
  <c r="M86" i="8"/>
  <c r="N80" i="8"/>
  <c r="M80" i="8"/>
  <c r="N58" i="8"/>
  <c r="M58" i="8"/>
  <c r="N37" i="8"/>
  <c r="M37" i="8"/>
  <c r="G75" i="9" l="1"/>
  <c r="H75" i="9"/>
  <c r="J18" i="75" l="1"/>
  <c r="J16" i="75"/>
  <c r="D16" i="75"/>
  <c r="AK14" i="75"/>
  <c r="AH14" i="75"/>
  <c r="AE14" i="75"/>
  <c r="AB14" i="75"/>
  <c r="Y14" i="75"/>
  <c r="V14" i="75"/>
  <c r="S14" i="75"/>
  <c r="P14" i="75"/>
  <c r="M14" i="75"/>
  <c r="J14" i="75"/>
  <c r="AK12" i="75"/>
  <c r="J12" i="75"/>
  <c r="D12" i="75"/>
  <c r="AK11" i="75"/>
  <c r="J11" i="75"/>
  <c r="D11" i="75"/>
  <c r="AK16" i="75" l="1"/>
  <c r="AK18" i="75"/>
  <c r="M89" i="62"/>
  <c r="M86" i="62"/>
  <c r="M81" i="62"/>
  <c r="M79" i="62"/>
  <c r="M77" i="62"/>
  <c r="M74" i="62"/>
  <c r="M73" i="62"/>
  <c r="M69" i="62"/>
  <c r="M68" i="62"/>
  <c r="M59" i="62"/>
  <c r="M56" i="62"/>
  <c r="M55" i="62"/>
  <c r="M46" i="62"/>
  <c r="M44" i="62"/>
  <c r="M41" i="62"/>
  <c r="M40" i="62"/>
  <c r="M39" i="62"/>
  <c r="M28" i="62"/>
  <c r="M25" i="62"/>
  <c r="M22" i="62"/>
  <c r="M21" i="62"/>
  <c r="M20" i="62"/>
  <c r="M42" i="65"/>
  <c r="M40" i="65"/>
  <c r="M39" i="65"/>
  <c r="M38" i="65"/>
  <c r="M37" i="65"/>
  <c r="M32" i="65"/>
  <c r="M29" i="65"/>
  <c r="M27" i="65"/>
  <c r="M24" i="65"/>
  <c r="M23" i="65"/>
  <c r="M21" i="65"/>
  <c r="M20" i="65"/>
  <c r="M19" i="65"/>
  <c r="M17" i="65"/>
  <c r="M16" i="65"/>
  <c r="M15" i="65"/>
  <c r="M13" i="65"/>
  <c r="M12" i="65"/>
  <c r="M11" i="65"/>
  <c r="K8" i="74"/>
  <c r="H33" i="9" l="1"/>
  <c r="G33" i="9"/>
  <c r="M81" i="8" s="1"/>
  <c r="D8" i="74"/>
  <c r="J8" i="74"/>
  <c r="L8" i="74" s="1"/>
  <c r="M45" i="62"/>
  <c r="M60" i="62"/>
  <c r="M91" i="62"/>
  <c r="M27" i="62"/>
  <c r="M54" i="62"/>
  <c r="M85" i="62"/>
  <c r="M14" i="65"/>
  <c r="K7" i="74"/>
  <c r="J7" i="74"/>
  <c r="D48" i="74"/>
  <c r="D7" i="74"/>
  <c r="L7" i="74" l="1"/>
  <c r="D47" i="74"/>
  <c r="H76" i="9"/>
  <c r="N81" i="8"/>
  <c r="B33" i="9"/>
  <c r="M32" i="8" s="1"/>
  <c r="G76" i="9"/>
  <c r="M29" i="62"/>
  <c r="M62" i="62"/>
  <c r="M34" i="65"/>
  <c r="B76" i="9" l="1"/>
  <c r="M64" i="62"/>
  <c r="M41" i="65"/>
  <c r="M43" i="65" l="1"/>
  <c r="M45" i="65" l="1"/>
  <c r="V73" i="62" l="1"/>
  <c r="V25" i="62"/>
  <c r="AH25" i="62"/>
  <c r="AH20" i="62"/>
  <c r="AH27" i="62" l="1"/>
  <c r="F22" i="4" l="1"/>
  <c r="E22" i="4"/>
  <c r="J76" i="62" l="1"/>
  <c r="K32" i="13" l="1"/>
  <c r="D30" i="33"/>
  <c r="H23" i="33"/>
  <c r="D23" i="29"/>
  <c r="D25" i="29" l="1"/>
  <c r="H24" i="23"/>
  <c r="D25" i="20"/>
  <c r="D25" i="13"/>
  <c r="D31" i="37"/>
  <c r="D32" i="29"/>
  <c r="D31" i="24"/>
  <c r="H30" i="18"/>
  <c r="H30" i="37"/>
  <c r="H30" i="33"/>
  <c r="H30" i="35"/>
  <c r="H30" i="29"/>
  <c r="H30" i="23"/>
  <c r="H30" i="13"/>
  <c r="D23" i="37"/>
  <c r="D23" i="20"/>
  <c r="D30" i="37"/>
  <c r="D30" i="20"/>
  <c r="H23" i="37"/>
  <c r="H24" i="13"/>
  <c r="D32" i="20"/>
  <c r="H31" i="18"/>
  <c r="H31" i="37"/>
  <c r="H31" i="29"/>
  <c r="H31" i="23"/>
  <c r="H31" i="13"/>
  <c r="H25" i="20"/>
  <c r="H25" i="13"/>
  <c r="D31" i="13"/>
  <c r="H32" i="18"/>
  <c r="H32" i="37"/>
  <c r="H32" i="33"/>
  <c r="H32" i="29"/>
  <c r="H32" i="23"/>
  <c r="H33" i="37"/>
  <c r="H33" i="33"/>
  <c r="H33" i="35"/>
  <c r="H33" i="29"/>
  <c r="H33" i="23"/>
  <c r="H23" i="35"/>
  <c r="H23" i="13"/>
  <c r="D30" i="13"/>
  <c r="D31" i="33"/>
  <c r="D31" i="29"/>
  <c r="D32" i="13"/>
  <c r="H33" i="18"/>
  <c r="H24" i="33"/>
  <c r="H31" i="33"/>
  <c r="H31" i="35"/>
  <c r="H25" i="18"/>
  <c r="H25" i="37"/>
  <c r="H25" i="33"/>
  <c r="H25" i="29"/>
  <c r="H32" i="20"/>
  <c r="H32" i="13"/>
  <c r="D24" i="37"/>
  <c r="D24" i="33"/>
  <c r="D24" i="29"/>
  <c r="D24" i="24"/>
  <c r="D24" i="13"/>
  <c r="H26" i="18"/>
  <c r="H26" i="37"/>
  <c r="H26" i="33"/>
  <c r="H26" i="35"/>
  <c r="H26" i="29"/>
  <c r="H26" i="23"/>
  <c r="H26" i="20"/>
  <c r="H33" i="20"/>
  <c r="J30" i="29"/>
  <c r="D30" i="29"/>
  <c r="J30" i="23"/>
  <c r="D23" i="33"/>
  <c r="H23" i="18"/>
  <c r="H23" i="29"/>
  <c r="D23" i="13"/>
  <c r="J30" i="18"/>
  <c r="J33" i="35"/>
  <c r="K33" i="20"/>
  <c r="J33" i="23"/>
  <c r="J33" i="20"/>
  <c r="J33" i="33"/>
  <c r="J33" i="29"/>
  <c r="J25" i="29"/>
  <c r="J25" i="20"/>
  <c r="J25" i="13"/>
  <c r="J32" i="18"/>
  <c r="J32" i="33"/>
  <c r="J32" i="29"/>
  <c r="J32" i="23"/>
  <c r="J26" i="18"/>
  <c r="J26" i="37"/>
  <c r="J26" i="33"/>
  <c r="J26" i="35"/>
  <c r="J26" i="29"/>
  <c r="J26" i="23"/>
  <c r="J26" i="20"/>
  <c r="K23" i="33"/>
  <c r="J33" i="18"/>
  <c r="J33" i="37"/>
  <c r="K31" i="23"/>
  <c r="K25" i="18"/>
  <c r="K25" i="37"/>
  <c r="K25" i="33"/>
  <c r="K25" i="29"/>
  <c r="K25" i="20"/>
  <c r="K25" i="13"/>
  <c r="K23" i="37"/>
  <c r="K23" i="20"/>
  <c r="K32" i="18"/>
  <c r="K32" i="33"/>
  <c r="K32" i="29"/>
  <c r="K32" i="23"/>
  <c r="K33" i="23"/>
  <c r="K32" i="20"/>
  <c r="K26" i="18"/>
  <c r="K26" i="33"/>
  <c r="K26" i="29"/>
  <c r="K26" i="20"/>
  <c r="K23" i="35"/>
  <c r="K23" i="13"/>
  <c r="K33" i="18"/>
  <c r="K33" i="33"/>
  <c r="K33" i="29"/>
  <c r="J23" i="20"/>
  <c r="K26" i="35"/>
  <c r="J23" i="37"/>
  <c r="K26" i="37"/>
  <c r="K26" i="23"/>
  <c r="K31" i="13"/>
  <c r="J23" i="18"/>
  <c r="J23" i="29"/>
  <c r="J25" i="18"/>
  <c r="J25" i="37"/>
  <c r="J25" i="33"/>
  <c r="K24" i="24"/>
  <c r="K24" i="23"/>
  <c r="K24" i="13"/>
  <c r="K31" i="18"/>
  <c r="K31" i="33"/>
  <c r="K31" i="29"/>
  <c r="J23" i="35"/>
  <c r="J23" i="13"/>
  <c r="K30" i="20"/>
  <c r="K30" i="13"/>
  <c r="K24" i="33"/>
  <c r="K24" i="29"/>
  <c r="J31" i="37"/>
  <c r="J31" i="24"/>
  <c r="J31" i="35"/>
  <c r="J31" i="13"/>
  <c r="J24" i="37"/>
  <c r="J24" i="33"/>
  <c r="J24" i="29"/>
  <c r="J24" i="24"/>
  <c r="J24" i="23"/>
  <c r="J24" i="13"/>
  <c r="K23" i="18"/>
  <c r="K23" i="29"/>
  <c r="J31" i="18"/>
  <c r="J31" i="33"/>
  <c r="J31" i="29"/>
  <c r="J31" i="23"/>
  <c r="K24" i="37"/>
  <c r="K30" i="37"/>
  <c r="J30" i="13"/>
  <c r="J23" i="33"/>
  <c r="J30" i="33"/>
  <c r="J30" i="35"/>
  <c r="J32" i="20"/>
  <c r="J32" i="13"/>
  <c r="L32" i="13" s="1"/>
  <c r="J30" i="37"/>
  <c r="J30" i="20"/>
  <c r="J32" i="37"/>
  <c r="K30" i="18"/>
  <c r="K30" i="33"/>
  <c r="K30" i="29"/>
  <c r="K30" i="23"/>
  <c r="K32" i="37"/>
  <c r="K30" i="35"/>
  <c r="K31" i="37"/>
  <c r="K33" i="37"/>
  <c r="K31" i="35"/>
  <c r="K33" i="35"/>
  <c r="K31" i="24"/>
  <c r="L31" i="23" l="1"/>
  <c r="L23" i="33"/>
  <c r="L30" i="37"/>
  <c r="L24" i="23"/>
  <c r="L24" i="29"/>
  <c r="L23" i="35"/>
  <c r="L23" i="20"/>
  <c r="L25" i="18"/>
  <c r="L31" i="29"/>
  <c r="L25" i="29"/>
  <c r="L24" i="33"/>
  <c r="L26" i="33"/>
  <c r="L33" i="23"/>
  <c r="L30" i="35"/>
  <c r="L31" i="18"/>
  <c r="L33" i="18"/>
  <c r="L30" i="20"/>
  <c r="L31" i="13"/>
  <c r="L24" i="13"/>
  <c r="L26" i="35"/>
  <c r="L24" i="37"/>
  <c r="L31" i="37"/>
  <c r="L26" i="20"/>
  <c r="L26" i="37"/>
  <c r="L26" i="29"/>
  <c r="L30" i="29"/>
  <c r="L32" i="37"/>
  <c r="L31" i="33"/>
  <c r="L23" i="13"/>
  <c r="L23" i="29"/>
  <c r="L33" i="37"/>
  <c r="L32" i="23"/>
  <c r="L25" i="13"/>
  <c r="L30" i="18"/>
  <c r="L31" i="35"/>
  <c r="L23" i="18"/>
  <c r="L33" i="29"/>
  <c r="L32" i="20"/>
  <c r="L25" i="33"/>
  <c r="L26" i="23"/>
  <c r="L26" i="18"/>
  <c r="L32" i="29"/>
  <c r="L25" i="20"/>
  <c r="L33" i="33"/>
  <c r="L30" i="13"/>
  <c r="L30" i="33"/>
  <c r="L24" i="24"/>
  <c r="L25" i="37"/>
  <c r="L23" i="37"/>
  <c r="L32" i="33"/>
  <c r="L33" i="20"/>
  <c r="L31" i="24"/>
  <c r="L32" i="18"/>
  <c r="L33" i="35"/>
  <c r="L30" i="23"/>
  <c r="J9" i="72"/>
  <c r="E31" i="13" l="1"/>
  <c r="E31" i="37"/>
  <c r="E31" i="33"/>
  <c r="E31" i="24"/>
  <c r="E31" i="29"/>
  <c r="E23" i="13"/>
  <c r="E23" i="20"/>
  <c r="E23" i="37"/>
  <c r="E23" i="33"/>
  <c r="E23" i="29"/>
  <c r="E25" i="29"/>
  <c r="E25" i="20"/>
  <c r="E25" i="13"/>
  <c r="E30" i="13"/>
  <c r="E30" i="20"/>
  <c r="E30" i="37"/>
  <c r="E30" i="29"/>
  <c r="E30" i="33"/>
  <c r="E32" i="20"/>
  <c r="E32" i="13"/>
  <c r="E32" i="29"/>
  <c r="E24" i="24"/>
  <c r="E24" i="13"/>
  <c r="E24" i="29"/>
  <c r="E24" i="33"/>
  <c r="E24" i="37"/>
  <c r="K7" i="72"/>
  <c r="K9" i="72"/>
  <c r="L9" i="72" s="1"/>
  <c r="J7" i="72"/>
  <c r="D48" i="72"/>
  <c r="D7" i="72"/>
  <c r="D9" i="72"/>
  <c r="AN44" i="65"/>
  <c r="AK44" i="65"/>
  <c r="AB44" i="65"/>
  <c r="Y44" i="65"/>
  <c r="S44" i="65"/>
  <c r="J44" i="65"/>
  <c r="AN42" i="65"/>
  <c r="AK42" i="65"/>
  <c r="AE42" i="65"/>
  <c r="AB42" i="65"/>
  <c r="V42" i="65"/>
  <c r="S42" i="65"/>
  <c r="P42" i="65"/>
  <c r="J42" i="65"/>
  <c r="D42" i="65"/>
  <c r="AN40" i="65"/>
  <c r="AK40" i="65"/>
  <c r="AE40" i="65"/>
  <c r="AB40" i="65"/>
  <c r="Y40" i="65"/>
  <c r="V40" i="65"/>
  <c r="S40" i="65"/>
  <c r="P40" i="65"/>
  <c r="J40" i="65"/>
  <c r="D40" i="65"/>
  <c r="AN39" i="65"/>
  <c r="AK39" i="65"/>
  <c r="AE39" i="65"/>
  <c r="AB39" i="65"/>
  <c r="Y39" i="65"/>
  <c r="S39" i="65"/>
  <c r="P39" i="65"/>
  <c r="J39" i="65"/>
  <c r="AN38" i="65"/>
  <c r="AK38" i="65"/>
  <c r="AE38" i="65"/>
  <c r="AB38" i="65"/>
  <c r="Y38" i="65"/>
  <c r="S38" i="65"/>
  <c r="P38" i="65"/>
  <c r="J38" i="65"/>
  <c r="AN37" i="65"/>
  <c r="AK37" i="65"/>
  <c r="AE37" i="65"/>
  <c r="AB37" i="65"/>
  <c r="Y37" i="65"/>
  <c r="V37" i="65"/>
  <c r="S37" i="65"/>
  <c r="P37" i="65"/>
  <c r="J37" i="65"/>
  <c r="D37" i="65"/>
  <c r="AN33" i="65"/>
  <c r="AK33" i="65"/>
  <c r="AB33" i="65"/>
  <c r="Y33" i="65"/>
  <c r="J33" i="65"/>
  <c r="AN32" i="65"/>
  <c r="AK32" i="65"/>
  <c r="AH32" i="65"/>
  <c r="AE32" i="65"/>
  <c r="AB32" i="65"/>
  <c r="Y32" i="65"/>
  <c r="V32" i="65"/>
  <c r="S32" i="65"/>
  <c r="P32" i="65"/>
  <c r="J32" i="65"/>
  <c r="D32" i="65"/>
  <c r="AN31" i="65"/>
  <c r="AK31" i="65"/>
  <c r="AE31" i="65"/>
  <c r="AB31" i="65"/>
  <c r="Y31" i="65"/>
  <c r="S31" i="65"/>
  <c r="J31" i="65"/>
  <c r="D31" i="65"/>
  <c r="AN30" i="65"/>
  <c r="AK30" i="65"/>
  <c r="AH30" i="65"/>
  <c r="AB30" i="65"/>
  <c r="Y30" i="65"/>
  <c r="S30" i="65"/>
  <c r="J30" i="65"/>
  <c r="D30" i="65"/>
  <c r="AB29" i="65"/>
  <c r="AN28" i="65"/>
  <c r="AK28" i="65"/>
  <c r="AB28" i="65"/>
  <c r="Y28" i="65"/>
  <c r="S28" i="65"/>
  <c r="J28" i="65"/>
  <c r="AN27" i="65"/>
  <c r="AK27" i="65"/>
  <c r="AB27" i="65"/>
  <c r="P27" i="65"/>
  <c r="J27" i="65"/>
  <c r="D27" i="65"/>
  <c r="AN26" i="65"/>
  <c r="AK26" i="65"/>
  <c r="AE26" i="65"/>
  <c r="AB26" i="65"/>
  <c r="Y26" i="65"/>
  <c r="J26" i="65"/>
  <c r="AN25" i="65"/>
  <c r="AK25" i="65"/>
  <c r="AE25" i="65"/>
  <c r="AB25" i="65"/>
  <c r="Y25" i="65"/>
  <c r="S25" i="65"/>
  <c r="J25" i="65"/>
  <c r="D25" i="65"/>
  <c r="AN24" i="65"/>
  <c r="AK24" i="65"/>
  <c r="AE24" i="65"/>
  <c r="AB24" i="65"/>
  <c r="Y24" i="65"/>
  <c r="S24" i="65"/>
  <c r="P24" i="65"/>
  <c r="J24" i="65"/>
  <c r="AN23" i="65"/>
  <c r="AK23" i="65"/>
  <c r="AE23" i="65"/>
  <c r="AB23" i="65"/>
  <c r="Y23" i="65"/>
  <c r="S23" i="65"/>
  <c r="P23" i="65"/>
  <c r="J23" i="65"/>
  <c r="D23" i="65"/>
  <c r="AE21" i="65"/>
  <c r="AN20" i="65"/>
  <c r="AK20" i="65"/>
  <c r="AH20" i="65"/>
  <c r="AB20" i="65"/>
  <c r="Y20" i="65"/>
  <c r="S20" i="65"/>
  <c r="P20" i="65"/>
  <c r="J20" i="65"/>
  <c r="D20" i="65"/>
  <c r="AN19" i="65"/>
  <c r="AK19" i="65"/>
  <c r="AH19" i="65"/>
  <c r="AE19" i="65"/>
  <c r="AB19" i="65"/>
  <c r="Y19" i="65"/>
  <c r="V19" i="65"/>
  <c r="S19" i="65"/>
  <c r="P19" i="65"/>
  <c r="J19" i="65"/>
  <c r="D19" i="65"/>
  <c r="AN17" i="65"/>
  <c r="AK17" i="65"/>
  <c r="AE17" i="65"/>
  <c r="AB17" i="65"/>
  <c r="Y17" i="65"/>
  <c r="P17" i="65"/>
  <c r="J17" i="65"/>
  <c r="AN16" i="65"/>
  <c r="AK16" i="65"/>
  <c r="AH16" i="65"/>
  <c r="AB16" i="65"/>
  <c r="Y16" i="65"/>
  <c r="S16" i="65"/>
  <c r="P16" i="65"/>
  <c r="J16" i="65"/>
  <c r="D16" i="65"/>
  <c r="AN15" i="65"/>
  <c r="AK15" i="65"/>
  <c r="AE15" i="65"/>
  <c r="AB15" i="65"/>
  <c r="Y15" i="65"/>
  <c r="S15" i="65"/>
  <c r="P15" i="65"/>
  <c r="J15" i="65"/>
  <c r="D15" i="65"/>
  <c r="AN14" i="65"/>
  <c r="AB14" i="65"/>
  <c r="AN13" i="65"/>
  <c r="AK13" i="65"/>
  <c r="AH13" i="65"/>
  <c r="AB13" i="65"/>
  <c r="Y13" i="65"/>
  <c r="S13" i="65"/>
  <c r="P13" i="65"/>
  <c r="J13" i="65"/>
  <c r="D13" i="65"/>
  <c r="AN12" i="65"/>
  <c r="AK12" i="65"/>
  <c r="AB12" i="65"/>
  <c r="Y12" i="65"/>
  <c r="S12" i="65"/>
  <c r="P12" i="65"/>
  <c r="J12" i="65"/>
  <c r="D12" i="65"/>
  <c r="AN11" i="65"/>
  <c r="AK11" i="65"/>
  <c r="AH11" i="65"/>
  <c r="AE11" i="65"/>
  <c r="AB11" i="65"/>
  <c r="Y11" i="65"/>
  <c r="V11" i="65"/>
  <c r="S11" i="65"/>
  <c r="P11" i="65"/>
  <c r="J11" i="65"/>
  <c r="D11" i="65"/>
  <c r="AN89" i="62"/>
  <c r="AK89" i="62"/>
  <c r="AE89" i="62"/>
  <c r="AB89" i="62"/>
  <c r="Y89" i="62"/>
  <c r="V89" i="62"/>
  <c r="S89" i="62"/>
  <c r="P89" i="62"/>
  <c r="J89" i="62"/>
  <c r="D89" i="62"/>
  <c r="AN88" i="62"/>
  <c r="AK88" i="62"/>
  <c r="AH88" i="62"/>
  <c r="AE88" i="62"/>
  <c r="AB88" i="62"/>
  <c r="Y88" i="62"/>
  <c r="V88" i="62"/>
  <c r="S88" i="62"/>
  <c r="J88" i="62"/>
  <c r="D88" i="62"/>
  <c r="AK87" i="62"/>
  <c r="AN86" i="62"/>
  <c r="AK86" i="62"/>
  <c r="AE86" i="62"/>
  <c r="AB86" i="62"/>
  <c r="Y86" i="62"/>
  <c r="V86" i="62"/>
  <c r="S86" i="62"/>
  <c r="P86" i="62"/>
  <c r="J86" i="62"/>
  <c r="D86" i="62"/>
  <c r="AN83" i="62"/>
  <c r="AK83" i="62"/>
  <c r="Y83" i="62"/>
  <c r="S83" i="62"/>
  <c r="J83" i="62"/>
  <c r="D83" i="62"/>
  <c r="AN82" i="62"/>
  <c r="AK82" i="62"/>
  <c r="AB82" i="62"/>
  <c r="AN81" i="62"/>
  <c r="AK81" i="62"/>
  <c r="AH81" i="62"/>
  <c r="AB81" i="62"/>
  <c r="Y81" i="62"/>
  <c r="S81" i="62"/>
  <c r="P81" i="62"/>
  <c r="J81" i="62"/>
  <c r="D81" i="62"/>
  <c r="AN77" i="62"/>
  <c r="AK77" i="62"/>
  <c r="AB77" i="62"/>
  <c r="P77" i="62"/>
  <c r="J77" i="62"/>
  <c r="D77" i="62"/>
  <c r="AN76" i="62"/>
  <c r="AK76" i="62"/>
  <c r="AB76" i="62"/>
  <c r="Y76" i="62"/>
  <c r="D76" i="62"/>
  <c r="AN75" i="62"/>
  <c r="AK75" i="62"/>
  <c r="AE75" i="62"/>
  <c r="AB75" i="62"/>
  <c r="Y75" i="62"/>
  <c r="S75" i="62"/>
  <c r="J75" i="62"/>
  <c r="D75" i="62"/>
  <c r="AN74" i="62"/>
  <c r="AK74" i="62"/>
  <c r="AE74" i="62"/>
  <c r="AB74" i="62"/>
  <c r="Y74" i="62"/>
  <c r="S74" i="62"/>
  <c r="P74" i="62"/>
  <c r="J74" i="62"/>
  <c r="D74" i="62"/>
  <c r="AN73" i="62"/>
  <c r="AK73" i="62"/>
  <c r="AE73" i="62"/>
  <c r="AB73" i="62"/>
  <c r="Y73" i="62"/>
  <c r="S73" i="62"/>
  <c r="P73" i="62"/>
  <c r="J73" i="62"/>
  <c r="D73" i="62"/>
  <c r="AN71" i="62"/>
  <c r="AK71" i="62"/>
  <c r="AE71" i="62"/>
  <c r="AB71" i="62"/>
  <c r="Y71" i="62"/>
  <c r="J71" i="62"/>
  <c r="AN70" i="62"/>
  <c r="AK70" i="62"/>
  <c r="AE70" i="62"/>
  <c r="AB70" i="62"/>
  <c r="Y70" i="62"/>
  <c r="S70" i="62"/>
  <c r="J70" i="62"/>
  <c r="AN69" i="62"/>
  <c r="AK69" i="62"/>
  <c r="AH69" i="62"/>
  <c r="AE69" i="62"/>
  <c r="AB69" i="62"/>
  <c r="Y69" i="62"/>
  <c r="V69" i="62"/>
  <c r="S69" i="62"/>
  <c r="P69" i="62"/>
  <c r="J69" i="62"/>
  <c r="D69" i="62"/>
  <c r="AN68" i="62"/>
  <c r="AK68" i="62"/>
  <c r="AH68" i="62"/>
  <c r="AE68" i="62"/>
  <c r="AB68" i="62"/>
  <c r="Y68" i="62"/>
  <c r="V68" i="62"/>
  <c r="S68" i="62"/>
  <c r="P68" i="62"/>
  <c r="J68" i="62"/>
  <c r="D68" i="62"/>
  <c r="AN59" i="62"/>
  <c r="AK59" i="62"/>
  <c r="AB59" i="62"/>
  <c r="Y59" i="62"/>
  <c r="S59" i="62"/>
  <c r="P59" i="62"/>
  <c r="D59" i="62"/>
  <c r="AN58" i="62"/>
  <c r="Y58" i="62"/>
  <c r="AN57" i="62"/>
  <c r="Y57" i="62"/>
  <c r="S57" i="62"/>
  <c r="J57" i="62"/>
  <c r="AN56" i="62"/>
  <c r="AK56" i="62"/>
  <c r="Y56" i="62"/>
  <c r="S56" i="62"/>
  <c r="P56" i="62"/>
  <c r="J56" i="62"/>
  <c r="D56" i="62"/>
  <c r="AN55" i="62"/>
  <c r="AK55" i="62"/>
  <c r="AH55" i="62"/>
  <c r="AB55" i="62"/>
  <c r="Y55" i="62"/>
  <c r="S55" i="62"/>
  <c r="P55" i="62"/>
  <c r="J55" i="62"/>
  <c r="D55" i="62"/>
  <c r="Y53" i="62"/>
  <c r="Y51" i="62"/>
  <c r="AN49" i="62"/>
  <c r="Y49" i="62"/>
  <c r="AT48" i="62"/>
  <c r="AK46" i="62"/>
  <c r="AB46" i="62"/>
  <c r="P46" i="62"/>
  <c r="D46" i="62"/>
  <c r="AN44" i="62"/>
  <c r="AK44" i="62"/>
  <c r="AE44" i="62"/>
  <c r="AB44" i="62"/>
  <c r="Y44" i="62"/>
  <c r="S44" i="62"/>
  <c r="P44" i="62"/>
  <c r="J44" i="62"/>
  <c r="D44" i="62"/>
  <c r="AN43" i="62"/>
  <c r="AK43" i="62"/>
  <c r="AE43" i="62"/>
  <c r="AB43" i="62"/>
  <c r="Y43" i="62"/>
  <c r="J43" i="62"/>
  <c r="D43" i="62"/>
  <c r="AN42" i="62"/>
  <c r="AE42" i="62"/>
  <c r="Y42" i="62"/>
  <c r="S42" i="62"/>
  <c r="J42" i="62"/>
  <c r="AN41" i="62"/>
  <c r="AK41" i="62"/>
  <c r="AE41" i="62"/>
  <c r="AB41" i="62"/>
  <c r="Y41" i="62"/>
  <c r="S41" i="62"/>
  <c r="P41" i="62"/>
  <c r="J41" i="62"/>
  <c r="D41" i="62"/>
  <c r="AN40" i="62"/>
  <c r="AK40" i="62"/>
  <c r="AE40" i="62"/>
  <c r="AB40" i="62"/>
  <c r="Y40" i="62"/>
  <c r="P40" i="62"/>
  <c r="J40" i="62"/>
  <c r="D40" i="62"/>
  <c r="AN38" i="62"/>
  <c r="AK38" i="62"/>
  <c r="AE38" i="62"/>
  <c r="AB38" i="62"/>
  <c r="Y38" i="62"/>
  <c r="S38" i="62"/>
  <c r="AN37" i="62"/>
  <c r="AK37" i="62"/>
  <c r="AE37" i="62"/>
  <c r="AB37" i="62"/>
  <c r="Y37" i="62"/>
  <c r="S37" i="62"/>
  <c r="J37" i="62"/>
  <c r="AN36" i="62"/>
  <c r="AK36" i="62"/>
  <c r="AE36" i="62"/>
  <c r="AB36" i="62"/>
  <c r="Y36" i="62"/>
  <c r="S36" i="62"/>
  <c r="J36" i="62"/>
  <c r="J35" i="62"/>
  <c r="AN34" i="62"/>
  <c r="AK34" i="62"/>
  <c r="AE34" i="62"/>
  <c r="AB34" i="62"/>
  <c r="Y34" i="62"/>
  <c r="J34" i="62"/>
  <c r="AK33" i="62"/>
  <c r="AE33" i="62"/>
  <c r="J33" i="62"/>
  <c r="AN28" i="62"/>
  <c r="AK28" i="62"/>
  <c r="AE28" i="62"/>
  <c r="AB28" i="62"/>
  <c r="Y28" i="62"/>
  <c r="S28" i="62"/>
  <c r="P28" i="62"/>
  <c r="J28" i="62"/>
  <c r="D28" i="62"/>
  <c r="V27" i="62"/>
  <c r="AT26" i="62"/>
  <c r="AN25" i="62"/>
  <c r="AK25" i="62"/>
  <c r="Y25" i="62"/>
  <c r="P25" i="62"/>
  <c r="J25" i="62"/>
  <c r="AN24" i="62"/>
  <c r="AE24" i="62"/>
  <c r="Y24" i="62"/>
  <c r="J24" i="62"/>
  <c r="AN23" i="62"/>
  <c r="AK23" i="62"/>
  <c r="AE23" i="62"/>
  <c r="AB23" i="62"/>
  <c r="Y23" i="62"/>
  <c r="S23" i="62"/>
  <c r="J23" i="62"/>
  <c r="AN22" i="62"/>
  <c r="AK22" i="62"/>
  <c r="AE22" i="62"/>
  <c r="AB22" i="62"/>
  <c r="Y22" i="62"/>
  <c r="S22" i="62"/>
  <c r="P22" i="62"/>
  <c r="J22" i="62"/>
  <c r="D22" i="62"/>
  <c r="AN21" i="62"/>
  <c r="AK21" i="62"/>
  <c r="AB21" i="62"/>
  <c r="Y21" i="62"/>
  <c r="S21" i="62"/>
  <c r="P21" i="62"/>
  <c r="J21" i="62"/>
  <c r="D21" i="62"/>
  <c r="AN20" i="62"/>
  <c r="AK20" i="62"/>
  <c r="AE20" i="62"/>
  <c r="AB20" i="62"/>
  <c r="Y20" i="62"/>
  <c r="V20" i="62"/>
  <c r="S20" i="62"/>
  <c r="P20" i="62"/>
  <c r="J20" i="62"/>
  <c r="AN19" i="62"/>
  <c r="AK19" i="62"/>
  <c r="AE19" i="62"/>
  <c r="Y19" i="62"/>
  <c r="AN18" i="62"/>
  <c r="AK18" i="62"/>
  <c r="Y18" i="62"/>
  <c r="AN17" i="62"/>
  <c r="AK17" i="62"/>
  <c r="AE17" i="62"/>
  <c r="Y17" i="62"/>
  <c r="AN27" i="62"/>
  <c r="AN15" i="62"/>
  <c r="AK15" i="62"/>
  <c r="AE15" i="62"/>
  <c r="Y15" i="62"/>
  <c r="J15" i="62"/>
  <c r="AK14" i="62"/>
  <c r="Y14" i="62"/>
  <c r="L7" i="72" l="1"/>
  <c r="AT61" i="62"/>
  <c r="AT84" i="62"/>
  <c r="AT22" i="62"/>
  <c r="AT14" i="62"/>
  <c r="AT37" i="62"/>
  <c r="AT41" i="62"/>
  <c r="AT52" i="62"/>
  <c r="AH54" i="62"/>
  <c r="AK54" i="62"/>
  <c r="AT40" i="62"/>
  <c r="AT46" i="62"/>
  <c r="P14" i="65"/>
  <c r="AQ15" i="65"/>
  <c r="AT16" i="65"/>
  <c r="AQ19" i="65"/>
  <c r="AQ28" i="65"/>
  <c r="AT71" i="62"/>
  <c r="AT75" i="62"/>
  <c r="AT81" i="62"/>
  <c r="AT87" i="62"/>
  <c r="AT89" i="62"/>
  <c r="H28" i="9"/>
  <c r="D47" i="72"/>
  <c r="G28" i="9"/>
  <c r="G70" i="9" s="1"/>
  <c r="B28" i="9"/>
  <c r="M27" i="8" s="1"/>
  <c r="AB27" i="62"/>
  <c r="AT55" i="62"/>
  <c r="AT57" i="62"/>
  <c r="AT68" i="62"/>
  <c r="AQ17" i="65"/>
  <c r="AQ20" i="65"/>
  <c r="Y16" i="62"/>
  <c r="AT28" i="62"/>
  <c r="AT42" i="62"/>
  <c r="AT69" i="62"/>
  <c r="AT76" i="62"/>
  <c r="AT82" i="62"/>
  <c r="AT12" i="65"/>
  <c r="AQ13" i="65"/>
  <c r="AQ27" i="65"/>
  <c r="AQ33" i="65"/>
  <c r="AQ44" i="65"/>
  <c r="AT15" i="62"/>
  <c r="AT17" i="62"/>
  <c r="AT19" i="62"/>
  <c r="AT21" i="62"/>
  <c r="AT23" i="62"/>
  <c r="AT33" i="62"/>
  <c r="AT53" i="62"/>
  <c r="AT86" i="62"/>
  <c r="AT19" i="65"/>
  <c r="AK35" i="62"/>
  <c r="AB39" i="62"/>
  <c r="AT38" i="62"/>
  <c r="Y39" i="62"/>
  <c r="AT43" i="62"/>
  <c r="AT49" i="62"/>
  <c r="AT51" i="62"/>
  <c r="AT56" i="62"/>
  <c r="AT58" i="62"/>
  <c r="AT59" i="62"/>
  <c r="AT70" i="62"/>
  <c r="AT74" i="62"/>
  <c r="AT77" i="62"/>
  <c r="AT78" i="62"/>
  <c r="AT15" i="65"/>
  <c r="AT20" i="65"/>
  <c r="J21" i="65"/>
  <c r="AK21" i="65"/>
  <c r="AQ38" i="65"/>
  <c r="AQ39" i="65"/>
  <c r="P29" i="65"/>
  <c r="S54" i="62"/>
  <c r="AN79" i="62"/>
  <c r="AE16" i="62"/>
  <c r="J54" i="62"/>
  <c r="AE14" i="65"/>
  <c r="Y29" i="65"/>
  <c r="AQ40" i="65"/>
  <c r="AK16" i="62"/>
  <c r="D14" i="65"/>
  <c r="AK29" i="65"/>
  <c r="AT18" i="62"/>
  <c r="AT88" i="62"/>
  <c r="AQ12" i="65"/>
  <c r="AQ26" i="65"/>
  <c r="S35" i="62"/>
  <c r="AN35" i="62"/>
  <c r="AE39" i="62"/>
  <c r="AN54" i="62"/>
  <c r="AT73" i="62"/>
  <c r="AN16" i="62"/>
  <c r="AT24" i="62"/>
  <c r="AT34" i="62"/>
  <c r="AT36" i="62"/>
  <c r="AT44" i="62"/>
  <c r="D54" i="62"/>
  <c r="P54" i="62"/>
  <c r="AK79" i="62"/>
  <c r="AT83" i="62"/>
  <c r="Y85" i="62"/>
  <c r="AB85" i="62"/>
  <c r="AQ11" i="65"/>
  <c r="AT13" i="65"/>
  <c r="V14" i="65"/>
  <c r="AQ16" i="65"/>
  <c r="AT17" i="65"/>
  <c r="S21" i="65"/>
  <c r="AQ23" i="65"/>
  <c r="AQ24" i="65"/>
  <c r="AQ25" i="65"/>
  <c r="J29" i="65"/>
  <c r="AQ32" i="65"/>
  <c r="AT25" i="62"/>
  <c r="AT11" i="65"/>
  <c r="AH34" i="65"/>
  <c r="Y21" i="65"/>
  <c r="AN21" i="65"/>
  <c r="D29" i="65"/>
  <c r="S29" i="65"/>
  <c r="AQ37" i="65"/>
  <c r="J34" i="65"/>
  <c r="Y14" i="65"/>
  <c r="P21" i="65"/>
  <c r="AH21" i="65"/>
  <c r="AN29" i="65"/>
  <c r="AE34" i="65"/>
  <c r="AE29" i="65"/>
  <c r="AQ30" i="65"/>
  <c r="J14" i="65"/>
  <c r="S14" i="65"/>
  <c r="AH14" i="65"/>
  <c r="D21" i="65"/>
  <c r="V21" i="65"/>
  <c r="AK14" i="65"/>
  <c r="AB21" i="65"/>
  <c r="AQ31" i="65"/>
  <c r="AQ42" i="65"/>
  <c r="Y27" i="62"/>
  <c r="V29" i="62"/>
  <c r="J27" i="62"/>
  <c r="P27" i="62"/>
  <c r="D27" i="62"/>
  <c r="S27" i="62"/>
  <c r="AH29" i="62"/>
  <c r="Y35" i="62"/>
  <c r="S39" i="62"/>
  <c r="AK39" i="62"/>
  <c r="AT16" i="62"/>
  <c r="D20" i="62"/>
  <c r="AT20" i="62"/>
  <c r="AB35" i="62"/>
  <c r="J39" i="62"/>
  <c r="AN39" i="62"/>
  <c r="D39" i="62"/>
  <c r="AE35" i="62"/>
  <c r="P39" i="62"/>
  <c r="J79" i="62"/>
  <c r="S79" i="62"/>
  <c r="Y79" i="62"/>
  <c r="AB79" i="62"/>
  <c r="J85" i="62"/>
  <c r="S85" i="62"/>
  <c r="AN85" i="62"/>
  <c r="Y91" i="62"/>
  <c r="Y50" i="62"/>
  <c r="Y54" i="62"/>
  <c r="AB54" i="62"/>
  <c r="D79" i="62"/>
  <c r="P79" i="62"/>
  <c r="V79" i="62"/>
  <c r="AE79" i="62"/>
  <c r="D85" i="62"/>
  <c r="P85" i="62"/>
  <c r="AH85" i="62"/>
  <c r="AK85" i="62"/>
  <c r="C28" i="9" l="1"/>
  <c r="AT39" i="62"/>
  <c r="B70" i="9"/>
  <c r="AK27" i="62"/>
  <c r="AT27" i="62"/>
  <c r="AE27" i="62"/>
  <c r="AT14" i="65"/>
  <c r="AT21" i="65"/>
  <c r="V91" i="62"/>
  <c r="AT79" i="62"/>
  <c r="V34" i="65"/>
  <c r="P34" i="65"/>
  <c r="J41" i="65"/>
  <c r="AQ29" i="65"/>
  <c r="AQ14" i="65"/>
  <c r="AK34" i="65"/>
  <c r="AQ21" i="65"/>
  <c r="S34" i="65"/>
  <c r="AE41" i="65"/>
  <c r="AN34" i="65"/>
  <c r="D34" i="65"/>
  <c r="AB34" i="65"/>
  <c r="Y34" i="65"/>
  <c r="AK29" i="62"/>
  <c r="AE29" i="62"/>
  <c r="AN60" i="62"/>
  <c r="AT85" i="62"/>
  <c r="AT54" i="62"/>
  <c r="AB91" i="62"/>
  <c r="AT50" i="62"/>
  <c r="AE45" i="62"/>
  <c r="P29" i="62"/>
  <c r="AB29" i="62"/>
  <c r="P91" i="62"/>
  <c r="D91" i="62"/>
  <c r="D45" i="62"/>
  <c r="AH60" i="62"/>
  <c r="AH91" i="62"/>
  <c r="AN45" i="62"/>
  <c r="AN91" i="62"/>
  <c r="P60" i="62"/>
  <c r="S45" i="62"/>
  <c r="AB45" i="62"/>
  <c r="Y45" i="62"/>
  <c r="AN29" i="62"/>
  <c r="S29" i="62"/>
  <c r="D29" i="62"/>
  <c r="AT29" i="62"/>
  <c r="J29" i="62"/>
  <c r="Y29" i="62"/>
  <c r="J60" i="62"/>
  <c r="AE91" i="62"/>
  <c r="Y60" i="62"/>
  <c r="S60" i="62"/>
  <c r="S91" i="62"/>
  <c r="AB60" i="62"/>
  <c r="AK45" i="62"/>
  <c r="AK60" i="62"/>
  <c r="D60" i="62"/>
  <c r="AK91" i="62"/>
  <c r="J91" i="62"/>
  <c r="AT35" i="62"/>
  <c r="J45" i="62"/>
  <c r="P45" i="62"/>
  <c r="C70" i="9" l="1"/>
  <c r="D70" i="9" s="1"/>
  <c r="N27" i="8"/>
  <c r="AH41" i="65"/>
  <c r="AQ34" i="65"/>
  <c r="AE43" i="65"/>
  <c r="S41" i="65"/>
  <c r="J43" i="65"/>
  <c r="P41" i="65"/>
  <c r="Y41" i="65"/>
  <c r="AB41" i="65"/>
  <c r="D41" i="65"/>
  <c r="AQ41" i="65"/>
  <c r="AK41" i="65"/>
  <c r="V41" i="65"/>
  <c r="AN41" i="65"/>
  <c r="AH43" i="65"/>
  <c r="AK64" i="62"/>
  <c r="P64" i="62"/>
  <c r="D62" i="62"/>
  <c r="J62" i="62"/>
  <c r="AN64" i="62"/>
  <c r="S62" i="62"/>
  <c r="AN62" i="62"/>
  <c r="AE62" i="62"/>
  <c r="AH62" i="62"/>
  <c r="AK62" i="62"/>
  <c r="AT91" i="62"/>
  <c r="P62" i="62"/>
  <c r="AT60" i="62"/>
  <c r="Y64" i="62"/>
  <c r="S64" i="62"/>
  <c r="Y62" i="62"/>
  <c r="AB62" i="62"/>
  <c r="AT45" i="62"/>
  <c r="G33" i="4"/>
  <c r="I33" i="4" l="1"/>
  <c r="H33" i="4"/>
  <c r="AN43" i="65"/>
  <c r="V43" i="65"/>
  <c r="AQ43" i="65"/>
  <c r="D43" i="65"/>
  <c r="Y43" i="65"/>
  <c r="J45" i="65"/>
  <c r="S43" i="65"/>
  <c r="P43" i="65"/>
  <c r="AE45" i="65"/>
  <c r="AH45" i="65"/>
  <c r="AK43" i="65"/>
  <c r="AB43" i="65"/>
  <c r="D64" i="62"/>
  <c r="AB64" i="62"/>
  <c r="AH64" i="62"/>
  <c r="J64" i="62"/>
  <c r="AE64" i="62"/>
  <c r="V64" i="62"/>
  <c r="AT62" i="62"/>
  <c r="J33" i="4" l="1"/>
  <c r="AB45" i="65"/>
  <c r="S45" i="65"/>
  <c r="Y45" i="65"/>
  <c r="V45" i="65"/>
  <c r="AK45" i="65"/>
  <c r="P45" i="65"/>
  <c r="D45" i="65"/>
  <c r="AN45" i="65"/>
  <c r="AT64" i="62"/>
  <c r="K9" i="18"/>
  <c r="K8" i="18"/>
  <c r="AQ45" i="65" l="1"/>
  <c r="G10" i="9"/>
  <c r="D22" i="18"/>
  <c r="H10" i="9"/>
  <c r="D29" i="18"/>
  <c r="D7" i="18"/>
  <c r="D10" i="18"/>
  <c r="H118" i="18"/>
  <c r="H122" i="18"/>
  <c r="K7" i="18"/>
  <c r="J88" i="18"/>
  <c r="H110" i="18"/>
  <c r="H114" i="18"/>
  <c r="H126" i="18"/>
  <c r="K114" i="18"/>
  <c r="K99" i="18"/>
  <c r="H7" i="18"/>
  <c r="K11" i="18"/>
  <c r="J67" i="18"/>
  <c r="D99" i="18"/>
  <c r="J110" i="18"/>
  <c r="J113" i="18"/>
  <c r="J122" i="18"/>
  <c r="D28" i="18"/>
  <c r="H34" i="18"/>
  <c r="H35" i="18"/>
  <c r="K78" i="18"/>
  <c r="K109" i="18"/>
  <c r="J114" i="18"/>
  <c r="K121" i="18"/>
  <c r="H109" i="18"/>
  <c r="J35" i="18"/>
  <c r="H11" i="18"/>
  <c r="K110" i="18"/>
  <c r="J118" i="18"/>
  <c r="K12" i="18"/>
  <c r="K113" i="18"/>
  <c r="K118" i="18"/>
  <c r="H12" i="18"/>
  <c r="K35" i="18"/>
  <c r="K10" i="18"/>
  <c r="J34" i="18"/>
  <c r="D67" i="18"/>
  <c r="D88" i="18"/>
  <c r="J99" i="18"/>
  <c r="J121" i="18"/>
  <c r="K122" i="18"/>
  <c r="K28" i="18"/>
  <c r="K34" i="18"/>
  <c r="D48" i="18"/>
  <c r="K67" i="18"/>
  <c r="D121" i="18"/>
  <c r="J11" i="18"/>
  <c r="J109" i="18"/>
  <c r="D113" i="18"/>
  <c r="H22" i="18"/>
  <c r="D78" i="18"/>
  <c r="D109" i="18"/>
  <c r="J126" i="18"/>
  <c r="J9" i="18"/>
  <c r="L9" i="18" s="1"/>
  <c r="D9" i="18"/>
  <c r="J28" i="18"/>
  <c r="J12" i="18"/>
  <c r="J7" i="18"/>
  <c r="J10" i="18"/>
  <c r="J8" i="18"/>
  <c r="L8" i="18" s="1"/>
  <c r="D8" i="18"/>
  <c r="J78" i="18"/>
  <c r="K126" i="18"/>
  <c r="K88" i="18"/>
  <c r="N60" i="8" l="1"/>
  <c r="M60" i="8"/>
  <c r="K98" i="18"/>
  <c r="I10" i="9"/>
  <c r="D87" i="18"/>
  <c r="H29" i="18"/>
  <c r="D66" i="18"/>
  <c r="K29" i="18"/>
  <c r="K22" i="18"/>
  <c r="J29" i="18"/>
  <c r="H120" i="18"/>
  <c r="J22" i="18"/>
  <c r="K120" i="18"/>
  <c r="L114" i="18"/>
  <c r="L12" i="18"/>
  <c r="L28" i="18"/>
  <c r="L88" i="18"/>
  <c r="L122" i="18"/>
  <c r="L110" i="18"/>
  <c r="L121" i="18"/>
  <c r="L99" i="18"/>
  <c r="L35" i="18"/>
  <c r="J112" i="18"/>
  <c r="H112" i="18"/>
  <c r="L118" i="18"/>
  <c r="L78" i="18"/>
  <c r="L7" i="18"/>
  <c r="L109" i="18"/>
  <c r="L11" i="18"/>
  <c r="L67" i="18"/>
  <c r="K112" i="18"/>
  <c r="L113" i="18"/>
  <c r="D98" i="18"/>
  <c r="L10" i="18"/>
  <c r="J120" i="18"/>
  <c r="D120" i="18"/>
  <c r="L34" i="18"/>
  <c r="L126" i="18"/>
  <c r="D112" i="18"/>
  <c r="K97" i="37"/>
  <c r="J97" i="37"/>
  <c r="D97" i="29"/>
  <c r="K97" i="33"/>
  <c r="K97" i="29"/>
  <c r="J97" i="13"/>
  <c r="J97" i="33"/>
  <c r="J97" i="29"/>
  <c r="D97" i="37"/>
  <c r="D97" i="13"/>
  <c r="K97" i="13"/>
  <c r="D97" i="33"/>
  <c r="K76" i="37"/>
  <c r="D76" i="33"/>
  <c r="D76" i="37"/>
  <c r="K76" i="29"/>
  <c r="J76" i="13"/>
  <c r="J76" i="37"/>
  <c r="D76" i="29"/>
  <c r="K76" i="33"/>
  <c r="J76" i="33"/>
  <c r="J76" i="29"/>
  <c r="D76" i="13"/>
  <c r="K76" i="13"/>
  <c r="J8" i="37"/>
  <c r="K8" i="37"/>
  <c r="J9" i="37"/>
  <c r="K9" i="37"/>
  <c r="J36" i="37"/>
  <c r="J37" i="37"/>
  <c r="K100" i="18" l="1"/>
  <c r="L8" i="37"/>
  <c r="L9" i="37"/>
  <c r="D47" i="18"/>
  <c r="B10" i="9"/>
  <c r="L76" i="33"/>
  <c r="L120" i="18"/>
  <c r="L97" i="33"/>
  <c r="L97" i="29"/>
  <c r="L76" i="29"/>
  <c r="D77" i="18"/>
  <c r="H68" i="18"/>
  <c r="J68" i="18"/>
  <c r="J66" i="18"/>
  <c r="L29" i="18"/>
  <c r="K79" i="18"/>
  <c r="K77" i="18"/>
  <c r="L22" i="18"/>
  <c r="L76" i="13"/>
  <c r="D97" i="4"/>
  <c r="D76" i="4"/>
  <c r="L97" i="37"/>
  <c r="K68" i="18"/>
  <c r="L76" i="37"/>
  <c r="K87" i="18"/>
  <c r="K89" i="18"/>
  <c r="L97" i="13"/>
  <c r="H100" i="18"/>
  <c r="J100" i="18"/>
  <c r="J89" i="18"/>
  <c r="H89" i="18"/>
  <c r="H79" i="18"/>
  <c r="J79" i="18"/>
  <c r="I97" i="4"/>
  <c r="I76" i="4"/>
  <c r="L112" i="18"/>
  <c r="H34" i="37"/>
  <c r="H117" i="37"/>
  <c r="D115" i="37"/>
  <c r="D117" i="37"/>
  <c r="J125" i="37"/>
  <c r="H76" i="4"/>
  <c r="H97" i="4"/>
  <c r="K12" i="37"/>
  <c r="K7" i="37"/>
  <c r="H114" i="37"/>
  <c r="H118" i="37"/>
  <c r="J88" i="37"/>
  <c r="K75" i="37"/>
  <c r="K109" i="37"/>
  <c r="K96" i="37"/>
  <c r="K67" i="37"/>
  <c r="J35" i="37"/>
  <c r="J10" i="37"/>
  <c r="D7" i="37"/>
  <c r="K136" i="37"/>
  <c r="K135" i="37"/>
  <c r="K123" i="37"/>
  <c r="D123" i="37"/>
  <c r="H115" i="37"/>
  <c r="H113" i="37"/>
  <c r="J122" i="37"/>
  <c r="H122" i="37"/>
  <c r="K115" i="37"/>
  <c r="K108" i="37"/>
  <c r="K99" i="37"/>
  <c r="J126" i="37"/>
  <c r="K117" i="37"/>
  <c r="K78" i="37"/>
  <c r="D8" i="37"/>
  <c r="H109" i="37"/>
  <c r="D67" i="37"/>
  <c r="K111" i="37"/>
  <c r="J86" i="37"/>
  <c r="K28" i="37"/>
  <c r="H7" i="37"/>
  <c r="D136" i="37"/>
  <c r="H125" i="37"/>
  <c r="J111" i="37"/>
  <c r="D109" i="37"/>
  <c r="D28" i="37"/>
  <c r="D126" i="37"/>
  <c r="K114" i="37"/>
  <c r="J109" i="37"/>
  <c r="D34" i="37"/>
  <c r="K10" i="37"/>
  <c r="K126" i="37"/>
  <c r="J118" i="37"/>
  <c r="J114" i="37"/>
  <c r="D111" i="37"/>
  <c r="K137" i="37"/>
  <c r="J135" i="37"/>
  <c r="H35" i="37"/>
  <c r="J28" i="37"/>
  <c r="K11" i="37"/>
  <c r="J123" i="37"/>
  <c r="J117" i="37"/>
  <c r="K110" i="37"/>
  <c r="D35" i="37"/>
  <c r="J12" i="37"/>
  <c r="J7" i="37"/>
  <c r="H75" i="37"/>
  <c r="D48" i="37"/>
  <c r="K122" i="37"/>
  <c r="J67" i="37"/>
  <c r="H126" i="37"/>
  <c r="D125" i="37"/>
  <c r="D110" i="37"/>
  <c r="H96" i="37"/>
  <c r="K88" i="37"/>
  <c r="D55" i="37"/>
  <c r="J34" i="37"/>
  <c r="D9" i="37"/>
  <c r="J108" i="37"/>
  <c r="D108" i="37"/>
  <c r="K125" i="37"/>
  <c r="D99" i="37"/>
  <c r="D135" i="37"/>
  <c r="D121" i="37"/>
  <c r="J78" i="37"/>
  <c r="D78" i="37"/>
  <c r="J75" i="37"/>
  <c r="D75" i="37"/>
  <c r="J113" i="37"/>
  <c r="D113" i="37"/>
  <c r="J110" i="37"/>
  <c r="J136" i="37"/>
  <c r="D137" i="37"/>
  <c r="K121" i="37"/>
  <c r="J99" i="37"/>
  <c r="J96" i="37"/>
  <c r="D96" i="37"/>
  <c r="K86" i="37"/>
  <c r="J137" i="37"/>
  <c r="J121" i="37"/>
  <c r="J115" i="37"/>
  <c r="H110" i="37"/>
  <c r="D86" i="37"/>
  <c r="K118" i="37"/>
  <c r="K113" i="37"/>
  <c r="D88" i="37"/>
  <c r="H11" i="37"/>
  <c r="D10" i="37"/>
  <c r="K35" i="37"/>
  <c r="D57" i="37"/>
  <c r="D54" i="37"/>
  <c r="K34" i="37"/>
  <c r="H12" i="37"/>
  <c r="K37" i="37"/>
  <c r="D37" i="37"/>
  <c r="H10" i="37"/>
  <c r="K36" i="37"/>
  <c r="D36" i="37"/>
  <c r="J11" i="37"/>
  <c r="M9" i="8" l="1"/>
  <c r="L123" i="37"/>
  <c r="J76" i="4"/>
  <c r="L100" i="18"/>
  <c r="L115" i="37"/>
  <c r="L79" i="18"/>
  <c r="D77" i="37"/>
  <c r="H29" i="37"/>
  <c r="J29" i="37"/>
  <c r="D100" i="37"/>
  <c r="L68" i="18"/>
  <c r="L89" i="18"/>
  <c r="K98" i="37"/>
  <c r="H66" i="18"/>
  <c r="K66" i="18"/>
  <c r="L66" i="18" s="1"/>
  <c r="K77" i="37"/>
  <c r="J79" i="37"/>
  <c r="L111" i="37"/>
  <c r="J97" i="4"/>
  <c r="J100" i="37"/>
  <c r="J66" i="37"/>
  <c r="H87" i="18"/>
  <c r="J87" i="18"/>
  <c r="L87" i="18" s="1"/>
  <c r="H77" i="18"/>
  <c r="J77" i="18"/>
  <c r="L77" i="18" s="1"/>
  <c r="J98" i="18"/>
  <c r="L98" i="18" s="1"/>
  <c r="H98" i="18"/>
  <c r="L117" i="37"/>
  <c r="D89" i="37"/>
  <c r="K22" i="37"/>
  <c r="D49" i="37"/>
  <c r="J22" i="37"/>
  <c r="H22" i="37"/>
  <c r="K29" i="37"/>
  <c r="D29" i="37"/>
  <c r="D22" i="37"/>
  <c r="D87" i="37"/>
  <c r="D56" i="37"/>
  <c r="L88" i="37"/>
  <c r="L125" i="37"/>
  <c r="L12" i="37"/>
  <c r="L78" i="37"/>
  <c r="K112" i="37"/>
  <c r="L7" i="37"/>
  <c r="L136" i="37"/>
  <c r="D53" i="37"/>
  <c r="L28" i="37"/>
  <c r="L137" i="37"/>
  <c r="L96" i="37"/>
  <c r="L34" i="37"/>
  <c r="L110" i="37"/>
  <c r="L67" i="37"/>
  <c r="L99" i="37"/>
  <c r="L109" i="37"/>
  <c r="L135" i="37"/>
  <c r="L10" i="37"/>
  <c r="D47" i="37"/>
  <c r="L108" i="37"/>
  <c r="L75" i="37"/>
  <c r="K120" i="37"/>
  <c r="H112" i="37"/>
  <c r="L86" i="37"/>
  <c r="L122" i="37"/>
  <c r="H120" i="37"/>
  <c r="L35" i="37"/>
  <c r="L121" i="37"/>
  <c r="L11" i="37"/>
  <c r="D120" i="37"/>
  <c r="L118" i="37"/>
  <c r="L126" i="37"/>
  <c r="L114" i="37"/>
  <c r="J112" i="37"/>
  <c r="D112" i="37"/>
  <c r="D66" i="37"/>
  <c r="D98" i="37"/>
  <c r="J120" i="37"/>
  <c r="L113" i="37"/>
  <c r="L29" i="37" l="1"/>
  <c r="K79" i="37"/>
  <c r="L79" i="37" s="1"/>
  <c r="K100" i="37"/>
  <c r="L100" i="37" s="1"/>
  <c r="K87" i="37"/>
  <c r="K89" i="37"/>
  <c r="H68" i="37"/>
  <c r="H79" i="37"/>
  <c r="H100" i="37"/>
  <c r="H77" i="37"/>
  <c r="H98" i="37"/>
  <c r="L22" i="37"/>
  <c r="J68" i="37"/>
  <c r="K68" i="37"/>
  <c r="H89" i="37"/>
  <c r="J89" i="37"/>
  <c r="L112" i="37"/>
  <c r="L120" i="37"/>
  <c r="H87" i="37" l="1"/>
  <c r="L89" i="37"/>
  <c r="J98" i="37"/>
  <c r="L98" i="37" s="1"/>
  <c r="J77" i="37"/>
  <c r="L77" i="37" s="1"/>
  <c r="L68" i="37"/>
  <c r="J87" i="37"/>
  <c r="L87" i="37" s="1"/>
  <c r="H66" i="37"/>
  <c r="K66" i="37"/>
  <c r="L66" i="37" s="1"/>
  <c r="G14" i="58" l="1"/>
  <c r="C14" i="58"/>
  <c r="B13" i="58"/>
  <c r="F13" i="58"/>
  <c r="F22" i="58"/>
  <c r="B22" i="58"/>
  <c r="G21" i="58"/>
  <c r="C21" i="58"/>
  <c r="F17" i="58"/>
  <c r="B17" i="58"/>
  <c r="F28" i="58"/>
  <c r="B28" i="58"/>
  <c r="C26" i="58"/>
  <c r="G26" i="58"/>
  <c r="F29" i="58"/>
  <c r="B29" i="58"/>
  <c r="F11" i="58"/>
  <c r="B11" i="58"/>
  <c r="C13" i="58"/>
  <c r="G13" i="58"/>
  <c r="F20" i="58"/>
  <c r="B20" i="58"/>
  <c r="G22" i="58"/>
  <c r="C22" i="58"/>
  <c r="G17" i="58"/>
  <c r="C17" i="58"/>
  <c r="G28" i="58"/>
  <c r="C28" i="58"/>
  <c r="G29" i="58"/>
  <c r="C29" i="58"/>
  <c r="G11" i="58"/>
  <c r="C11" i="58"/>
  <c r="B12" i="58"/>
  <c r="F12" i="58"/>
  <c r="B10" i="58"/>
  <c r="F10" i="58"/>
  <c r="F9" i="58"/>
  <c r="B9" i="58"/>
  <c r="F19" i="58"/>
  <c r="B19" i="58"/>
  <c r="G20" i="58"/>
  <c r="C20" i="58"/>
  <c r="F18" i="58"/>
  <c r="B18" i="58"/>
  <c r="F27" i="58"/>
  <c r="B27" i="58"/>
  <c r="F30" i="58"/>
  <c r="B30" i="58"/>
  <c r="F25" i="58"/>
  <c r="B25" i="58"/>
  <c r="C12" i="58"/>
  <c r="G12" i="58"/>
  <c r="F14" i="58"/>
  <c r="B14" i="58"/>
  <c r="G10" i="58"/>
  <c r="C10" i="58"/>
  <c r="C9" i="58"/>
  <c r="G9" i="58"/>
  <c r="G19" i="58"/>
  <c r="C19" i="58"/>
  <c r="G18" i="58"/>
  <c r="C18" i="58"/>
  <c r="F21" i="58"/>
  <c r="B21" i="58"/>
  <c r="G27" i="58"/>
  <c r="C27" i="58"/>
  <c r="G30" i="58"/>
  <c r="C30" i="58"/>
  <c r="F26" i="58"/>
  <c r="B26" i="58"/>
  <c r="G25" i="58"/>
  <c r="C25" i="58"/>
  <c r="C8" i="58" l="1"/>
  <c r="G31" i="4" l="1"/>
  <c r="G23" i="4" l="1"/>
  <c r="G24" i="4"/>
  <c r="G30" i="4"/>
  <c r="G25" i="4"/>
  <c r="G32" i="4"/>
  <c r="D32" i="4"/>
  <c r="D24" i="4"/>
  <c r="I23" i="37"/>
  <c r="I25" i="37"/>
  <c r="I25" i="18"/>
  <c r="I30" i="37"/>
  <c r="I30" i="18"/>
  <c r="I31" i="37"/>
  <c r="I31" i="18"/>
  <c r="G26" i="4"/>
  <c r="D25" i="4"/>
  <c r="I32" i="37"/>
  <c r="I32" i="18"/>
  <c r="D30" i="4"/>
  <c r="D31" i="4"/>
  <c r="E29" i="18" l="1"/>
  <c r="E29" i="23"/>
  <c r="E29" i="29"/>
  <c r="E29" i="33"/>
  <c r="E29" i="16"/>
  <c r="E29" i="20"/>
  <c r="E29" i="24"/>
  <c r="E29" i="51"/>
  <c r="E29" i="37"/>
  <c r="E29" i="13"/>
  <c r="I23" i="18"/>
  <c r="D23" i="4"/>
  <c r="I26" i="4"/>
  <c r="H26" i="4"/>
  <c r="F26" i="10"/>
  <c r="F16" i="10"/>
  <c r="F34" i="10"/>
  <c r="I26" i="29"/>
  <c r="I26" i="20"/>
  <c r="I26" i="23"/>
  <c r="I26" i="33"/>
  <c r="I26" i="37"/>
  <c r="I26" i="35"/>
  <c r="I26" i="18"/>
  <c r="G16" i="10"/>
  <c r="G26" i="10"/>
  <c r="G34" i="10"/>
  <c r="I101" i="37" l="1"/>
  <c r="M26" i="29"/>
  <c r="J26" i="4"/>
  <c r="M26" i="20"/>
  <c r="M26" i="23"/>
  <c r="M26" i="35"/>
  <c r="M26" i="37"/>
  <c r="M26" i="33"/>
  <c r="M26" i="18"/>
  <c r="H30" i="58"/>
  <c r="H29" i="58"/>
  <c r="D29" i="58"/>
  <c r="H28" i="58"/>
  <c r="D28" i="58"/>
  <c r="H27" i="58"/>
  <c r="D27" i="58"/>
  <c r="H25" i="58"/>
  <c r="C24" i="58"/>
  <c r="D25" i="58"/>
  <c r="D22" i="58"/>
  <c r="H21" i="58"/>
  <c r="D20" i="58"/>
  <c r="H19" i="58"/>
  <c r="D18" i="58"/>
  <c r="G16" i="58"/>
  <c r="F16" i="58"/>
  <c r="H13" i="58"/>
  <c r="H12" i="58"/>
  <c r="H11" i="58"/>
  <c r="H10" i="58"/>
  <c r="H9" i="58"/>
  <c r="C38" i="58"/>
  <c r="C35" i="58"/>
  <c r="C34" i="58"/>
  <c r="B36" i="58"/>
  <c r="D11" i="58"/>
  <c r="D9" i="58"/>
  <c r="D30" i="58"/>
  <c r="D26" i="58"/>
  <c r="H22" i="58"/>
  <c r="H20" i="58"/>
  <c r="H18" i="58"/>
  <c r="H14" i="58"/>
  <c r="D13" i="58"/>
  <c r="G8" i="58"/>
  <c r="B24" i="58" l="1"/>
  <c r="D24" i="58" s="1"/>
  <c r="B37" i="58"/>
  <c r="B34" i="58"/>
  <c r="D34" i="58" s="1"/>
  <c r="B38" i="58"/>
  <c r="D38" i="58" s="1"/>
  <c r="C37" i="58"/>
  <c r="B35" i="58"/>
  <c r="D35" i="58" s="1"/>
  <c r="C36" i="58"/>
  <c r="D36" i="58" s="1"/>
  <c r="H26" i="58"/>
  <c r="C33" i="58"/>
  <c r="C16" i="58"/>
  <c r="G24" i="58"/>
  <c r="H16" i="58"/>
  <c r="B8" i="58"/>
  <c r="D8" i="58" s="1"/>
  <c r="B33" i="58"/>
  <c r="H17" i="58"/>
  <c r="D10" i="58"/>
  <c r="D12" i="58"/>
  <c r="D14" i="58"/>
  <c r="B16" i="58"/>
  <c r="D17" i="58"/>
  <c r="D19" i="58"/>
  <c r="D21" i="58"/>
  <c r="F8" i="58"/>
  <c r="H8" i="58" s="1"/>
  <c r="F24" i="58"/>
  <c r="D16" i="58" l="1"/>
  <c r="C32" i="58"/>
  <c r="G33" i="58" s="1"/>
  <c r="D37" i="58"/>
  <c r="D33" i="58"/>
  <c r="H24" i="58"/>
  <c r="B32" i="58"/>
  <c r="G34" i="58" l="1"/>
  <c r="G37" i="58"/>
  <c r="G35" i="58"/>
  <c r="G36" i="58"/>
  <c r="D32" i="58"/>
  <c r="G38" i="58"/>
  <c r="F36" i="58"/>
  <c r="F35" i="58"/>
  <c r="F33" i="58"/>
  <c r="H33" i="58" s="1"/>
  <c r="F37" i="58"/>
  <c r="F38" i="58"/>
  <c r="F34" i="58"/>
  <c r="H37" i="58" l="1"/>
  <c r="H34" i="58"/>
  <c r="H36" i="58"/>
  <c r="G32" i="58"/>
  <c r="H38" i="58"/>
  <c r="H35" i="58"/>
  <c r="F32" i="58"/>
  <c r="H32" i="58" l="1"/>
  <c r="G56" i="10" l="1"/>
  <c r="G60" i="10"/>
  <c r="F60" i="10" l="1"/>
  <c r="F56" i="10"/>
  <c r="K28" i="10" l="1"/>
  <c r="J28" i="10"/>
  <c r="K9" i="33" l="1"/>
  <c r="K9" i="29"/>
  <c r="K8" i="51"/>
  <c r="K8" i="29"/>
  <c r="K9" i="41"/>
  <c r="K8" i="33"/>
  <c r="K8" i="41"/>
  <c r="K9" i="51"/>
  <c r="K8" i="25"/>
  <c r="K8" i="24"/>
  <c r="K9" i="25"/>
  <c r="K9" i="24"/>
  <c r="K8" i="22"/>
  <c r="K9" i="22"/>
  <c r="K9" i="20"/>
  <c r="K8" i="20"/>
  <c r="K8" i="19"/>
  <c r="J36" i="13"/>
  <c r="K9" i="19"/>
  <c r="K39" i="13"/>
  <c r="K37" i="13"/>
  <c r="J39" i="13"/>
  <c r="J37" i="13"/>
  <c r="K36" i="13"/>
  <c r="K8" i="13"/>
  <c r="K9" i="13"/>
  <c r="E7" i="16" l="1"/>
  <c r="B20" i="10"/>
  <c r="F20" i="10"/>
  <c r="B16" i="10"/>
  <c r="B23" i="10"/>
  <c r="B44" i="10"/>
  <c r="E8" i="16"/>
  <c r="F31" i="10"/>
  <c r="F30" i="10"/>
  <c r="F41" i="10"/>
  <c r="F15" i="10"/>
  <c r="B30" i="10"/>
  <c r="B26" i="10"/>
  <c r="E37" i="13"/>
  <c r="B13" i="10"/>
  <c r="F42" i="10"/>
  <c r="F23" i="10"/>
  <c r="E9" i="16"/>
  <c r="F25" i="10"/>
  <c r="B33" i="10"/>
  <c r="B15" i="10"/>
  <c r="E36" i="13"/>
  <c r="F13" i="10"/>
  <c r="B9" i="10"/>
  <c r="E10" i="16"/>
  <c r="B41" i="10"/>
  <c r="B25" i="10"/>
  <c r="F9" i="10"/>
  <c r="G18" i="9"/>
  <c r="G60" i="9" s="1"/>
  <c r="H43" i="9"/>
  <c r="C41" i="9"/>
  <c r="H42" i="9"/>
  <c r="G11" i="9"/>
  <c r="G41" i="9"/>
  <c r="H21" i="9"/>
  <c r="N70" i="8" s="1"/>
  <c r="G19" i="9"/>
  <c r="M68" i="8" s="1"/>
  <c r="H11" i="9"/>
  <c r="H15" i="9"/>
  <c r="N65" i="8" s="1"/>
  <c r="G16" i="9"/>
  <c r="M66" i="8" s="1"/>
  <c r="G17" i="9"/>
  <c r="H22" i="9"/>
  <c r="N71" i="8" s="1"/>
  <c r="C39" i="9"/>
  <c r="G20" i="9"/>
  <c r="M69" i="8" s="1"/>
  <c r="B44" i="9"/>
  <c r="B45" i="9"/>
  <c r="C45" i="9"/>
  <c r="C38" i="9"/>
  <c r="G24" i="9"/>
  <c r="M73" i="8" s="1"/>
  <c r="C43" i="9"/>
  <c r="H44" i="9"/>
  <c r="H16" i="9"/>
  <c r="N66" i="8" s="1"/>
  <c r="H40" i="9"/>
  <c r="G13" i="9"/>
  <c r="C40" i="9"/>
  <c r="G23" i="9"/>
  <c r="M72" i="8" s="1"/>
  <c r="H23" i="9"/>
  <c r="G26" i="9"/>
  <c r="M75" i="8" s="1"/>
  <c r="G15" i="9"/>
  <c r="H39" i="9"/>
  <c r="H12" i="9"/>
  <c r="N62" i="8" s="1"/>
  <c r="H41" i="9"/>
  <c r="H38" i="9"/>
  <c r="C44" i="9"/>
  <c r="G12" i="9"/>
  <c r="M62" i="8" s="1"/>
  <c r="H13" i="9"/>
  <c r="N63" i="8" s="1"/>
  <c r="C42" i="9"/>
  <c r="G25" i="9"/>
  <c r="G21" i="9"/>
  <c r="G27" i="9"/>
  <c r="H45" i="9"/>
  <c r="G29" i="9"/>
  <c r="M77" i="8" s="1"/>
  <c r="G31" i="9"/>
  <c r="M79" i="8" s="1"/>
  <c r="G39" i="9"/>
  <c r="H25" i="9"/>
  <c r="N74" i="8" s="1"/>
  <c r="G22" i="9"/>
  <c r="B39" i="9"/>
  <c r="B43" i="9"/>
  <c r="B40" i="9"/>
  <c r="K136" i="26"/>
  <c r="K7" i="35"/>
  <c r="H29" i="29"/>
  <c r="K122" i="13"/>
  <c r="H122" i="33"/>
  <c r="H29" i="20"/>
  <c r="H126" i="33"/>
  <c r="H68" i="29"/>
  <c r="K114" i="33"/>
  <c r="H68" i="35"/>
  <c r="H29" i="13"/>
  <c r="K68" i="20"/>
  <c r="K12" i="29"/>
  <c r="J86" i="29"/>
  <c r="K109" i="33"/>
  <c r="H22" i="33"/>
  <c r="K68" i="33"/>
  <c r="H35" i="29"/>
  <c r="H34" i="13"/>
  <c r="H122" i="27"/>
  <c r="K89" i="27"/>
  <c r="K109" i="27"/>
  <c r="H122" i="35"/>
  <c r="K22" i="51"/>
  <c r="K136" i="34"/>
  <c r="K135" i="26"/>
  <c r="K114" i="29"/>
  <c r="H100" i="29"/>
  <c r="K138" i="26"/>
  <c r="J79" i="29"/>
  <c r="K28" i="51"/>
  <c r="H89" i="29"/>
  <c r="K12" i="33"/>
  <c r="K29" i="51"/>
  <c r="H34" i="33"/>
  <c r="H12" i="33"/>
  <c r="H79" i="27"/>
  <c r="H126" i="29"/>
  <c r="K110" i="20"/>
  <c r="K109" i="23"/>
  <c r="K22" i="23"/>
  <c r="K100" i="27"/>
  <c r="K108" i="33"/>
  <c r="K100" i="33"/>
  <c r="K75" i="33"/>
  <c r="K123" i="33"/>
  <c r="H86" i="35"/>
  <c r="K115" i="33"/>
  <c r="H29" i="33"/>
  <c r="H75" i="33"/>
  <c r="D37" i="13"/>
  <c r="K89" i="20"/>
  <c r="H100" i="20"/>
  <c r="K89" i="23"/>
  <c r="K68" i="23"/>
  <c r="H136" i="26"/>
  <c r="H22" i="29"/>
  <c r="K114" i="35"/>
  <c r="K12" i="35"/>
  <c r="K110" i="35"/>
  <c r="H12" i="35"/>
  <c r="H96" i="33"/>
  <c r="H118" i="33"/>
  <c r="K100" i="20"/>
  <c r="K28" i="25"/>
  <c r="K96" i="33"/>
  <c r="H35" i="33"/>
  <c r="K118" i="33"/>
  <c r="H100" i="27"/>
  <c r="H110" i="35"/>
  <c r="K28" i="23"/>
  <c r="H115" i="33"/>
  <c r="K114" i="20"/>
  <c r="K110" i="27"/>
  <c r="K89" i="33"/>
  <c r="K11" i="35"/>
  <c r="H114" i="35"/>
  <c r="D57" i="16"/>
  <c r="D9" i="16"/>
  <c r="D10" i="16"/>
  <c r="D54" i="16"/>
  <c r="D8" i="16"/>
  <c r="D49" i="16"/>
  <c r="D7" i="16"/>
  <c r="D48" i="16"/>
  <c r="H100" i="23"/>
  <c r="B21" i="10"/>
  <c r="K110" i="23"/>
  <c r="H110" i="27"/>
  <c r="K10" i="35"/>
  <c r="K34" i="13"/>
  <c r="K108" i="13"/>
  <c r="K122" i="23"/>
  <c r="H110" i="23"/>
  <c r="H22" i="23"/>
  <c r="H89" i="35"/>
  <c r="H100" i="33"/>
  <c r="H68" i="33"/>
  <c r="K126" i="33"/>
  <c r="D49" i="39"/>
  <c r="K7" i="13"/>
  <c r="K7" i="19"/>
  <c r="K10" i="29"/>
  <c r="H7" i="23"/>
  <c r="H7" i="29"/>
  <c r="H7" i="33"/>
  <c r="K10" i="33"/>
  <c r="H10" i="13"/>
  <c r="K7" i="23"/>
  <c r="K11" i="33"/>
  <c r="K7" i="29"/>
  <c r="H10" i="35"/>
  <c r="H11" i="13"/>
  <c r="H89" i="20"/>
  <c r="K22" i="13"/>
  <c r="K29" i="13"/>
  <c r="H79" i="13"/>
  <c r="K100" i="13"/>
  <c r="K117" i="13"/>
  <c r="K10" i="13"/>
  <c r="H122" i="13"/>
  <c r="K7" i="20"/>
  <c r="K10" i="20"/>
  <c r="K22" i="24"/>
  <c r="D49" i="26"/>
  <c r="K11" i="29"/>
  <c r="H22" i="35"/>
  <c r="H114" i="29"/>
  <c r="H7" i="35"/>
  <c r="H11" i="35"/>
  <c r="K7" i="33"/>
  <c r="H89" i="33"/>
  <c r="H108" i="33"/>
  <c r="K122" i="33"/>
  <c r="H89" i="13"/>
  <c r="K110" i="13"/>
  <c r="K67" i="13"/>
  <c r="K11" i="13"/>
  <c r="H22" i="20"/>
  <c r="H114" i="33"/>
  <c r="H108" i="35"/>
  <c r="H12" i="23"/>
  <c r="H137" i="26"/>
  <c r="H89" i="27"/>
  <c r="K28" i="29"/>
  <c r="K34" i="29"/>
  <c r="H135" i="26"/>
  <c r="H138" i="26"/>
  <c r="K118" i="29"/>
  <c r="H110" i="20"/>
  <c r="H35" i="35"/>
  <c r="H79" i="23"/>
  <c r="H89" i="23"/>
  <c r="H118" i="23"/>
  <c r="K35" i="29"/>
  <c r="H118" i="29"/>
  <c r="H46" i="9"/>
  <c r="D39" i="13"/>
  <c r="H22" i="13"/>
  <c r="H114" i="20"/>
  <c r="H7" i="13"/>
  <c r="K35" i="13"/>
  <c r="K109" i="13"/>
  <c r="K12" i="13"/>
  <c r="H108" i="13"/>
  <c r="C46" i="9"/>
  <c r="D48" i="13"/>
  <c r="J10" i="13"/>
  <c r="D10" i="13"/>
  <c r="K28" i="13"/>
  <c r="K68" i="13"/>
  <c r="K113" i="13"/>
  <c r="K118" i="13"/>
  <c r="H35" i="13"/>
  <c r="H110" i="13"/>
  <c r="J89" i="13"/>
  <c r="D89" i="13"/>
  <c r="D11" i="13"/>
  <c r="J11" i="13"/>
  <c r="J9" i="19"/>
  <c r="L9" i="19" s="1"/>
  <c r="D9" i="19"/>
  <c r="B37" i="9"/>
  <c r="K114" i="13"/>
  <c r="J9" i="13"/>
  <c r="L9" i="13" s="1"/>
  <c r="D9" i="13"/>
  <c r="H68" i="13"/>
  <c r="J88" i="13"/>
  <c r="D88" i="13"/>
  <c r="H100" i="13"/>
  <c r="H12" i="13"/>
  <c r="C37" i="9"/>
  <c r="H37" i="9"/>
  <c r="H52" i="9" s="1"/>
  <c r="G37" i="9"/>
  <c r="G52" i="9" s="1"/>
  <c r="D78" i="13"/>
  <c r="J78" i="13"/>
  <c r="J12" i="13"/>
  <c r="D12" i="13"/>
  <c r="K121" i="13"/>
  <c r="J110" i="20"/>
  <c r="K88" i="13"/>
  <c r="H118" i="13"/>
  <c r="D35" i="13"/>
  <c r="J35" i="13"/>
  <c r="J68" i="13"/>
  <c r="K86" i="13"/>
  <c r="K89" i="13"/>
  <c r="J108" i="13"/>
  <c r="D108" i="13"/>
  <c r="D113" i="13"/>
  <c r="J113" i="13"/>
  <c r="J118" i="13"/>
  <c r="D86" i="13"/>
  <c r="J86" i="13"/>
  <c r="J126" i="13"/>
  <c r="D8" i="20"/>
  <c r="J8" i="20"/>
  <c r="L8" i="20" s="1"/>
  <c r="J79" i="13"/>
  <c r="D99" i="13"/>
  <c r="J99" i="13"/>
  <c r="J125" i="13"/>
  <c r="D125" i="13"/>
  <c r="H109" i="13"/>
  <c r="H114" i="13"/>
  <c r="J68" i="20"/>
  <c r="D68" i="20"/>
  <c r="J100" i="20"/>
  <c r="D100" i="20"/>
  <c r="D36" i="13"/>
  <c r="D54" i="13"/>
  <c r="D109" i="13"/>
  <c r="J109" i="13"/>
  <c r="J114" i="13"/>
  <c r="K125" i="13"/>
  <c r="J7" i="20"/>
  <c r="D7" i="20"/>
  <c r="J7" i="13"/>
  <c r="D7" i="13"/>
  <c r="D22" i="13"/>
  <c r="J22" i="13"/>
  <c r="J29" i="13"/>
  <c r="D29" i="13"/>
  <c r="D57" i="13"/>
  <c r="K78" i="13"/>
  <c r="K99" i="13"/>
  <c r="D110" i="13"/>
  <c r="J110" i="13"/>
  <c r="J121" i="13"/>
  <c r="D121" i="13"/>
  <c r="H126" i="13"/>
  <c r="J10" i="20"/>
  <c r="D10" i="20"/>
  <c r="J7" i="19"/>
  <c r="D7" i="19"/>
  <c r="J28" i="20"/>
  <c r="D28" i="20"/>
  <c r="K79" i="20"/>
  <c r="K122" i="20"/>
  <c r="D54" i="22"/>
  <c r="D22" i="23"/>
  <c r="J22" i="23"/>
  <c r="D28" i="25"/>
  <c r="J28" i="25"/>
  <c r="J100" i="27"/>
  <c r="J113" i="23"/>
  <c r="D113" i="23"/>
  <c r="J22" i="24"/>
  <c r="D22" i="24"/>
  <c r="J88" i="27"/>
  <c r="D88" i="27"/>
  <c r="D8" i="22"/>
  <c r="J8" i="22"/>
  <c r="L8" i="22" s="1"/>
  <c r="D29" i="23"/>
  <c r="J29" i="23"/>
  <c r="K113" i="23"/>
  <c r="D7" i="24"/>
  <c r="J7" i="24"/>
  <c r="J22" i="51"/>
  <c r="D22" i="51"/>
  <c r="K11" i="23"/>
  <c r="K35" i="23"/>
  <c r="D108" i="23"/>
  <c r="J108" i="23"/>
  <c r="J118" i="23"/>
  <c r="K29" i="24"/>
  <c r="D48" i="25"/>
  <c r="D9" i="22"/>
  <c r="J9" i="22"/>
  <c r="L9" i="22" s="1"/>
  <c r="K12" i="23"/>
  <c r="K67" i="23"/>
  <c r="D78" i="23"/>
  <c r="K78" i="23"/>
  <c r="J109" i="23"/>
  <c r="D109" i="23"/>
  <c r="H114" i="23"/>
  <c r="J68" i="27"/>
  <c r="K88" i="27"/>
  <c r="D67" i="29"/>
  <c r="K67" i="29"/>
  <c r="J75" i="33"/>
  <c r="D75" i="33"/>
  <c r="D48" i="26"/>
  <c r="K67" i="27"/>
  <c r="J79" i="27"/>
  <c r="J122" i="27"/>
  <c r="D48" i="51"/>
  <c r="D54" i="40"/>
  <c r="J28" i="29"/>
  <c r="D28" i="29"/>
  <c r="D137" i="26"/>
  <c r="J137" i="26"/>
  <c r="H68" i="27"/>
  <c r="H118" i="27"/>
  <c r="D7" i="29"/>
  <c r="J7" i="29"/>
  <c r="J10" i="35"/>
  <c r="J8" i="41"/>
  <c r="L8" i="41" s="1"/>
  <c r="D8" i="41"/>
  <c r="J12" i="29"/>
  <c r="D9" i="41"/>
  <c r="J9" i="41"/>
  <c r="L9" i="41" s="1"/>
  <c r="H12" i="29"/>
  <c r="J110" i="29"/>
  <c r="D110" i="29"/>
  <c r="K121" i="29"/>
  <c r="D68" i="29"/>
  <c r="J68" i="29"/>
  <c r="D86" i="29"/>
  <c r="K86" i="29"/>
  <c r="K89" i="29"/>
  <c r="K108" i="29"/>
  <c r="H122" i="29"/>
  <c r="J7" i="35"/>
  <c r="K22" i="35"/>
  <c r="K29" i="35"/>
  <c r="J10" i="33"/>
  <c r="D10" i="33"/>
  <c r="J68" i="33"/>
  <c r="D68" i="33"/>
  <c r="J126" i="35"/>
  <c r="J86" i="35"/>
  <c r="J89" i="35"/>
  <c r="J108" i="35"/>
  <c r="K78" i="33"/>
  <c r="K77" i="33"/>
  <c r="K113" i="33"/>
  <c r="K122" i="35"/>
  <c r="J8" i="33"/>
  <c r="L8" i="33" s="1"/>
  <c r="D8" i="33"/>
  <c r="H11" i="33"/>
  <c r="K35" i="33"/>
  <c r="D96" i="33"/>
  <c r="J96" i="33"/>
  <c r="J109" i="33"/>
  <c r="D109" i="33"/>
  <c r="K111" i="33"/>
  <c r="D54" i="39"/>
  <c r="J8" i="13"/>
  <c r="L8" i="13" s="1"/>
  <c r="D8" i="13"/>
  <c r="J28" i="13"/>
  <c r="D28" i="13"/>
  <c r="J34" i="13"/>
  <c r="D34" i="13"/>
  <c r="D67" i="13"/>
  <c r="J67" i="13"/>
  <c r="K79" i="13"/>
  <c r="D100" i="13"/>
  <c r="J100" i="13"/>
  <c r="J117" i="13"/>
  <c r="D117" i="13"/>
  <c r="J122" i="13"/>
  <c r="D114" i="20"/>
  <c r="J114" i="20"/>
  <c r="K126" i="13"/>
  <c r="J8" i="19"/>
  <c r="L8" i="19" s="1"/>
  <c r="D8" i="19"/>
  <c r="D79" i="20"/>
  <c r="J79" i="20"/>
  <c r="J122" i="20"/>
  <c r="D122" i="20"/>
  <c r="D57" i="22"/>
  <c r="J9" i="20"/>
  <c r="L9" i="20" s="1"/>
  <c r="D9" i="20"/>
  <c r="H68" i="20"/>
  <c r="K22" i="20"/>
  <c r="K29" i="20"/>
  <c r="H79" i="20"/>
  <c r="H122" i="20"/>
  <c r="J114" i="23"/>
  <c r="J126" i="27"/>
  <c r="K7" i="22"/>
  <c r="J12" i="35"/>
  <c r="D49" i="22"/>
  <c r="J10" i="23"/>
  <c r="J34" i="23"/>
  <c r="K114" i="23"/>
  <c r="J126" i="23"/>
  <c r="J8" i="24"/>
  <c r="L8" i="24" s="1"/>
  <c r="D8" i="24"/>
  <c r="J7" i="25"/>
  <c r="D7" i="25"/>
  <c r="D29" i="51"/>
  <c r="J29" i="51"/>
  <c r="J12" i="23"/>
  <c r="J78" i="23"/>
  <c r="K7" i="24"/>
  <c r="D10" i="24"/>
  <c r="J10" i="24"/>
  <c r="H29" i="23"/>
  <c r="J68" i="23"/>
  <c r="K79" i="23"/>
  <c r="J88" i="23"/>
  <c r="D88" i="23"/>
  <c r="K99" i="23"/>
  <c r="J110" i="23"/>
  <c r="K121" i="23"/>
  <c r="K10" i="24"/>
  <c r="D48" i="40"/>
  <c r="J29" i="29"/>
  <c r="D29" i="29"/>
  <c r="D113" i="27"/>
  <c r="J113" i="27"/>
  <c r="J118" i="27"/>
  <c r="D48" i="41"/>
  <c r="K68" i="27"/>
  <c r="K113" i="27"/>
  <c r="K118" i="27"/>
  <c r="D135" i="26"/>
  <c r="J135" i="26"/>
  <c r="D138" i="26"/>
  <c r="J138" i="26"/>
  <c r="H114" i="27"/>
  <c r="K7" i="51"/>
  <c r="K10" i="51"/>
  <c r="J78" i="29"/>
  <c r="D78" i="29"/>
  <c r="J22" i="29"/>
  <c r="D22" i="29"/>
  <c r="K68" i="29"/>
  <c r="J88" i="29"/>
  <c r="D88" i="29"/>
  <c r="J11" i="33"/>
  <c r="J122" i="29"/>
  <c r="D53" i="34"/>
  <c r="J135" i="34"/>
  <c r="D135" i="34"/>
  <c r="H29" i="35"/>
  <c r="K109" i="29"/>
  <c r="D48" i="34"/>
  <c r="J22" i="35"/>
  <c r="J29" i="35"/>
  <c r="H77" i="29"/>
  <c r="H108" i="29"/>
  <c r="J118" i="29"/>
  <c r="D55" i="34"/>
  <c r="J136" i="34"/>
  <c r="D136" i="34"/>
  <c r="K34" i="35"/>
  <c r="J118" i="35"/>
  <c r="J9" i="33"/>
  <c r="L9" i="33" s="1"/>
  <c r="D9" i="33"/>
  <c r="J78" i="33"/>
  <c r="D78" i="33"/>
  <c r="J22" i="33"/>
  <c r="D22" i="33"/>
  <c r="J29" i="33"/>
  <c r="D29" i="33"/>
  <c r="J67" i="33"/>
  <c r="K79" i="33"/>
  <c r="K86" i="35"/>
  <c r="K89" i="35"/>
  <c r="K108" i="35"/>
  <c r="H118" i="35"/>
  <c r="J99" i="33"/>
  <c r="D99" i="33"/>
  <c r="D110" i="33"/>
  <c r="J110" i="33"/>
  <c r="D48" i="38"/>
  <c r="G46" i="9"/>
  <c r="J113" i="33"/>
  <c r="D113" i="33"/>
  <c r="J118" i="33"/>
  <c r="D48" i="39"/>
  <c r="D56" i="21"/>
  <c r="D57" i="21"/>
  <c r="K28" i="20"/>
  <c r="J89" i="20"/>
  <c r="D89" i="20"/>
  <c r="J28" i="23"/>
  <c r="D28" i="23"/>
  <c r="D48" i="21"/>
  <c r="D57" i="25"/>
  <c r="J11" i="23"/>
  <c r="J35" i="23"/>
  <c r="J8" i="25"/>
  <c r="L8" i="25" s="1"/>
  <c r="D8" i="25"/>
  <c r="J9" i="51"/>
  <c r="L9" i="51" s="1"/>
  <c r="D9" i="51"/>
  <c r="K29" i="23"/>
  <c r="J67" i="23"/>
  <c r="D67" i="23"/>
  <c r="J79" i="23"/>
  <c r="J99" i="23"/>
  <c r="D99" i="23"/>
  <c r="J121" i="23"/>
  <c r="D121" i="23"/>
  <c r="K126" i="23"/>
  <c r="K7" i="25"/>
  <c r="D48" i="22"/>
  <c r="H10" i="23"/>
  <c r="H34" i="23"/>
  <c r="K86" i="23"/>
  <c r="J89" i="23"/>
  <c r="K100" i="23"/>
  <c r="K117" i="23"/>
  <c r="J122" i="23"/>
  <c r="H126" i="23"/>
  <c r="J9" i="24"/>
  <c r="L9" i="24" s="1"/>
  <c r="D9" i="24"/>
  <c r="D54" i="25"/>
  <c r="D99" i="27"/>
  <c r="J99" i="27"/>
  <c r="J114" i="27"/>
  <c r="D57" i="41"/>
  <c r="K114" i="27"/>
  <c r="J7" i="51"/>
  <c r="D7" i="51"/>
  <c r="D10" i="51"/>
  <c r="J10" i="51"/>
  <c r="J34" i="29"/>
  <c r="K78" i="27"/>
  <c r="K77" i="27"/>
  <c r="H126" i="27"/>
  <c r="K7" i="41"/>
  <c r="D10" i="29"/>
  <c r="J10" i="29"/>
  <c r="J89" i="29"/>
  <c r="D89" i="29"/>
  <c r="J11" i="35"/>
  <c r="H10" i="29"/>
  <c r="K22" i="29"/>
  <c r="K29" i="29"/>
  <c r="J121" i="29"/>
  <c r="D121" i="29"/>
  <c r="J108" i="29"/>
  <c r="D108" i="29"/>
  <c r="H34" i="35"/>
  <c r="K78" i="29"/>
  <c r="K99" i="29"/>
  <c r="K110" i="29"/>
  <c r="J126" i="29"/>
  <c r="K135" i="34"/>
  <c r="J34" i="35"/>
  <c r="J68" i="35"/>
  <c r="H30" i="9"/>
  <c r="N78" i="8" s="1"/>
  <c r="H79" i="29"/>
  <c r="J114" i="29"/>
  <c r="K126" i="29"/>
  <c r="D121" i="34"/>
  <c r="J121" i="34"/>
  <c r="K35" i="35"/>
  <c r="K68" i="35"/>
  <c r="K118" i="35"/>
  <c r="D67" i="33"/>
  <c r="K67" i="33"/>
  <c r="J79" i="33"/>
  <c r="D79" i="33"/>
  <c r="K126" i="35"/>
  <c r="J34" i="33"/>
  <c r="K86" i="33"/>
  <c r="D123" i="33"/>
  <c r="J123" i="33"/>
  <c r="J114" i="35"/>
  <c r="K22" i="33"/>
  <c r="K29" i="33"/>
  <c r="H79" i="33"/>
  <c r="J88" i="33"/>
  <c r="D88" i="33"/>
  <c r="J100" i="33"/>
  <c r="D100" i="33"/>
  <c r="K121" i="33"/>
  <c r="D114" i="33"/>
  <c r="J114" i="33"/>
  <c r="D57" i="39"/>
  <c r="D54" i="21"/>
  <c r="J22" i="20"/>
  <c r="D22" i="20"/>
  <c r="J29" i="20"/>
  <c r="D29" i="20"/>
  <c r="D48" i="20"/>
  <c r="J7" i="23"/>
  <c r="K88" i="23"/>
  <c r="J35" i="29"/>
  <c r="D7" i="22"/>
  <c r="J7" i="22"/>
  <c r="H122" i="23"/>
  <c r="J29" i="24"/>
  <c r="D29" i="24"/>
  <c r="J89" i="27"/>
  <c r="K10" i="23"/>
  <c r="K34" i="23"/>
  <c r="H68" i="23"/>
  <c r="D86" i="23"/>
  <c r="J86" i="23"/>
  <c r="J100" i="23"/>
  <c r="D117" i="23"/>
  <c r="J117" i="23"/>
  <c r="J109" i="27"/>
  <c r="D109" i="27"/>
  <c r="J28" i="51"/>
  <c r="D28" i="51"/>
  <c r="H11" i="23"/>
  <c r="H35" i="23"/>
  <c r="K108" i="23"/>
  <c r="K118" i="23"/>
  <c r="J9" i="25"/>
  <c r="L9" i="25" s="1"/>
  <c r="D9" i="25"/>
  <c r="J110" i="27"/>
  <c r="D67" i="27"/>
  <c r="J67" i="27"/>
  <c r="K99" i="27"/>
  <c r="K126" i="27"/>
  <c r="K137" i="26"/>
  <c r="J78" i="27"/>
  <c r="D78" i="27"/>
  <c r="J8" i="51"/>
  <c r="L8" i="51" s="1"/>
  <c r="D8" i="51"/>
  <c r="D136" i="26"/>
  <c r="J136" i="26"/>
  <c r="K79" i="27"/>
  <c r="K122" i="27"/>
  <c r="D57" i="40"/>
  <c r="D54" i="41"/>
  <c r="D53" i="41"/>
  <c r="K121" i="34"/>
  <c r="J7" i="41"/>
  <c r="D7" i="41"/>
  <c r="J8" i="29"/>
  <c r="L8" i="29" s="1"/>
  <c r="D8" i="29"/>
  <c r="J11" i="29"/>
  <c r="J99" i="29"/>
  <c r="D99" i="29"/>
  <c r="D121" i="33"/>
  <c r="J121" i="33"/>
  <c r="D9" i="29"/>
  <c r="J9" i="29"/>
  <c r="L9" i="29" s="1"/>
  <c r="H11" i="29"/>
  <c r="H34" i="29"/>
  <c r="J100" i="29"/>
  <c r="D100" i="29"/>
  <c r="J109" i="29"/>
  <c r="D109" i="29"/>
  <c r="J12" i="33"/>
  <c r="J126" i="33"/>
  <c r="J67" i="29"/>
  <c r="D79" i="29"/>
  <c r="K79" i="29"/>
  <c r="K88" i="29"/>
  <c r="K100" i="29"/>
  <c r="K122" i="29"/>
  <c r="J35" i="35"/>
  <c r="K99" i="33"/>
  <c r="H86" i="29"/>
  <c r="H110" i="29"/>
  <c r="K88" i="33"/>
  <c r="J86" i="33"/>
  <c r="D122" i="33"/>
  <c r="J122" i="33"/>
  <c r="J122" i="35"/>
  <c r="J35" i="33"/>
  <c r="D35" i="33"/>
  <c r="J110" i="35"/>
  <c r="H126" i="35"/>
  <c r="J7" i="33"/>
  <c r="D7" i="33"/>
  <c r="H10" i="33"/>
  <c r="K34" i="33"/>
  <c r="H86" i="33"/>
  <c r="J89" i="33"/>
  <c r="D89" i="33"/>
  <c r="J108" i="33"/>
  <c r="J111" i="33"/>
  <c r="D111" i="33"/>
  <c r="K110" i="33"/>
  <c r="H110" i="33"/>
  <c r="J115" i="33"/>
  <c r="D115" i="33"/>
  <c r="G30" i="9"/>
  <c r="M78" i="8" s="1"/>
  <c r="B10" i="10"/>
  <c r="F21" i="10"/>
  <c r="F10" i="10"/>
  <c r="K9" i="16"/>
  <c r="K8" i="16"/>
  <c r="K22" i="16"/>
  <c r="K7" i="16"/>
  <c r="J8" i="16"/>
  <c r="J9" i="16"/>
  <c r="J22" i="16"/>
  <c r="J28" i="16"/>
  <c r="J29" i="16"/>
  <c r="K10" i="16"/>
  <c r="K29" i="16"/>
  <c r="J10" i="16"/>
  <c r="J7" i="16"/>
  <c r="K28" i="16"/>
  <c r="L86" i="23" l="1"/>
  <c r="N61" i="8"/>
  <c r="M61" i="8"/>
  <c r="G34" i="9"/>
  <c r="C47" i="9"/>
  <c r="D28" i="4"/>
  <c r="D34" i="4"/>
  <c r="L121" i="34"/>
  <c r="E48" i="77"/>
  <c r="E48" i="76"/>
  <c r="E55" i="77"/>
  <c r="E49" i="77"/>
  <c r="E54" i="77"/>
  <c r="K77" i="20"/>
  <c r="L7" i="35"/>
  <c r="L108" i="23"/>
  <c r="B15" i="9"/>
  <c r="M14" i="8" s="1"/>
  <c r="H77" i="33"/>
  <c r="L29" i="51"/>
  <c r="H77" i="20"/>
  <c r="H77" i="27"/>
  <c r="N142" i="8"/>
  <c r="G64" i="9"/>
  <c r="M71" i="8"/>
  <c r="E28" i="16"/>
  <c r="H65" i="9"/>
  <c r="N72" i="8"/>
  <c r="E28" i="51"/>
  <c r="G69" i="9"/>
  <c r="M76" i="8"/>
  <c r="G63" i="9"/>
  <c r="M70" i="8"/>
  <c r="E28" i="29"/>
  <c r="G67" i="9"/>
  <c r="M74" i="8"/>
  <c r="E28" i="23"/>
  <c r="E28" i="20"/>
  <c r="G55" i="9"/>
  <c r="M63" i="8"/>
  <c r="E28" i="25"/>
  <c r="G57" i="9"/>
  <c r="M65" i="8"/>
  <c r="G59" i="9"/>
  <c r="M67" i="8"/>
  <c r="M142" i="8"/>
  <c r="H53" i="9"/>
  <c r="G73" i="9"/>
  <c r="I12" i="9"/>
  <c r="G54" i="9"/>
  <c r="G61" i="9"/>
  <c r="G74" i="9"/>
  <c r="G66" i="9"/>
  <c r="G62" i="9"/>
  <c r="K98" i="33"/>
  <c r="C15" i="9"/>
  <c r="L22" i="51"/>
  <c r="H57" i="9"/>
  <c r="I15" i="9"/>
  <c r="L110" i="20"/>
  <c r="D47" i="39"/>
  <c r="L7" i="51"/>
  <c r="E34" i="37"/>
  <c r="E34" i="13"/>
  <c r="L7" i="41"/>
  <c r="L111" i="33"/>
  <c r="B32" i="10"/>
  <c r="F32" i="10"/>
  <c r="B22" i="10"/>
  <c r="B43" i="10"/>
  <c r="B11" i="10"/>
  <c r="B49" i="10"/>
  <c r="B38" i="10"/>
  <c r="F43" i="10"/>
  <c r="E8" i="74"/>
  <c r="E28" i="18"/>
  <c r="E7" i="72"/>
  <c r="E7" i="74"/>
  <c r="E48" i="72"/>
  <c r="E48" i="74"/>
  <c r="E28" i="37"/>
  <c r="E28" i="13"/>
  <c r="D35" i="4"/>
  <c r="C32" i="9"/>
  <c r="N31" i="8" s="1"/>
  <c r="D53" i="40"/>
  <c r="D53" i="21"/>
  <c r="L28" i="51"/>
  <c r="L126" i="35"/>
  <c r="L10" i="51"/>
  <c r="E35" i="13"/>
  <c r="E35" i="37"/>
  <c r="E35" i="33"/>
  <c r="B34" i="10"/>
  <c r="H77" i="13"/>
  <c r="B42" i="10"/>
  <c r="E99" i="18"/>
  <c r="D29" i="4"/>
  <c r="E88" i="18"/>
  <c r="E9" i="18"/>
  <c r="E9" i="72"/>
  <c r="E67" i="18"/>
  <c r="E8" i="18"/>
  <c r="E113" i="18"/>
  <c r="E109" i="18"/>
  <c r="E121" i="18"/>
  <c r="E78" i="18"/>
  <c r="D37" i="4"/>
  <c r="D36" i="4"/>
  <c r="D39" i="4"/>
  <c r="I33" i="18"/>
  <c r="I33" i="37"/>
  <c r="I33" i="33"/>
  <c r="I33" i="35"/>
  <c r="I33" i="29"/>
  <c r="I33" i="23"/>
  <c r="I33" i="20"/>
  <c r="B31" i="10"/>
  <c r="H120" i="20"/>
  <c r="D111" i="4"/>
  <c r="L118" i="35"/>
  <c r="L123" i="33"/>
  <c r="L136" i="26"/>
  <c r="E39" i="13"/>
  <c r="H112" i="35"/>
  <c r="L114" i="35"/>
  <c r="D123" i="4"/>
  <c r="H120" i="35"/>
  <c r="D47" i="34"/>
  <c r="L122" i="13"/>
  <c r="L109" i="33"/>
  <c r="L122" i="35"/>
  <c r="E48" i="37"/>
  <c r="E48" i="18"/>
  <c r="I11" i="37"/>
  <c r="I11" i="18"/>
  <c r="E54" i="37"/>
  <c r="I34" i="37"/>
  <c r="I34" i="18"/>
  <c r="I118" i="37"/>
  <c r="I118" i="18"/>
  <c r="E22" i="37"/>
  <c r="E22" i="18"/>
  <c r="I110" i="37"/>
  <c r="I110" i="18"/>
  <c r="E7" i="37"/>
  <c r="E7" i="18"/>
  <c r="E135" i="37"/>
  <c r="E55" i="37"/>
  <c r="I89" i="37"/>
  <c r="I89" i="18"/>
  <c r="I10" i="37"/>
  <c r="I10" i="18"/>
  <c r="I126" i="37"/>
  <c r="I126" i="18"/>
  <c r="I125" i="37"/>
  <c r="I114" i="37"/>
  <c r="I114" i="18"/>
  <c r="I68" i="37"/>
  <c r="I68" i="18"/>
  <c r="I115" i="37"/>
  <c r="I96" i="37"/>
  <c r="E75" i="37"/>
  <c r="E36" i="37"/>
  <c r="E49" i="37"/>
  <c r="I100" i="37"/>
  <c r="I100" i="18"/>
  <c r="E89" i="37"/>
  <c r="D115" i="4"/>
  <c r="I12" i="37"/>
  <c r="I12" i="18"/>
  <c r="E37" i="37"/>
  <c r="I22" i="37"/>
  <c r="I22" i="18"/>
  <c r="I122" i="37"/>
  <c r="I122" i="18"/>
  <c r="I29" i="37"/>
  <c r="I29" i="18"/>
  <c r="I79" i="37"/>
  <c r="I79" i="18"/>
  <c r="I117" i="37"/>
  <c r="I35" i="37"/>
  <c r="I35" i="18"/>
  <c r="I75" i="37"/>
  <c r="E136" i="37"/>
  <c r="I113" i="37"/>
  <c r="I109" i="37"/>
  <c r="I109" i="18"/>
  <c r="E10" i="37"/>
  <c r="E10" i="18"/>
  <c r="E57" i="37"/>
  <c r="I7" i="37"/>
  <c r="I7" i="18"/>
  <c r="E96" i="37"/>
  <c r="E137" i="37"/>
  <c r="L115" i="33"/>
  <c r="H77" i="23"/>
  <c r="K77" i="23"/>
  <c r="D47" i="21"/>
  <c r="D47" i="20"/>
  <c r="L108" i="29"/>
  <c r="L135" i="26"/>
  <c r="L110" i="23"/>
  <c r="L114" i="33"/>
  <c r="L12" i="33"/>
  <c r="D56" i="22"/>
  <c r="H112" i="20"/>
  <c r="D56" i="41"/>
  <c r="E100" i="37"/>
  <c r="E123" i="37"/>
  <c r="E78" i="37"/>
  <c r="E115" i="37"/>
  <c r="E9" i="37"/>
  <c r="E125" i="37"/>
  <c r="E8" i="37"/>
  <c r="E67" i="37"/>
  <c r="E110" i="37"/>
  <c r="E117" i="37"/>
  <c r="E126" i="37"/>
  <c r="E99" i="37"/>
  <c r="E113" i="37"/>
  <c r="E111" i="37"/>
  <c r="E108" i="37"/>
  <c r="E88" i="37"/>
  <c r="E86" i="37"/>
  <c r="E109" i="37"/>
  <c r="E121" i="37"/>
  <c r="H66" i="27"/>
  <c r="D47" i="38"/>
  <c r="L96" i="33"/>
  <c r="L114" i="29"/>
  <c r="L89" i="23"/>
  <c r="L75" i="33"/>
  <c r="L68" i="20"/>
  <c r="H98" i="20"/>
  <c r="L68" i="33"/>
  <c r="L68" i="23"/>
  <c r="H98" i="29"/>
  <c r="K98" i="29"/>
  <c r="L89" i="20"/>
  <c r="L22" i="23"/>
  <c r="K98" i="20"/>
  <c r="L121" i="33"/>
  <c r="K87" i="29"/>
  <c r="L138" i="26"/>
  <c r="D47" i="40"/>
  <c r="L89" i="27"/>
  <c r="K66" i="27"/>
  <c r="L114" i="20"/>
  <c r="L28" i="23"/>
  <c r="L12" i="29"/>
  <c r="D53" i="13"/>
  <c r="K87" i="33"/>
  <c r="K87" i="23"/>
  <c r="L89" i="33"/>
  <c r="H87" i="29"/>
  <c r="L136" i="34"/>
  <c r="L110" i="27"/>
  <c r="L10" i="29"/>
  <c r="L7" i="33"/>
  <c r="H98" i="27"/>
  <c r="H66" i="23"/>
  <c r="L35" i="29"/>
  <c r="D56" i="39"/>
  <c r="L11" i="35"/>
  <c r="H87" i="35"/>
  <c r="L11" i="29"/>
  <c r="D47" i="41"/>
  <c r="H112" i="13"/>
  <c r="L109" i="27"/>
  <c r="L35" i="23"/>
  <c r="N141" i="8"/>
  <c r="C13" i="9"/>
  <c r="N12" i="8" s="1"/>
  <c r="N117" i="8"/>
  <c r="C26" i="9"/>
  <c r="N25" i="8" s="1"/>
  <c r="C16" i="9"/>
  <c r="N15" i="8" s="1"/>
  <c r="C25" i="9"/>
  <c r="N23" i="8" s="1"/>
  <c r="C29" i="9"/>
  <c r="N28" i="8" s="1"/>
  <c r="K120" i="20"/>
  <c r="K112" i="13"/>
  <c r="L108" i="33"/>
  <c r="L100" i="33"/>
  <c r="L100" i="20"/>
  <c r="N144" i="8"/>
  <c r="M117" i="8"/>
  <c r="L109" i="13"/>
  <c r="D56" i="40"/>
  <c r="N145" i="8"/>
  <c r="L110" i="35"/>
  <c r="H120" i="23"/>
  <c r="L100" i="27"/>
  <c r="C23" i="9"/>
  <c r="N21" i="8" s="1"/>
  <c r="D53" i="22"/>
  <c r="L35" i="33"/>
  <c r="L67" i="29"/>
  <c r="L29" i="20"/>
  <c r="L117" i="23"/>
  <c r="L12" i="35"/>
  <c r="H87" i="27"/>
  <c r="L109" i="23"/>
  <c r="L28" i="25"/>
  <c r="H98" i="13"/>
  <c r="K112" i="29"/>
  <c r="D53" i="16"/>
  <c r="D56" i="25"/>
  <c r="L118" i="33"/>
  <c r="L10" i="35"/>
  <c r="L12" i="13"/>
  <c r="K66" i="35"/>
  <c r="D56" i="16"/>
  <c r="N139" i="8"/>
  <c r="L99" i="23"/>
  <c r="L7" i="20"/>
  <c r="K120" i="13"/>
  <c r="M118" i="8"/>
  <c r="K66" i="23"/>
  <c r="K87" i="35"/>
  <c r="M113" i="8"/>
  <c r="L11" i="33"/>
  <c r="H120" i="13"/>
  <c r="L22" i="16"/>
  <c r="L29" i="16"/>
  <c r="C17" i="9"/>
  <c r="N16" i="8" s="1"/>
  <c r="D47" i="16"/>
  <c r="L28" i="16"/>
  <c r="N143" i="8"/>
  <c r="L7" i="13"/>
  <c r="M138" i="8"/>
  <c r="N137" i="8"/>
  <c r="B30" i="9"/>
  <c r="M29" i="8" s="1"/>
  <c r="M119" i="8"/>
  <c r="M143" i="8"/>
  <c r="N116" i="8"/>
  <c r="N140" i="8"/>
  <c r="N146" i="8"/>
  <c r="C30" i="9"/>
  <c r="N29" i="8" s="1"/>
  <c r="C24" i="9"/>
  <c r="N22" i="8" s="1"/>
  <c r="C20" i="9"/>
  <c r="N19" i="8" s="1"/>
  <c r="M116" i="8"/>
  <c r="B12" i="9"/>
  <c r="M11" i="8" s="1"/>
  <c r="B18" i="9"/>
  <c r="M17" i="8" s="1"/>
  <c r="M120" i="8"/>
  <c r="H120" i="33"/>
  <c r="L126" i="33"/>
  <c r="L122" i="23"/>
  <c r="M114" i="8"/>
  <c r="M141" i="8"/>
  <c r="L117" i="13"/>
  <c r="N119" i="8"/>
  <c r="L10" i="33"/>
  <c r="C21" i="9"/>
  <c r="N20" i="8" s="1"/>
  <c r="B21" i="9"/>
  <c r="M20" i="8" s="1"/>
  <c r="L22" i="13"/>
  <c r="L108" i="13"/>
  <c r="L10" i="13"/>
  <c r="L122" i="33"/>
  <c r="C27" i="9"/>
  <c r="N26" i="8" s="1"/>
  <c r="K98" i="27"/>
  <c r="H87" i="23"/>
  <c r="L29" i="24"/>
  <c r="L7" i="23"/>
  <c r="H87" i="33"/>
  <c r="L121" i="29"/>
  <c r="D47" i="22"/>
  <c r="L11" i="23"/>
  <c r="L118" i="29"/>
  <c r="B22" i="9"/>
  <c r="M24" i="8" s="1"/>
  <c r="N114" i="8"/>
  <c r="K120" i="23"/>
  <c r="L34" i="13"/>
  <c r="M145" i="8"/>
  <c r="B24" i="9"/>
  <c r="M22" i="8" s="1"/>
  <c r="B23" i="9"/>
  <c r="M21" i="8" s="1"/>
  <c r="N138" i="8"/>
  <c r="L22" i="24"/>
  <c r="L7" i="19"/>
  <c r="N113" i="8"/>
  <c r="M115" i="8"/>
  <c r="C10" i="9"/>
  <c r="L11" i="13"/>
  <c r="C12" i="9"/>
  <c r="N11" i="8" s="1"/>
  <c r="M137" i="8"/>
  <c r="C31" i="9"/>
  <c r="N30" i="8" s="1"/>
  <c r="F14" i="10"/>
  <c r="E48" i="39"/>
  <c r="E48" i="16"/>
  <c r="I89" i="20"/>
  <c r="I89" i="13"/>
  <c r="I89" i="29"/>
  <c r="I89" i="35"/>
  <c r="I89" i="33"/>
  <c r="I89" i="27"/>
  <c r="I89" i="23"/>
  <c r="G23" i="10"/>
  <c r="I35" i="23"/>
  <c r="I35" i="29"/>
  <c r="I35" i="35"/>
  <c r="I35" i="33"/>
  <c r="I35" i="13"/>
  <c r="G42" i="10"/>
  <c r="I135" i="26"/>
  <c r="G15" i="10"/>
  <c r="I10" i="23"/>
  <c r="I10" i="35"/>
  <c r="I10" i="29"/>
  <c r="I10" i="33"/>
  <c r="I10" i="13"/>
  <c r="G20" i="10"/>
  <c r="E49" i="39"/>
  <c r="E49" i="16"/>
  <c r="I23" i="33"/>
  <c r="I23" i="13"/>
  <c r="I23" i="29"/>
  <c r="I23" i="35"/>
  <c r="E54" i="39"/>
  <c r="E54" i="16"/>
  <c r="I115" i="33"/>
  <c r="C25" i="10"/>
  <c r="C31" i="10"/>
  <c r="C9" i="10"/>
  <c r="C23" i="10"/>
  <c r="I138" i="26"/>
  <c r="G44" i="10"/>
  <c r="C41" i="10"/>
  <c r="I86" i="29"/>
  <c r="I86" i="33"/>
  <c r="I86" i="35"/>
  <c r="C21" i="10"/>
  <c r="C33" i="10"/>
  <c r="C16" i="10"/>
  <c r="H19" i="9"/>
  <c r="N68" i="8" s="1"/>
  <c r="B17" i="9"/>
  <c r="M16" i="8" s="1"/>
  <c r="M146" i="8"/>
  <c r="B13" i="9"/>
  <c r="M12" i="8" s="1"/>
  <c r="H70" i="9"/>
  <c r="H20" i="9"/>
  <c r="N69" i="8" s="1"/>
  <c r="M140" i="8"/>
  <c r="N115" i="8"/>
  <c r="G38" i="9"/>
  <c r="G53" i="9" s="1"/>
  <c r="I29" i="33"/>
  <c r="I29" i="20"/>
  <c r="I29" i="23"/>
  <c r="I29" i="29"/>
  <c r="I29" i="13"/>
  <c r="I29" i="35"/>
  <c r="G21" i="10"/>
  <c r="I25" i="20"/>
  <c r="I25" i="29"/>
  <c r="I25" i="33"/>
  <c r="I25" i="13"/>
  <c r="I30" i="23"/>
  <c r="I30" i="29"/>
  <c r="I30" i="35"/>
  <c r="I30" i="33"/>
  <c r="I30" i="13"/>
  <c r="C30" i="10"/>
  <c r="I108" i="13"/>
  <c r="I108" i="29"/>
  <c r="I108" i="35"/>
  <c r="I108" i="33"/>
  <c r="C44" i="10"/>
  <c r="I75" i="33"/>
  <c r="G14" i="10"/>
  <c r="I32" i="13"/>
  <c r="I32" i="20"/>
  <c r="I32" i="23"/>
  <c r="I32" i="29"/>
  <c r="I32" i="33"/>
  <c r="I100" i="13"/>
  <c r="I100" i="20"/>
  <c r="I100" i="23"/>
  <c r="I100" i="27"/>
  <c r="I100" i="29"/>
  <c r="I100" i="33"/>
  <c r="I22" i="23"/>
  <c r="I22" i="29"/>
  <c r="I22" i="35"/>
  <c r="I22" i="33"/>
  <c r="I22" i="20"/>
  <c r="I22" i="13"/>
  <c r="G10" i="10"/>
  <c r="C34" i="10"/>
  <c r="I122" i="20"/>
  <c r="I122" i="13"/>
  <c r="I122" i="23"/>
  <c r="I122" i="35"/>
  <c r="I122" i="27"/>
  <c r="I122" i="33"/>
  <c r="I122" i="29"/>
  <c r="I114" i="20"/>
  <c r="I114" i="23"/>
  <c r="I114" i="13"/>
  <c r="I114" i="27"/>
  <c r="I114" i="35"/>
  <c r="I114" i="33"/>
  <c r="I114" i="29"/>
  <c r="I109" i="13"/>
  <c r="M144" i="8"/>
  <c r="N118" i="8"/>
  <c r="B42" i="9"/>
  <c r="B16" i="9"/>
  <c r="M15" i="8" s="1"/>
  <c r="B32" i="9"/>
  <c r="M31" i="8" s="1"/>
  <c r="G45" i="9"/>
  <c r="G72" i="9" s="1"/>
  <c r="B38" i="9"/>
  <c r="H24" i="9"/>
  <c r="N73" i="8" s="1"/>
  <c r="C18" i="9"/>
  <c r="N17" i="8" s="1"/>
  <c r="B31" i="9"/>
  <c r="M30" i="8" s="1"/>
  <c r="H29" i="9"/>
  <c r="N77" i="8" s="1"/>
  <c r="B41" i="9"/>
  <c r="B20" i="9"/>
  <c r="M19" i="8" s="1"/>
  <c r="I137" i="26"/>
  <c r="G33" i="10"/>
  <c r="I7" i="29"/>
  <c r="I7" i="33"/>
  <c r="I7" i="23"/>
  <c r="I7" i="35"/>
  <c r="I7" i="13"/>
  <c r="G9" i="10"/>
  <c r="B45" i="10"/>
  <c r="I31" i="35"/>
  <c r="I31" i="13"/>
  <c r="I31" i="33"/>
  <c r="I31" i="23"/>
  <c r="I31" i="29"/>
  <c r="C45" i="10"/>
  <c r="C42" i="10"/>
  <c r="I24" i="13"/>
  <c r="I24" i="33"/>
  <c r="I24" i="23"/>
  <c r="C15" i="10"/>
  <c r="B29" i="9"/>
  <c r="M28" i="8" s="1"/>
  <c r="B11" i="9"/>
  <c r="H18" i="9"/>
  <c r="M139" i="8"/>
  <c r="B46" i="9"/>
  <c r="G44" i="9"/>
  <c r="G71" i="9" s="1"/>
  <c r="C22" i="9"/>
  <c r="N24" i="8" s="1"/>
  <c r="N120" i="8"/>
  <c r="C19" i="9"/>
  <c r="N18" i="8" s="1"/>
  <c r="H31" i="9"/>
  <c r="N79" i="8" s="1"/>
  <c r="C13" i="10"/>
  <c r="F44" i="10"/>
  <c r="I136" i="26"/>
  <c r="G25" i="10"/>
  <c r="I96" i="33"/>
  <c r="G24" i="10"/>
  <c r="C14" i="10"/>
  <c r="I68" i="20"/>
  <c r="I68" i="23"/>
  <c r="I68" i="27"/>
  <c r="I68" i="29"/>
  <c r="I68" i="35"/>
  <c r="I68" i="33"/>
  <c r="I68" i="13"/>
  <c r="G13" i="10"/>
  <c r="G137" i="4"/>
  <c r="F33" i="10"/>
  <c r="I79" i="13"/>
  <c r="I79" i="20"/>
  <c r="I79" i="23"/>
  <c r="I79" i="33"/>
  <c r="I79" i="27"/>
  <c r="I79" i="29"/>
  <c r="I110" i="20"/>
  <c r="I110" i="13"/>
  <c r="I110" i="27"/>
  <c r="I110" i="35"/>
  <c r="I110" i="29"/>
  <c r="I110" i="23"/>
  <c r="I110" i="33"/>
  <c r="I12" i="29"/>
  <c r="I12" i="33"/>
  <c r="I12" i="35"/>
  <c r="I12" i="23"/>
  <c r="I12" i="13"/>
  <c r="G41" i="10"/>
  <c r="I11" i="13"/>
  <c r="I11" i="23"/>
  <c r="I11" i="35"/>
  <c r="I11" i="33"/>
  <c r="G30" i="10"/>
  <c r="I11" i="29"/>
  <c r="F24" i="10"/>
  <c r="I126" i="13"/>
  <c r="I126" i="27"/>
  <c r="I126" i="23"/>
  <c r="I126" i="35"/>
  <c r="I126" i="29"/>
  <c r="I126" i="33"/>
  <c r="C26" i="10"/>
  <c r="I34" i="13"/>
  <c r="I34" i="35"/>
  <c r="I34" i="23"/>
  <c r="I34" i="29"/>
  <c r="I34" i="33"/>
  <c r="G31" i="10"/>
  <c r="D96" i="4"/>
  <c r="B24" i="10"/>
  <c r="C24" i="10"/>
  <c r="I118" i="13"/>
  <c r="I118" i="23"/>
  <c r="I118" i="35"/>
  <c r="I118" i="29"/>
  <c r="I118" i="33"/>
  <c r="I118" i="27"/>
  <c r="C10" i="10"/>
  <c r="C20" i="10"/>
  <c r="D75" i="4"/>
  <c r="B14" i="10"/>
  <c r="E57" i="39"/>
  <c r="E57" i="16"/>
  <c r="K120" i="27"/>
  <c r="L121" i="23"/>
  <c r="L67" i="23"/>
  <c r="H98" i="33"/>
  <c r="L22" i="35"/>
  <c r="H87" i="20"/>
  <c r="L100" i="13"/>
  <c r="D53" i="39"/>
  <c r="L110" i="29"/>
  <c r="L7" i="29"/>
  <c r="L28" i="29"/>
  <c r="L118" i="23"/>
  <c r="H98" i="23"/>
  <c r="L10" i="20"/>
  <c r="K98" i="13"/>
  <c r="L29" i="13"/>
  <c r="G42" i="9"/>
  <c r="G65" i="9" s="1"/>
  <c r="B19" i="9"/>
  <c r="M18" i="8" s="1"/>
  <c r="G43" i="9"/>
  <c r="G68" i="9" s="1"/>
  <c r="B25" i="9"/>
  <c r="M23" i="8" s="1"/>
  <c r="H17" i="9"/>
  <c r="N67" i="8" s="1"/>
  <c r="B27" i="9"/>
  <c r="M26" i="8" s="1"/>
  <c r="C11" i="9"/>
  <c r="N10" i="8" s="1"/>
  <c r="G40" i="9"/>
  <c r="G58" i="9" s="1"/>
  <c r="H27" i="9"/>
  <c r="N76" i="8" s="1"/>
  <c r="B26" i="9"/>
  <c r="M25" i="8" s="1"/>
  <c r="H26" i="9"/>
  <c r="N75" i="8" s="1"/>
  <c r="L22" i="20"/>
  <c r="L110" i="33"/>
  <c r="L99" i="33"/>
  <c r="H112" i="29"/>
  <c r="L10" i="23"/>
  <c r="L28" i="13"/>
  <c r="L89" i="35"/>
  <c r="D56" i="13"/>
  <c r="L35" i="35"/>
  <c r="L99" i="29"/>
  <c r="K120" i="33"/>
  <c r="L88" i="33"/>
  <c r="L79" i="33"/>
  <c r="L34" i="29"/>
  <c r="H66" i="33"/>
  <c r="L78" i="33"/>
  <c r="L67" i="13"/>
  <c r="H66" i="35"/>
  <c r="K87" i="27"/>
  <c r="L110" i="13"/>
  <c r="L113" i="13"/>
  <c r="L35" i="13"/>
  <c r="L79" i="29"/>
  <c r="L86" i="29"/>
  <c r="L7" i="22"/>
  <c r="L78" i="27"/>
  <c r="K66" i="33"/>
  <c r="L89" i="29"/>
  <c r="L113" i="27"/>
  <c r="L12" i="23"/>
  <c r="H87" i="13"/>
  <c r="L121" i="13"/>
  <c r="L68" i="13"/>
  <c r="K120" i="34"/>
  <c r="L7" i="25"/>
  <c r="K66" i="20"/>
  <c r="L135" i="34"/>
  <c r="L126" i="27"/>
  <c r="L109" i="29"/>
  <c r="L67" i="27"/>
  <c r="L34" i="35"/>
  <c r="D53" i="25"/>
  <c r="L113" i="33"/>
  <c r="L29" i="33"/>
  <c r="L122" i="29"/>
  <c r="L29" i="29"/>
  <c r="H112" i="23"/>
  <c r="L86" i="35"/>
  <c r="L68" i="29"/>
  <c r="L137" i="26"/>
  <c r="L79" i="27"/>
  <c r="D47" i="25"/>
  <c r="L88" i="27"/>
  <c r="L113" i="23"/>
  <c r="H66" i="20"/>
  <c r="L114" i="13"/>
  <c r="L118" i="13"/>
  <c r="K87" i="20"/>
  <c r="L68" i="35"/>
  <c r="L86" i="33"/>
  <c r="H120" i="29"/>
  <c r="L100" i="29"/>
  <c r="L34" i="33"/>
  <c r="L126" i="29"/>
  <c r="L99" i="27"/>
  <c r="L29" i="35"/>
  <c r="L88" i="29"/>
  <c r="L78" i="29"/>
  <c r="K112" i="27"/>
  <c r="L88" i="23"/>
  <c r="L126" i="23"/>
  <c r="L114" i="23"/>
  <c r="L79" i="20"/>
  <c r="H112" i="33"/>
  <c r="L108" i="35"/>
  <c r="D47" i="51"/>
  <c r="D47" i="26"/>
  <c r="L7" i="24"/>
  <c r="L29" i="23"/>
  <c r="L28" i="20"/>
  <c r="L122" i="27"/>
  <c r="K120" i="35"/>
  <c r="L100" i="23"/>
  <c r="L114" i="27"/>
  <c r="L79" i="23"/>
  <c r="L67" i="33"/>
  <c r="L22" i="33"/>
  <c r="L22" i="29"/>
  <c r="J77" i="29"/>
  <c r="L118" i="27"/>
  <c r="K98" i="23"/>
  <c r="L10" i="24"/>
  <c r="L78" i="23"/>
  <c r="L34" i="23"/>
  <c r="L122" i="20"/>
  <c r="H112" i="27"/>
  <c r="L68" i="27"/>
  <c r="K112" i="20"/>
  <c r="L125" i="13"/>
  <c r="L79" i="13"/>
  <c r="L89" i="13"/>
  <c r="L99" i="13"/>
  <c r="L126" i="13"/>
  <c r="L78" i="13"/>
  <c r="K66" i="13"/>
  <c r="L86" i="13"/>
  <c r="K87" i="13"/>
  <c r="J77" i="13"/>
  <c r="L88" i="13"/>
  <c r="H66" i="13"/>
  <c r="D47" i="13"/>
  <c r="J87" i="35"/>
  <c r="D66" i="33"/>
  <c r="J66" i="33"/>
  <c r="D77" i="27"/>
  <c r="J77" i="27"/>
  <c r="L77" i="27" s="1"/>
  <c r="J98" i="23"/>
  <c r="D98" i="23"/>
  <c r="D112" i="33"/>
  <c r="J112" i="33"/>
  <c r="J112" i="35"/>
  <c r="D87" i="20"/>
  <c r="J87" i="20"/>
  <c r="D66" i="13"/>
  <c r="J66" i="13"/>
  <c r="K112" i="33"/>
  <c r="K112" i="35"/>
  <c r="J112" i="29"/>
  <c r="J112" i="23"/>
  <c r="D112" i="23"/>
  <c r="J77" i="20"/>
  <c r="L77" i="20" s="1"/>
  <c r="D77" i="20"/>
  <c r="J87" i="13"/>
  <c r="D87" i="13"/>
  <c r="J120" i="33"/>
  <c r="D120" i="33"/>
  <c r="J120" i="27"/>
  <c r="J66" i="27"/>
  <c r="D66" i="27"/>
  <c r="D77" i="29"/>
  <c r="K77" i="29"/>
  <c r="D98" i="27"/>
  <c r="J98" i="27"/>
  <c r="J66" i="35"/>
  <c r="D77" i="13"/>
  <c r="K77" i="13"/>
  <c r="D98" i="20"/>
  <c r="J98" i="20"/>
  <c r="J66" i="29"/>
  <c r="J87" i="33"/>
  <c r="D87" i="33"/>
  <c r="D120" i="34"/>
  <c r="J120" i="34"/>
  <c r="D120" i="29"/>
  <c r="J120" i="29"/>
  <c r="D98" i="33"/>
  <c r="J98" i="33"/>
  <c r="J87" i="29"/>
  <c r="D87" i="29"/>
  <c r="J112" i="27"/>
  <c r="D112" i="27"/>
  <c r="J87" i="23"/>
  <c r="D87" i="23"/>
  <c r="K120" i="29"/>
  <c r="H120" i="27"/>
  <c r="K112" i="23"/>
  <c r="D120" i="13"/>
  <c r="J120" i="13"/>
  <c r="D98" i="13"/>
  <c r="J98" i="13"/>
  <c r="D112" i="13"/>
  <c r="J112" i="13"/>
  <c r="J98" i="29"/>
  <c r="D98" i="29"/>
  <c r="J120" i="35"/>
  <c r="H66" i="29"/>
  <c r="D120" i="23"/>
  <c r="J120" i="23"/>
  <c r="J66" i="23"/>
  <c r="D66" i="23"/>
  <c r="D77" i="33"/>
  <c r="J77" i="33"/>
  <c r="L77" i="33" s="1"/>
  <c r="J77" i="23"/>
  <c r="D77" i="23"/>
  <c r="D66" i="29"/>
  <c r="K66" i="29"/>
  <c r="D87" i="27"/>
  <c r="J87" i="27"/>
  <c r="D120" i="20"/>
  <c r="J120" i="20"/>
  <c r="J112" i="20"/>
  <c r="D112" i="20"/>
  <c r="D66" i="20"/>
  <c r="J66" i="20"/>
  <c r="E48" i="38"/>
  <c r="E88" i="33"/>
  <c r="E109" i="33"/>
  <c r="E22" i="33"/>
  <c r="E99" i="33"/>
  <c r="E9" i="33"/>
  <c r="E111" i="33"/>
  <c r="E123" i="33"/>
  <c r="E75" i="33"/>
  <c r="E10" i="33"/>
  <c r="E79" i="33"/>
  <c r="E7" i="33"/>
  <c r="E89" i="33"/>
  <c r="E100" i="33"/>
  <c r="E68" i="33"/>
  <c r="E96" i="33"/>
  <c r="E8" i="33"/>
  <c r="E78" i="33"/>
  <c r="E67" i="33"/>
  <c r="E113" i="33"/>
  <c r="E110" i="33"/>
  <c r="E115" i="33"/>
  <c r="E122" i="33"/>
  <c r="E121" i="33"/>
  <c r="E114" i="33"/>
  <c r="E99" i="29"/>
  <c r="E9" i="29"/>
  <c r="E48" i="34"/>
  <c r="E86" i="29"/>
  <c r="E135" i="34"/>
  <c r="E55" i="34"/>
  <c r="E68" i="29"/>
  <c r="E88" i="29"/>
  <c r="E109" i="29"/>
  <c r="E22" i="29"/>
  <c r="E10" i="29"/>
  <c r="E79" i="29"/>
  <c r="E136" i="34"/>
  <c r="E7" i="29"/>
  <c r="E89" i="29"/>
  <c r="E100" i="29"/>
  <c r="E108" i="29"/>
  <c r="E8" i="29"/>
  <c r="E78" i="29"/>
  <c r="E67" i="29"/>
  <c r="E110" i="29"/>
  <c r="E121" i="29"/>
  <c r="E121" i="34"/>
  <c r="E9" i="41"/>
  <c r="E48" i="40"/>
  <c r="E48" i="41"/>
  <c r="E57" i="40"/>
  <c r="E57" i="41"/>
  <c r="E54" i="40"/>
  <c r="E54" i="41"/>
  <c r="E7" i="41"/>
  <c r="E8" i="41"/>
  <c r="E99" i="27"/>
  <c r="E9" i="51"/>
  <c r="E48" i="51"/>
  <c r="E88" i="27"/>
  <c r="E109" i="27"/>
  <c r="E22" i="51"/>
  <c r="E10" i="51"/>
  <c r="E7" i="51"/>
  <c r="E8" i="51"/>
  <c r="E78" i="27"/>
  <c r="E67" i="27"/>
  <c r="E113" i="27"/>
  <c r="E9" i="25"/>
  <c r="E57" i="25"/>
  <c r="E48" i="25"/>
  <c r="E48" i="26"/>
  <c r="E138" i="26"/>
  <c r="E49" i="26"/>
  <c r="E54" i="25"/>
  <c r="E136" i="26"/>
  <c r="E7" i="25"/>
  <c r="E137" i="26"/>
  <c r="E135" i="26"/>
  <c r="E8" i="25"/>
  <c r="E99" i="23"/>
  <c r="E9" i="24"/>
  <c r="E86" i="23"/>
  <c r="E88" i="23"/>
  <c r="E109" i="23"/>
  <c r="E117" i="23"/>
  <c r="E22" i="23"/>
  <c r="E22" i="24"/>
  <c r="E10" i="24"/>
  <c r="E7" i="24"/>
  <c r="E108" i="23"/>
  <c r="E8" i="24"/>
  <c r="E78" i="23"/>
  <c r="E67" i="23"/>
  <c r="E113" i="23"/>
  <c r="E121" i="23"/>
  <c r="E9" i="22"/>
  <c r="E48" i="21"/>
  <c r="E48" i="22"/>
  <c r="E57" i="21"/>
  <c r="E57" i="22"/>
  <c r="E49" i="22"/>
  <c r="E54" i="21"/>
  <c r="E54" i="22"/>
  <c r="E7" i="22"/>
  <c r="E8" i="22"/>
  <c r="E68" i="20"/>
  <c r="E22" i="20"/>
  <c r="E10" i="20"/>
  <c r="E79" i="20"/>
  <c r="E7" i="19"/>
  <c r="E7" i="20"/>
  <c r="E89" i="20"/>
  <c r="E100" i="20"/>
  <c r="E9" i="19"/>
  <c r="E9" i="20"/>
  <c r="E48" i="20"/>
  <c r="E8" i="19"/>
  <c r="E8" i="20"/>
  <c r="E122" i="20"/>
  <c r="E114" i="20"/>
  <c r="E99" i="13"/>
  <c r="E9" i="13"/>
  <c r="E48" i="13"/>
  <c r="E86" i="13"/>
  <c r="E88" i="13"/>
  <c r="E125" i="13"/>
  <c r="E109" i="13"/>
  <c r="E117" i="13"/>
  <c r="E22" i="13"/>
  <c r="E10" i="13"/>
  <c r="E57" i="13"/>
  <c r="E11" i="13"/>
  <c r="E54" i="13"/>
  <c r="E7" i="13"/>
  <c r="E89" i="13"/>
  <c r="E100" i="13"/>
  <c r="E108" i="13"/>
  <c r="E12" i="13"/>
  <c r="E8" i="13"/>
  <c r="E78" i="13"/>
  <c r="E67" i="13"/>
  <c r="E113" i="13"/>
  <c r="E110" i="13"/>
  <c r="E121" i="13"/>
  <c r="D117" i="4"/>
  <c r="D109" i="4"/>
  <c r="D125" i="4"/>
  <c r="D126" i="4"/>
  <c r="D110" i="4"/>
  <c r="E22" i="16"/>
  <c r="D22" i="4"/>
  <c r="D137" i="4"/>
  <c r="D57" i="4"/>
  <c r="G22" i="4"/>
  <c r="D114" i="4"/>
  <c r="D138" i="4"/>
  <c r="D10" i="4"/>
  <c r="D113" i="4"/>
  <c r="D55" i="4"/>
  <c r="D121" i="4"/>
  <c r="D7" i="4"/>
  <c r="D68" i="4"/>
  <c r="D8" i="4"/>
  <c r="D135" i="4"/>
  <c r="G7" i="4"/>
  <c r="D48" i="4"/>
  <c r="D54" i="4"/>
  <c r="D12" i="4"/>
  <c r="D11" i="4"/>
  <c r="G12" i="4"/>
  <c r="G34" i="4"/>
  <c r="D122" i="4"/>
  <c r="G11" i="4"/>
  <c r="H22" i="4"/>
  <c r="G29" i="4"/>
  <c r="D67" i="4"/>
  <c r="D100" i="4"/>
  <c r="G10" i="4"/>
  <c r="D89" i="4"/>
  <c r="G35" i="4"/>
  <c r="D99" i="4"/>
  <c r="D86" i="4"/>
  <c r="D108" i="4"/>
  <c r="D136" i="4"/>
  <c r="G136" i="4"/>
  <c r="G135" i="4"/>
  <c r="D78" i="4"/>
  <c r="D88" i="4"/>
  <c r="D79" i="4"/>
  <c r="D9" i="4"/>
  <c r="M10" i="8" l="1"/>
  <c r="B34" i="9"/>
  <c r="N9" i="8"/>
  <c r="C34" i="9"/>
  <c r="H34" i="9"/>
  <c r="L120" i="34"/>
  <c r="I57" i="9"/>
  <c r="E47" i="76"/>
  <c r="E47" i="77"/>
  <c r="E53" i="77"/>
  <c r="B57" i="9"/>
  <c r="L98" i="33"/>
  <c r="C57" i="9"/>
  <c r="N14" i="8"/>
  <c r="D15" i="9"/>
  <c r="E47" i="72"/>
  <c r="E47" i="74"/>
  <c r="L120" i="35"/>
  <c r="E87" i="18"/>
  <c r="E66" i="18"/>
  <c r="L77" i="23"/>
  <c r="I77" i="27"/>
  <c r="I77" i="29"/>
  <c r="I77" i="20"/>
  <c r="I77" i="23"/>
  <c r="I77" i="13"/>
  <c r="I77" i="33"/>
  <c r="L112" i="35"/>
  <c r="E56" i="37"/>
  <c r="I112" i="37"/>
  <c r="I112" i="18"/>
  <c r="I98" i="18"/>
  <c r="E77" i="18"/>
  <c r="I77" i="18"/>
  <c r="E120" i="37"/>
  <c r="E120" i="18"/>
  <c r="I120" i="37"/>
  <c r="I120" i="18"/>
  <c r="E47" i="37"/>
  <c r="E47" i="18"/>
  <c r="E98" i="18"/>
  <c r="I87" i="37"/>
  <c r="I87" i="18"/>
  <c r="E112" i="37"/>
  <c r="E112" i="18"/>
  <c r="E53" i="37"/>
  <c r="I66" i="37"/>
  <c r="I66" i="18"/>
  <c r="I77" i="37"/>
  <c r="L98" i="27"/>
  <c r="L87" i="29"/>
  <c r="E97" i="33"/>
  <c r="E97" i="29"/>
  <c r="E97" i="37"/>
  <c r="E97" i="13"/>
  <c r="I98" i="37"/>
  <c r="L120" i="13"/>
  <c r="E76" i="33"/>
  <c r="E76" i="29"/>
  <c r="E76" i="37"/>
  <c r="E76" i="13"/>
  <c r="E66" i="37"/>
  <c r="E87" i="33"/>
  <c r="E87" i="37"/>
  <c r="E98" i="37"/>
  <c r="E77" i="37"/>
  <c r="L98" i="20"/>
  <c r="L112" i="29"/>
  <c r="L66" i="27"/>
  <c r="L112" i="13"/>
  <c r="L87" i="33"/>
  <c r="L98" i="29"/>
  <c r="L87" i="20"/>
  <c r="L120" i="23"/>
  <c r="L87" i="23"/>
  <c r="L98" i="23"/>
  <c r="L120" i="20"/>
  <c r="L112" i="27"/>
  <c r="E66" i="20"/>
  <c r="E87" i="13"/>
  <c r="E87" i="23"/>
  <c r="D98" i="4"/>
  <c r="L66" i="35"/>
  <c r="E98" i="29"/>
  <c r="E98" i="33"/>
  <c r="L87" i="27"/>
  <c r="L120" i="33"/>
  <c r="L98" i="13"/>
  <c r="L66" i="33"/>
  <c r="L87" i="35"/>
  <c r="L66" i="23"/>
  <c r="L66" i="13"/>
  <c r="E66" i="23"/>
  <c r="E66" i="13"/>
  <c r="E66" i="27"/>
  <c r="E66" i="29"/>
  <c r="E66" i="33"/>
  <c r="L112" i="33"/>
  <c r="D87" i="4"/>
  <c r="E98" i="20"/>
  <c r="E98" i="23"/>
  <c r="E87" i="27"/>
  <c r="E98" i="27"/>
  <c r="E87" i="29"/>
  <c r="L120" i="27"/>
  <c r="C43" i="10"/>
  <c r="I120" i="13"/>
  <c r="I120" i="20"/>
  <c r="I120" i="23"/>
  <c r="I120" i="27"/>
  <c r="I120" i="29"/>
  <c r="I120" i="35"/>
  <c r="I120" i="33"/>
  <c r="G43" i="10"/>
  <c r="F22" i="10"/>
  <c r="I98" i="20"/>
  <c r="I98" i="13"/>
  <c r="I98" i="23"/>
  <c r="I98" i="29"/>
  <c r="I98" i="27"/>
  <c r="I98" i="33"/>
  <c r="D66" i="4"/>
  <c r="B12" i="10"/>
  <c r="I66" i="13"/>
  <c r="I66" i="20"/>
  <c r="I66" i="27"/>
  <c r="I66" i="29"/>
  <c r="I66" i="35"/>
  <c r="I66" i="33"/>
  <c r="G12" i="10"/>
  <c r="I66" i="23"/>
  <c r="G66" i="4"/>
  <c r="F12" i="10"/>
  <c r="E53" i="39"/>
  <c r="C38" i="10"/>
  <c r="E53" i="16"/>
  <c r="I112" i="13"/>
  <c r="I112" i="20"/>
  <c r="I112" i="23"/>
  <c r="I112" i="27"/>
  <c r="I112" i="29"/>
  <c r="I112" i="35"/>
  <c r="I112" i="33"/>
  <c r="G32" i="10"/>
  <c r="E56" i="39"/>
  <c r="E56" i="16"/>
  <c r="C49" i="10"/>
  <c r="C32" i="10"/>
  <c r="C22" i="10"/>
  <c r="E47" i="39"/>
  <c r="C11" i="10"/>
  <c r="E47" i="16"/>
  <c r="C12" i="10"/>
  <c r="I87" i="13"/>
  <c r="I87" i="20"/>
  <c r="I87" i="27"/>
  <c r="I87" i="29"/>
  <c r="I87" i="23"/>
  <c r="I87" i="33"/>
  <c r="I87" i="35"/>
  <c r="G22" i="10"/>
  <c r="L66" i="20"/>
  <c r="L112" i="20"/>
  <c r="L87" i="13"/>
  <c r="L120" i="29"/>
  <c r="L66" i="29"/>
  <c r="L77" i="29"/>
  <c r="L112" i="23"/>
  <c r="E98" i="13"/>
  <c r="E87" i="20"/>
  <c r="L77" i="13"/>
  <c r="E47" i="38"/>
  <c r="E77" i="33"/>
  <c r="E112" i="33"/>
  <c r="E120" i="33"/>
  <c r="E47" i="34"/>
  <c r="E120" i="29"/>
  <c r="E120" i="34"/>
  <c r="E53" i="34"/>
  <c r="E77" i="29"/>
  <c r="E53" i="40"/>
  <c r="E53" i="41"/>
  <c r="E56" i="40"/>
  <c r="E56" i="41"/>
  <c r="E47" i="40"/>
  <c r="E47" i="41"/>
  <c r="E77" i="27"/>
  <c r="E112" i="27"/>
  <c r="E47" i="51"/>
  <c r="E53" i="25"/>
  <c r="E47" i="25"/>
  <c r="E47" i="26"/>
  <c r="E56" i="25"/>
  <c r="E120" i="23"/>
  <c r="E77" i="23"/>
  <c r="E112" i="23"/>
  <c r="E56" i="21"/>
  <c r="E56" i="22"/>
  <c r="E47" i="21"/>
  <c r="E47" i="22"/>
  <c r="E53" i="21"/>
  <c r="E53" i="22"/>
  <c r="E120" i="20"/>
  <c r="E47" i="20"/>
  <c r="E77" i="20"/>
  <c r="E112" i="20"/>
  <c r="E53" i="13"/>
  <c r="E77" i="13"/>
  <c r="E56" i="13"/>
  <c r="E112" i="13"/>
  <c r="E47" i="13"/>
  <c r="E120" i="13"/>
  <c r="D112" i="4"/>
  <c r="D77" i="4"/>
  <c r="D120" i="4"/>
  <c r="D53" i="4"/>
  <c r="D56" i="4"/>
  <c r="D47" i="4"/>
  <c r="J28" i="9" l="1"/>
  <c r="J20" i="9"/>
  <c r="J12" i="9"/>
  <c r="J19" i="9"/>
  <c r="J25" i="9"/>
  <c r="J16" i="9"/>
  <c r="J30" i="9"/>
  <c r="J14" i="9"/>
  <c r="J27" i="9"/>
  <c r="J11" i="9"/>
  <c r="J17" i="9"/>
  <c r="J24" i="9"/>
  <c r="J15" i="9"/>
  <c r="J22" i="9"/>
  <c r="J29" i="9"/>
  <c r="J21" i="9"/>
  <c r="J26" i="9"/>
  <c r="J18" i="9"/>
  <c r="J23" i="9"/>
  <c r="J13" i="9"/>
  <c r="J31" i="9"/>
  <c r="D57" i="9"/>
  <c r="C60" i="10"/>
  <c r="H108" i="4"/>
  <c r="H115" i="4"/>
  <c r="H117" i="4"/>
  <c r="H124" i="4"/>
  <c r="H28" i="4"/>
  <c r="H116" i="4"/>
  <c r="H98" i="4" l="1"/>
  <c r="H118" i="4"/>
  <c r="H99" i="4"/>
  <c r="H24" i="4"/>
  <c r="H119" i="4"/>
  <c r="H27" i="4"/>
  <c r="H78" i="4"/>
  <c r="D9" i="10"/>
  <c r="H125" i="4"/>
  <c r="H113" i="4"/>
  <c r="H88" i="4"/>
  <c r="H9" i="4"/>
  <c r="H8" i="4"/>
  <c r="H79" i="4"/>
  <c r="H123" i="4"/>
  <c r="H14" i="10"/>
  <c r="H37" i="4"/>
  <c r="H122" i="4"/>
  <c r="I122" i="4"/>
  <c r="I113" i="4"/>
  <c r="I9" i="4"/>
  <c r="I110" i="4"/>
  <c r="K49" i="10"/>
  <c r="H114" i="4"/>
  <c r="I109" i="4"/>
  <c r="H11" i="4"/>
  <c r="I123" i="4"/>
  <c r="I79" i="4"/>
  <c r="I100" i="4"/>
  <c r="H111" i="4"/>
  <c r="H25" i="4"/>
  <c r="H126" i="4"/>
  <c r="H86" i="4"/>
  <c r="H42" i="10"/>
  <c r="H21" i="10"/>
  <c r="I121" i="4"/>
  <c r="I28" i="4"/>
  <c r="H110" i="4"/>
  <c r="I32" i="4"/>
  <c r="I67" i="4"/>
  <c r="K11" i="10"/>
  <c r="I23" i="4"/>
  <c r="H22" i="10"/>
  <c r="H109" i="4"/>
  <c r="H10" i="4"/>
  <c r="I127" i="4"/>
  <c r="H38" i="4"/>
  <c r="I77" i="4"/>
  <c r="I88" i="4"/>
  <c r="I118" i="4"/>
  <c r="H67" i="4"/>
  <c r="H12" i="10"/>
  <c r="I117" i="4"/>
  <c r="I119" i="4"/>
  <c r="H121" i="4"/>
  <c r="I111" i="4"/>
  <c r="I114" i="4"/>
  <c r="I78" i="4"/>
  <c r="I116" i="4"/>
  <c r="K26" i="10"/>
  <c r="I98" i="4"/>
  <c r="I99" i="4"/>
  <c r="K9" i="10"/>
  <c r="H77" i="4"/>
  <c r="H24" i="10"/>
  <c r="I31" i="4"/>
  <c r="I24" i="4"/>
  <c r="H127" i="4"/>
  <c r="K16" i="10"/>
  <c r="I30" i="4"/>
  <c r="H36" i="4"/>
  <c r="I124" i="4"/>
  <c r="K45" i="10"/>
  <c r="H39" i="4"/>
  <c r="I108" i="4"/>
  <c r="I8" i="4"/>
  <c r="I115" i="4"/>
  <c r="I86" i="4"/>
  <c r="H10" i="10"/>
  <c r="I125" i="4"/>
  <c r="H100" i="4"/>
  <c r="H7" i="4"/>
  <c r="H23" i="4"/>
  <c r="H15" i="10"/>
  <c r="I126" i="4"/>
  <c r="M101" i="37" l="1"/>
  <c r="M9" i="72"/>
  <c r="M8" i="74"/>
  <c r="J23" i="4"/>
  <c r="J24" i="4"/>
  <c r="J111" i="4"/>
  <c r="M67" i="37"/>
  <c r="M67" i="18"/>
  <c r="M108" i="37"/>
  <c r="M32" i="37"/>
  <c r="M32" i="18"/>
  <c r="M79" i="37"/>
  <c r="M79" i="18"/>
  <c r="M125" i="37"/>
  <c r="M88" i="37"/>
  <c r="M88" i="18"/>
  <c r="M78" i="37"/>
  <c r="M78" i="18"/>
  <c r="M100" i="37"/>
  <c r="M100" i="18"/>
  <c r="M86" i="37"/>
  <c r="M123" i="37"/>
  <c r="M110" i="37"/>
  <c r="M110" i="18"/>
  <c r="M99" i="37"/>
  <c r="M99" i="18"/>
  <c r="M114" i="37"/>
  <c r="M114" i="18"/>
  <c r="M118" i="37"/>
  <c r="M118" i="18"/>
  <c r="M28" i="37"/>
  <c r="M28" i="18"/>
  <c r="M115" i="37"/>
  <c r="M98" i="18"/>
  <c r="M111" i="37"/>
  <c r="M9" i="37"/>
  <c r="M9" i="18"/>
  <c r="M31" i="37"/>
  <c r="M31" i="18"/>
  <c r="M8" i="37"/>
  <c r="M8" i="18"/>
  <c r="M24" i="37"/>
  <c r="M109" i="37"/>
  <c r="M109" i="18"/>
  <c r="M113" i="37"/>
  <c r="M113" i="18"/>
  <c r="J123" i="4"/>
  <c r="M23" i="37"/>
  <c r="M23" i="18"/>
  <c r="M122" i="37"/>
  <c r="M122" i="18"/>
  <c r="M126" i="37"/>
  <c r="M126" i="18"/>
  <c r="M30" i="37"/>
  <c r="M30" i="18"/>
  <c r="M117" i="37"/>
  <c r="M77" i="18"/>
  <c r="M121" i="37"/>
  <c r="M121" i="18"/>
  <c r="J115" i="4"/>
  <c r="M98" i="37"/>
  <c r="M97" i="37"/>
  <c r="M97" i="13"/>
  <c r="M97" i="29"/>
  <c r="M97" i="33"/>
  <c r="M77" i="37"/>
  <c r="M76" i="37"/>
  <c r="M76" i="33"/>
  <c r="M76" i="29"/>
  <c r="M76" i="13"/>
  <c r="M24" i="13"/>
  <c r="M24" i="24"/>
  <c r="M24" i="23"/>
  <c r="M24" i="33"/>
  <c r="M24" i="29"/>
  <c r="M88" i="13"/>
  <c r="M88" i="27"/>
  <c r="M88" i="29"/>
  <c r="M88" i="23"/>
  <c r="M88" i="33"/>
  <c r="J28" i="4"/>
  <c r="M28" i="20"/>
  <c r="M28" i="25"/>
  <c r="M28" i="23"/>
  <c r="M28" i="51"/>
  <c r="M28" i="29"/>
  <c r="M28" i="16"/>
  <c r="M28" i="13"/>
  <c r="M122" i="23"/>
  <c r="M122" i="13"/>
  <c r="M122" i="27"/>
  <c r="M122" i="29"/>
  <c r="M122" i="33"/>
  <c r="M122" i="20"/>
  <c r="M122" i="35"/>
  <c r="M126" i="23"/>
  <c r="M126" i="27"/>
  <c r="M126" i="13"/>
  <c r="M126" i="29"/>
  <c r="M126" i="33"/>
  <c r="M126" i="35"/>
  <c r="M125" i="13"/>
  <c r="M115" i="33"/>
  <c r="M31" i="23"/>
  <c r="M31" i="13"/>
  <c r="M31" i="24"/>
  <c r="M31" i="35"/>
  <c r="M31" i="29"/>
  <c r="M31" i="33"/>
  <c r="M78" i="23"/>
  <c r="M78" i="27"/>
  <c r="M78" i="13"/>
  <c r="M78" i="29"/>
  <c r="M78" i="33"/>
  <c r="M114" i="23"/>
  <c r="M114" i="13"/>
  <c r="M114" i="27"/>
  <c r="M114" i="20"/>
  <c r="M114" i="29"/>
  <c r="M114" i="33"/>
  <c r="M114" i="35"/>
  <c r="J117" i="4"/>
  <c r="M117" i="13"/>
  <c r="M117" i="23"/>
  <c r="M118" i="23"/>
  <c r="M118" i="27"/>
  <c r="M118" i="13"/>
  <c r="M118" i="29"/>
  <c r="M118" i="33"/>
  <c r="M118" i="35"/>
  <c r="M23" i="20"/>
  <c r="M23" i="13"/>
  <c r="M23" i="35"/>
  <c r="M23" i="29"/>
  <c r="M23" i="33"/>
  <c r="M32" i="13"/>
  <c r="M32" i="20"/>
  <c r="M32" i="33"/>
  <c r="M32" i="23"/>
  <c r="M32" i="29"/>
  <c r="M79" i="13"/>
  <c r="M79" i="20"/>
  <c r="M79" i="23"/>
  <c r="M79" i="33"/>
  <c r="M79" i="29"/>
  <c r="M79" i="27"/>
  <c r="M8" i="20"/>
  <c r="M8" i="13"/>
  <c r="M8" i="22"/>
  <c r="M8" i="24"/>
  <c r="M8" i="51"/>
  <c r="M8" i="25"/>
  <c r="M8" i="41"/>
  <c r="M8" i="29"/>
  <c r="M8" i="33"/>
  <c r="M8" i="19"/>
  <c r="M30" i="20"/>
  <c r="M30" i="13"/>
  <c r="M30" i="23"/>
  <c r="M30" i="33"/>
  <c r="M30" i="29"/>
  <c r="M30" i="35"/>
  <c r="M99" i="23"/>
  <c r="M99" i="27"/>
  <c r="M99" i="29"/>
  <c r="M99" i="13"/>
  <c r="M99" i="33"/>
  <c r="M111" i="33"/>
  <c r="M121" i="13"/>
  <c r="M121" i="23"/>
  <c r="M121" i="34"/>
  <c r="M121" i="29"/>
  <c r="M121" i="33"/>
  <c r="M100" i="13"/>
  <c r="M100" i="20"/>
  <c r="M100" i="29"/>
  <c r="M100" i="33"/>
  <c r="M100" i="27"/>
  <c r="M100" i="23"/>
  <c r="M123" i="33"/>
  <c r="M109" i="13"/>
  <c r="M109" i="23"/>
  <c r="M109" i="33"/>
  <c r="M109" i="29"/>
  <c r="M109" i="27"/>
  <c r="M9" i="19"/>
  <c r="M9" i="25"/>
  <c r="M9" i="20"/>
  <c r="M9" i="22"/>
  <c r="M9" i="51"/>
  <c r="M9" i="13"/>
  <c r="M9" i="29"/>
  <c r="M9" i="24"/>
  <c r="M9" i="41"/>
  <c r="M9" i="33"/>
  <c r="M86" i="23"/>
  <c r="M86" i="35"/>
  <c r="M86" i="29"/>
  <c r="M86" i="13"/>
  <c r="M86" i="33"/>
  <c r="J108" i="4"/>
  <c r="M108" i="23"/>
  <c r="M108" i="13"/>
  <c r="M108" i="35"/>
  <c r="M108" i="29"/>
  <c r="M108" i="33"/>
  <c r="M98" i="20"/>
  <c r="M98" i="13"/>
  <c r="M98" i="23"/>
  <c r="M98" i="27"/>
  <c r="M98" i="29"/>
  <c r="M98" i="33"/>
  <c r="M77" i="20"/>
  <c r="M77" i="13"/>
  <c r="M77" i="27"/>
  <c r="M77" i="23"/>
  <c r="M77" i="29"/>
  <c r="M77" i="33"/>
  <c r="M67" i="13"/>
  <c r="M67" i="23"/>
  <c r="M67" i="27"/>
  <c r="M67" i="29"/>
  <c r="M67" i="33"/>
  <c r="M110" i="27"/>
  <c r="M110" i="13"/>
  <c r="M110" i="23"/>
  <c r="M110" i="20"/>
  <c r="M110" i="29"/>
  <c r="M110" i="35"/>
  <c r="M110" i="33"/>
  <c r="M113" i="13"/>
  <c r="M113" i="23"/>
  <c r="M113" i="27"/>
  <c r="M113" i="33"/>
  <c r="J109" i="4"/>
  <c r="M44" i="8"/>
  <c r="D43" i="9"/>
  <c r="H69" i="9"/>
  <c r="B71" i="9"/>
  <c r="M45" i="8"/>
  <c r="D44" i="9"/>
  <c r="M41" i="8"/>
  <c r="D40" i="9"/>
  <c r="C58" i="9"/>
  <c r="H55" i="9"/>
  <c r="N47" i="8"/>
  <c r="B75" i="9"/>
  <c r="D32" i="9"/>
  <c r="D17" i="9"/>
  <c r="B59" i="9"/>
  <c r="D25" i="9"/>
  <c r="B67" i="9"/>
  <c r="M38" i="8"/>
  <c r="B47" i="9"/>
  <c r="D37" i="9"/>
  <c r="I26" i="9"/>
  <c r="H59" i="9"/>
  <c r="C52" i="9"/>
  <c r="B74" i="9"/>
  <c r="D31" i="9"/>
  <c r="M90" i="8"/>
  <c r="I40" i="9"/>
  <c r="G77" i="9"/>
  <c r="I23" i="9"/>
  <c r="N44" i="8"/>
  <c r="C55" i="9"/>
  <c r="C67" i="9"/>
  <c r="B65" i="9"/>
  <c r="D23" i="9"/>
  <c r="H60" i="9"/>
  <c r="N43" i="8"/>
  <c r="D38" i="9"/>
  <c r="M39" i="8"/>
  <c r="N42" i="8"/>
  <c r="C73" i="9"/>
  <c r="H58" i="9"/>
  <c r="N46" i="8"/>
  <c r="M47" i="8"/>
  <c r="D46" i="9"/>
  <c r="B73" i="9"/>
  <c r="I11" i="9"/>
  <c r="C54" i="9"/>
  <c r="M89" i="8"/>
  <c r="I39" i="9"/>
  <c r="H63" i="9"/>
  <c r="D45" i="9"/>
  <c r="M46" i="8"/>
  <c r="H67" i="9"/>
  <c r="I24" i="9"/>
  <c r="D16" i="9"/>
  <c r="B58" i="9"/>
  <c r="N90" i="8"/>
  <c r="B69" i="9"/>
  <c r="D27" i="9"/>
  <c r="C65" i="9"/>
  <c r="D11" i="9"/>
  <c r="B53" i="9"/>
  <c r="C53" i="9"/>
  <c r="D12" i="9"/>
  <c r="B54" i="9"/>
  <c r="M91" i="8"/>
  <c r="I41" i="9"/>
  <c r="H62" i="9"/>
  <c r="I29" i="9"/>
  <c r="H72" i="9"/>
  <c r="H73" i="9"/>
  <c r="N96" i="8"/>
  <c r="B52" i="9"/>
  <c r="D10" i="9"/>
  <c r="N45" i="8"/>
  <c r="C71" i="9"/>
  <c r="H68" i="9"/>
  <c r="N91" i="8"/>
  <c r="H54" i="9"/>
  <c r="C60" i="9"/>
  <c r="I43" i="9"/>
  <c r="M93" i="8"/>
  <c r="B62" i="9"/>
  <c r="D20" i="9"/>
  <c r="N93" i="8"/>
  <c r="C75" i="9"/>
  <c r="I44" i="9"/>
  <c r="M94" i="8"/>
  <c r="C72" i="9"/>
  <c r="N88" i="8"/>
  <c r="D24" i="9"/>
  <c r="B66" i="9"/>
  <c r="C61" i="9"/>
  <c r="N95" i="8"/>
  <c r="N38" i="8"/>
  <c r="M43" i="8"/>
  <c r="D42" i="9"/>
  <c r="I27" i="9"/>
  <c r="N41" i="8"/>
  <c r="B68" i="9"/>
  <c r="D26" i="9"/>
  <c r="D39" i="9"/>
  <c r="M40" i="8"/>
  <c r="N92" i="8"/>
  <c r="D30" i="9"/>
  <c r="H47" i="9"/>
  <c r="N87" i="8"/>
  <c r="C69" i="9"/>
  <c r="N40" i="8"/>
  <c r="B61" i="9"/>
  <c r="D19" i="9"/>
  <c r="C66" i="9"/>
  <c r="N89" i="8"/>
  <c r="C64" i="9"/>
  <c r="C74" i="9"/>
  <c r="I42" i="9"/>
  <c r="M92" i="8"/>
  <c r="D13" i="9"/>
  <c r="B55" i="9"/>
  <c r="C59" i="9"/>
  <c r="I37" i="9"/>
  <c r="G47" i="9"/>
  <c r="F27" i="10" s="1"/>
  <c r="M87" i="8"/>
  <c r="C62" i="9"/>
  <c r="H71" i="9"/>
  <c r="N94" i="8"/>
  <c r="D29" i="9"/>
  <c r="B72" i="9"/>
  <c r="H61" i="9"/>
  <c r="M95" i="8"/>
  <c r="I45" i="9"/>
  <c r="H66" i="9"/>
  <c r="D21" i="9"/>
  <c r="B63" i="9"/>
  <c r="H74" i="9"/>
  <c r="C63" i="9"/>
  <c r="M96" i="8"/>
  <c r="I46" i="9"/>
  <c r="N39" i="8"/>
  <c r="M42" i="8"/>
  <c r="D41" i="9"/>
  <c r="D28" i="9"/>
  <c r="B60" i="9"/>
  <c r="D18" i="9"/>
  <c r="D22" i="9"/>
  <c r="B64" i="9"/>
  <c r="H64" i="9"/>
  <c r="I16" i="9"/>
  <c r="I30" i="9"/>
  <c r="I19" i="9"/>
  <c r="C68" i="9"/>
  <c r="I20" i="9"/>
  <c r="M88" i="8"/>
  <c r="I38" i="9"/>
  <c r="J110" i="4"/>
  <c r="J118" i="4"/>
  <c r="J126" i="4"/>
  <c r="J125" i="4"/>
  <c r="J121" i="4"/>
  <c r="J8" i="4"/>
  <c r="J113" i="4"/>
  <c r="J78" i="4"/>
  <c r="J9" i="4"/>
  <c r="J67" i="4"/>
  <c r="J86" i="4"/>
  <c r="J114" i="4"/>
  <c r="J88" i="4"/>
  <c r="J99" i="4"/>
  <c r="J100" i="4"/>
  <c r="J122" i="4"/>
  <c r="J77" i="4"/>
  <c r="J79" i="4"/>
  <c r="J98" i="4"/>
  <c r="K21" i="10"/>
  <c r="H75" i="4"/>
  <c r="H25" i="10"/>
  <c r="G55" i="10"/>
  <c r="H137" i="4"/>
  <c r="H96" i="4"/>
  <c r="K42" i="10"/>
  <c r="G53" i="10"/>
  <c r="H29" i="4"/>
  <c r="H89" i="4"/>
  <c r="K12" i="10"/>
  <c r="K14" i="10"/>
  <c r="K23" i="10"/>
  <c r="H87" i="4"/>
  <c r="H112" i="4"/>
  <c r="K44" i="10"/>
  <c r="K24" i="10"/>
  <c r="G46" i="10"/>
  <c r="H43" i="10"/>
  <c r="H31" i="4"/>
  <c r="J31" i="4" s="1"/>
  <c r="H32" i="4"/>
  <c r="J32" i="4" s="1"/>
  <c r="J10" i="10"/>
  <c r="D10" i="10"/>
  <c r="J24" i="10"/>
  <c r="D24" i="10"/>
  <c r="I25" i="4"/>
  <c r="B60" i="10"/>
  <c r="D38" i="10"/>
  <c r="J38" i="10"/>
  <c r="I37" i="4"/>
  <c r="F55" i="10"/>
  <c r="H33" i="10"/>
  <c r="D23" i="10"/>
  <c r="J23" i="10"/>
  <c r="H34" i="4"/>
  <c r="H135" i="4"/>
  <c r="J14" i="10"/>
  <c r="D14" i="10"/>
  <c r="I87" i="4"/>
  <c r="J11" i="10"/>
  <c r="L11" i="10" s="1"/>
  <c r="D11" i="10"/>
  <c r="K32" i="10"/>
  <c r="C54" i="10"/>
  <c r="K15" i="10"/>
  <c r="H41" i="10"/>
  <c r="F46" i="10"/>
  <c r="D42" i="10"/>
  <c r="J42" i="10"/>
  <c r="C52" i="10"/>
  <c r="C35" i="10"/>
  <c r="K30" i="10"/>
  <c r="H23" i="10"/>
  <c r="K25" i="10"/>
  <c r="D33" i="10"/>
  <c r="B55" i="10"/>
  <c r="J33" i="10"/>
  <c r="D45" i="10"/>
  <c r="J45" i="10"/>
  <c r="L45" i="10" s="1"/>
  <c r="J16" i="10"/>
  <c r="L16" i="10" s="1"/>
  <c r="D16" i="10"/>
  <c r="I75" i="4"/>
  <c r="I138" i="4"/>
  <c r="D22" i="10"/>
  <c r="J22" i="10"/>
  <c r="G54" i="10"/>
  <c r="J31" i="10"/>
  <c r="B53" i="10"/>
  <c r="D31" i="10"/>
  <c r="J15" i="10"/>
  <c r="D15" i="10"/>
  <c r="I96" i="4"/>
  <c r="H20" i="10"/>
  <c r="K22" i="10"/>
  <c r="K10" i="10"/>
  <c r="D44" i="10"/>
  <c r="J44" i="10"/>
  <c r="I112" i="4"/>
  <c r="C55" i="10"/>
  <c r="K33" i="10"/>
  <c r="J13" i="10"/>
  <c r="D13" i="10"/>
  <c r="K13" i="10"/>
  <c r="H35" i="4"/>
  <c r="C56" i="10"/>
  <c r="K56" i="10" s="1"/>
  <c r="K34" i="10"/>
  <c r="I120" i="4"/>
  <c r="F35" i="10"/>
  <c r="F52" i="10"/>
  <c r="H30" i="10"/>
  <c r="I136" i="4"/>
  <c r="I29" i="4"/>
  <c r="H31" i="10"/>
  <c r="F53" i="10"/>
  <c r="I89" i="4"/>
  <c r="J32" i="10"/>
  <c r="D32" i="10"/>
  <c r="B54" i="10"/>
  <c r="I66" i="4"/>
  <c r="J20" i="10"/>
  <c r="D20" i="10"/>
  <c r="B56" i="10"/>
  <c r="J34" i="10"/>
  <c r="H66" i="4"/>
  <c r="H32" i="10"/>
  <c r="F54" i="10"/>
  <c r="I22" i="4"/>
  <c r="K41" i="10"/>
  <c r="C46" i="10"/>
  <c r="H120" i="4"/>
  <c r="H138" i="4"/>
  <c r="I137" i="4"/>
  <c r="H68" i="4"/>
  <c r="I68" i="4"/>
  <c r="I38" i="4"/>
  <c r="K43" i="10"/>
  <c r="I10" i="4"/>
  <c r="H136" i="4"/>
  <c r="H12" i="4"/>
  <c r="J26" i="10"/>
  <c r="L26" i="10" s="1"/>
  <c r="D26" i="10"/>
  <c r="I34" i="4"/>
  <c r="H9" i="10"/>
  <c r="J9" i="10"/>
  <c r="L9" i="10" s="1"/>
  <c r="J49" i="10"/>
  <c r="L49" i="10" s="1"/>
  <c r="D49" i="10"/>
  <c r="D21" i="10"/>
  <c r="J21" i="10"/>
  <c r="I39" i="4"/>
  <c r="I27" i="4"/>
  <c r="I36" i="4"/>
  <c r="B35" i="10"/>
  <c r="J30" i="10"/>
  <c r="B52" i="10"/>
  <c r="D30" i="10"/>
  <c r="I7" i="4"/>
  <c r="K60" i="10"/>
  <c r="K38" i="10"/>
  <c r="H13" i="10"/>
  <c r="G35" i="10"/>
  <c r="G52" i="10"/>
  <c r="I35" i="4"/>
  <c r="D12" i="10"/>
  <c r="J12" i="10"/>
  <c r="I12" i="4"/>
  <c r="D43" i="10"/>
  <c r="J43" i="10"/>
  <c r="I135" i="4"/>
  <c r="I11" i="4"/>
  <c r="K20" i="10"/>
  <c r="D25" i="10"/>
  <c r="J25" i="10"/>
  <c r="D41" i="10"/>
  <c r="J41" i="10"/>
  <c r="B46" i="10"/>
  <c r="K31" i="10"/>
  <c r="C53" i="10"/>
  <c r="J9" i="9" l="1"/>
  <c r="B77" i="9"/>
  <c r="H77" i="9"/>
  <c r="J33" i="9"/>
  <c r="J76" i="9"/>
  <c r="B17" i="10"/>
  <c r="J73" i="9" l="1"/>
  <c r="J53" i="9"/>
  <c r="J51" i="9"/>
  <c r="J56" i="9"/>
  <c r="M7" i="72"/>
  <c r="M7" i="74"/>
  <c r="J42" i="9"/>
  <c r="E37" i="9"/>
  <c r="J25" i="4" l="1"/>
  <c r="M33" i="18"/>
  <c r="M33" i="35"/>
  <c r="M33" i="23"/>
  <c r="M33" i="33"/>
  <c r="M33" i="20"/>
  <c r="M33" i="37"/>
  <c r="M33" i="29"/>
  <c r="M35" i="37"/>
  <c r="M35" i="18"/>
  <c r="M22" i="37"/>
  <c r="M22" i="18"/>
  <c r="M29" i="37"/>
  <c r="M29" i="18"/>
  <c r="M136" i="37"/>
  <c r="M37" i="37"/>
  <c r="M66" i="37"/>
  <c r="M66" i="18"/>
  <c r="M112" i="37"/>
  <c r="M112" i="18"/>
  <c r="M10" i="37"/>
  <c r="M10" i="18"/>
  <c r="M137" i="37"/>
  <c r="M75" i="37"/>
  <c r="M135" i="37"/>
  <c r="M36" i="37"/>
  <c r="M12" i="37"/>
  <c r="M12" i="18"/>
  <c r="M89" i="37"/>
  <c r="M89" i="18"/>
  <c r="M87" i="37"/>
  <c r="M87" i="18"/>
  <c r="M25" i="37"/>
  <c r="M25" i="18"/>
  <c r="M11" i="37"/>
  <c r="M11" i="18"/>
  <c r="M7" i="37"/>
  <c r="M7" i="18"/>
  <c r="M34" i="37"/>
  <c r="M34" i="18"/>
  <c r="M120" i="37"/>
  <c r="M120" i="18"/>
  <c r="M68" i="37"/>
  <c r="M68" i="18"/>
  <c r="M96" i="37"/>
  <c r="L24" i="10"/>
  <c r="L14" i="10"/>
  <c r="J39" i="4"/>
  <c r="J75" i="4"/>
  <c r="J96" i="4"/>
  <c r="L15" i="10"/>
  <c r="L42" i="10"/>
  <c r="J11" i="4"/>
  <c r="M11" i="13"/>
  <c r="M11" i="33"/>
  <c r="M11" i="23"/>
  <c r="M11" i="29"/>
  <c r="M11" i="35"/>
  <c r="J10" i="4"/>
  <c r="M10" i="20"/>
  <c r="M10" i="23"/>
  <c r="M10" i="13"/>
  <c r="M10" i="24"/>
  <c r="M10" i="35"/>
  <c r="M10" i="51"/>
  <c r="M10" i="29"/>
  <c r="M10" i="33"/>
  <c r="M68" i="20"/>
  <c r="M68" i="13"/>
  <c r="M68" i="27"/>
  <c r="M68" i="23"/>
  <c r="M68" i="29"/>
  <c r="M68" i="35"/>
  <c r="M68" i="33"/>
  <c r="M137" i="26"/>
  <c r="M120" i="23"/>
  <c r="M120" i="20"/>
  <c r="M120" i="27"/>
  <c r="M120" i="13"/>
  <c r="M120" i="35"/>
  <c r="M120" i="34"/>
  <c r="M120" i="29"/>
  <c r="M120" i="33"/>
  <c r="M112" i="23"/>
  <c r="M112" i="20"/>
  <c r="M112" i="27"/>
  <c r="M112" i="35"/>
  <c r="M112" i="29"/>
  <c r="M112" i="13"/>
  <c r="M112" i="33"/>
  <c r="J7" i="4"/>
  <c r="M7" i="19"/>
  <c r="M7" i="13"/>
  <c r="M7" i="23"/>
  <c r="M7" i="22"/>
  <c r="M7" i="25"/>
  <c r="M7" i="20"/>
  <c r="M7" i="24"/>
  <c r="M7" i="29"/>
  <c r="M7" i="41"/>
  <c r="M7" i="51"/>
  <c r="M7" i="35"/>
  <c r="M7" i="33"/>
  <c r="J22" i="4"/>
  <c r="M22" i="20"/>
  <c r="M22" i="13"/>
  <c r="M22" i="24"/>
  <c r="M22" i="51"/>
  <c r="M22" i="23"/>
  <c r="M22" i="29"/>
  <c r="M22" i="35"/>
  <c r="M22" i="33"/>
  <c r="M22" i="16"/>
  <c r="M29" i="23"/>
  <c r="M29" i="13"/>
  <c r="M29" i="29"/>
  <c r="M29" i="51"/>
  <c r="M29" i="35"/>
  <c r="M29" i="24"/>
  <c r="M29" i="16"/>
  <c r="M29" i="20"/>
  <c r="M29" i="33"/>
  <c r="M138" i="26"/>
  <c r="M87" i="13"/>
  <c r="M87" i="20"/>
  <c r="M87" i="23"/>
  <c r="M87" i="27"/>
  <c r="M87" i="33"/>
  <c r="M87" i="29"/>
  <c r="M87" i="35"/>
  <c r="J10" i="9"/>
  <c r="M35" i="13"/>
  <c r="M35" i="23"/>
  <c r="M35" i="29"/>
  <c r="M35" i="35"/>
  <c r="M35" i="33"/>
  <c r="M39" i="13"/>
  <c r="M34" i="13"/>
  <c r="M34" i="23"/>
  <c r="M34" i="29"/>
  <c r="M34" i="35"/>
  <c r="M34" i="33"/>
  <c r="M66" i="13"/>
  <c r="M66" i="20"/>
  <c r="M66" i="27"/>
  <c r="M66" i="35"/>
  <c r="M66" i="33"/>
  <c r="M66" i="23"/>
  <c r="M66" i="29"/>
  <c r="M89" i="20"/>
  <c r="M89" i="13"/>
  <c r="M89" i="23"/>
  <c r="M89" i="27"/>
  <c r="M89" i="29"/>
  <c r="M89" i="35"/>
  <c r="M89" i="33"/>
  <c r="M96" i="33"/>
  <c r="M75" i="33"/>
  <c r="J37" i="4"/>
  <c r="M37" i="13"/>
  <c r="I73" i="9"/>
  <c r="M135" i="26"/>
  <c r="M135" i="34"/>
  <c r="M12" i="13"/>
  <c r="M12" i="23"/>
  <c r="M12" i="29"/>
  <c r="M12" i="35"/>
  <c r="M12" i="33"/>
  <c r="J36" i="4"/>
  <c r="M36" i="13"/>
  <c r="L21" i="10"/>
  <c r="H53" i="10"/>
  <c r="M136" i="26"/>
  <c r="M136" i="34"/>
  <c r="M25" i="13"/>
  <c r="M25" i="20"/>
  <c r="M25" i="29"/>
  <c r="M25" i="33"/>
  <c r="L31" i="10"/>
  <c r="L22" i="10"/>
  <c r="L12" i="10"/>
  <c r="L10" i="10"/>
  <c r="I71" i="9"/>
  <c r="I68" i="9"/>
  <c r="I53" i="9"/>
  <c r="I61" i="9"/>
  <c r="I58" i="9"/>
  <c r="I34" i="9"/>
  <c r="I52" i="9"/>
  <c r="D71" i="9"/>
  <c r="D47" i="9"/>
  <c r="D52" i="9"/>
  <c r="G17" i="10"/>
  <c r="E41" i="9"/>
  <c r="E44" i="9"/>
  <c r="E39" i="9"/>
  <c r="E40" i="9"/>
  <c r="E46" i="9"/>
  <c r="E45" i="9"/>
  <c r="E43" i="9"/>
  <c r="F17" i="10"/>
  <c r="J17" i="10" s="1"/>
  <c r="E38" i="9"/>
  <c r="E42" i="9"/>
  <c r="B27" i="10"/>
  <c r="J27" i="10" s="1"/>
  <c r="J37" i="9"/>
  <c r="J43" i="9"/>
  <c r="G27" i="10"/>
  <c r="H27" i="10" s="1"/>
  <c r="J57" i="9"/>
  <c r="C27" i="10"/>
  <c r="J32" i="9"/>
  <c r="J44" i="9"/>
  <c r="J45" i="9"/>
  <c r="J39" i="9"/>
  <c r="J40" i="9"/>
  <c r="J38" i="9"/>
  <c r="I47" i="9"/>
  <c r="J41" i="9"/>
  <c r="J46" i="9"/>
  <c r="J120" i="4"/>
  <c r="J138" i="4"/>
  <c r="J136" i="4"/>
  <c r="J112" i="4"/>
  <c r="J12" i="4"/>
  <c r="J66" i="4"/>
  <c r="J35" i="4"/>
  <c r="J135" i="4"/>
  <c r="J34" i="4"/>
  <c r="J137" i="4"/>
  <c r="J68" i="4"/>
  <c r="J89" i="4"/>
  <c r="J87" i="4"/>
  <c r="J29" i="4"/>
  <c r="K53" i="10"/>
  <c r="K55" i="10"/>
  <c r="L44" i="10"/>
  <c r="L23" i="10"/>
  <c r="H55" i="10"/>
  <c r="L30" i="10"/>
  <c r="G57" i="10"/>
  <c r="L32" i="10"/>
  <c r="H54" i="10"/>
  <c r="L43" i="10"/>
  <c r="K46" i="10"/>
  <c r="H46" i="10"/>
  <c r="L41" i="10"/>
  <c r="L13" i="10"/>
  <c r="L25" i="10"/>
  <c r="H30" i="4"/>
  <c r="J30" i="4" s="1"/>
  <c r="K54" i="10"/>
  <c r="L38" i="10"/>
  <c r="D46" i="10"/>
  <c r="J46" i="10"/>
  <c r="D52" i="10"/>
  <c r="J52" i="10"/>
  <c r="B57" i="10"/>
  <c r="J54" i="10"/>
  <c r="D54" i="10"/>
  <c r="F57" i="10"/>
  <c r="H52" i="10"/>
  <c r="L33" i="10"/>
  <c r="K35" i="10"/>
  <c r="L20" i="10"/>
  <c r="H35" i="10"/>
  <c r="J53" i="10"/>
  <c r="D53" i="10"/>
  <c r="D55" i="10"/>
  <c r="J55" i="10"/>
  <c r="K52" i="10"/>
  <c r="C57" i="10"/>
  <c r="J60" i="10"/>
  <c r="L60" i="10" s="1"/>
  <c r="D60" i="10"/>
  <c r="J35" i="10"/>
  <c r="D35" i="10"/>
  <c r="D56" i="10"/>
  <c r="J56" i="10"/>
  <c r="L56" i="10" s="1"/>
  <c r="J34" i="9" l="1"/>
  <c r="J75" i="9"/>
  <c r="J70" i="9"/>
  <c r="L55" i="10"/>
  <c r="L53" i="10"/>
  <c r="J47" i="9"/>
  <c r="I77" i="9"/>
  <c r="E47" i="9"/>
  <c r="H17" i="10"/>
  <c r="J61" i="9"/>
  <c r="J60" i="9"/>
  <c r="D27" i="10"/>
  <c r="K27" i="10"/>
  <c r="L27" i="10" s="1"/>
  <c r="J71" i="9"/>
  <c r="J64" i="9"/>
  <c r="J55" i="9"/>
  <c r="J65" i="9"/>
  <c r="I65" i="9" s="1"/>
  <c r="J67" i="9"/>
  <c r="J54" i="9"/>
  <c r="I54" i="9" s="1"/>
  <c r="J62" i="9"/>
  <c r="I62" i="9" s="1"/>
  <c r="J68" i="9"/>
  <c r="J63" i="9"/>
  <c r="J69" i="9"/>
  <c r="I69" i="9" s="1"/>
  <c r="J58" i="9"/>
  <c r="J74" i="9"/>
  <c r="J52" i="9"/>
  <c r="J66" i="9"/>
  <c r="I66" i="9" s="1"/>
  <c r="J59" i="9"/>
  <c r="J72" i="9"/>
  <c r="I72" i="9" s="1"/>
  <c r="K57" i="10"/>
  <c r="H57" i="10"/>
  <c r="L46" i="10"/>
  <c r="L35" i="10"/>
  <c r="L54" i="10"/>
  <c r="J57" i="10"/>
  <c r="D57" i="10"/>
  <c r="L52" i="10"/>
  <c r="J77" i="9" l="1"/>
  <c r="L57" i="10"/>
  <c r="D33" i="9" l="1"/>
  <c r="N32" i="8" l="1"/>
  <c r="C76" i="9"/>
  <c r="D76" i="9" s="1"/>
  <c r="E9" i="9" l="1"/>
  <c r="E14" i="9"/>
  <c r="E28" i="9"/>
  <c r="D34" i="9"/>
  <c r="E26" i="9"/>
  <c r="E20" i="9"/>
  <c r="E16" i="9"/>
  <c r="E11" i="9"/>
  <c r="E24" i="9"/>
  <c r="E31" i="9"/>
  <c r="E17" i="9"/>
  <c r="E12" i="9"/>
  <c r="E10" i="9"/>
  <c r="E27" i="9"/>
  <c r="E15" i="9"/>
  <c r="C17" i="10"/>
  <c r="K17" i="10" s="1"/>
  <c r="L17" i="10" s="1"/>
  <c r="E29" i="9"/>
  <c r="E33" i="9"/>
  <c r="E21" i="9"/>
  <c r="E25" i="9"/>
  <c r="E19" i="9"/>
  <c r="E13" i="9"/>
  <c r="E30" i="9"/>
  <c r="E32" i="9"/>
  <c r="E18" i="9"/>
  <c r="E22" i="9"/>
  <c r="E23" i="9"/>
  <c r="E76" i="9"/>
  <c r="C77" i="9"/>
  <c r="E56" i="9" s="1"/>
  <c r="E34" i="9" l="1"/>
  <c r="D77" i="9"/>
  <c r="E51" i="9"/>
  <c r="D17" i="10"/>
  <c r="E57" i="9"/>
  <c r="E67" i="9"/>
  <c r="D67" i="9" s="1"/>
  <c r="E53" i="9"/>
  <c r="D53" i="9" s="1"/>
  <c r="E62" i="9"/>
  <c r="D62" i="9" s="1"/>
  <c r="E69" i="9"/>
  <c r="D69" i="9" s="1"/>
  <c r="E72" i="9"/>
  <c r="D72" i="9" s="1"/>
  <c r="E60" i="9"/>
  <c r="D60" i="9" s="1"/>
  <c r="E64" i="9"/>
  <c r="D64" i="9" s="1"/>
  <c r="E65" i="9"/>
  <c r="D65" i="9" s="1"/>
  <c r="E55" i="9"/>
  <c r="D55" i="9" s="1"/>
  <c r="E66" i="9"/>
  <c r="D66" i="9" s="1"/>
  <c r="E54" i="9"/>
  <c r="D54" i="9" s="1"/>
  <c r="E61" i="9"/>
  <c r="D61" i="9" s="1"/>
  <c r="E52" i="9"/>
  <c r="E73" i="9"/>
  <c r="D73" i="9" s="1"/>
  <c r="E70" i="9"/>
  <c r="E58" i="9"/>
  <c r="D58" i="9" s="1"/>
  <c r="E75" i="9"/>
  <c r="D75" i="9" s="1"/>
  <c r="E63" i="9"/>
  <c r="D63" i="9" s="1"/>
  <c r="E74" i="9"/>
  <c r="D74" i="9" s="1"/>
  <c r="E59" i="9"/>
  <c r="D59" i="9" s="1"/>
  <c r="E68" i="9"/>
  <c r="D68" i="9" s="1"/>
  <c r="E71" i="9"/>
  <c r="E77" i="9"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Spørring - Data" description="Tilkobling til spørringen Data i arbeidsboken." type="5" refreshedVersion="6" background="1" refreshOnLoad="1">
    <dbPr connection="Provider=Microsoft.Mashup.OleDb.1;Data Source=$Workbook$;Location=Data;Extended Properties=&quot;&quot;" command="SELECT * FROM [Data]"/>
  </connection>
</connections>
</file>

<file path=xl/sharedStrings.xml><?xml version="1.0" encoding="utf-8"?>
<sst xmlns="http://schemas.openxmlformats.org/spreadsheetml/2006/main" count="6099" uniqueCount="419">
  <si>
    <t>Produkter uten investeringsvalg</t>
  </si>
  <si>
    <t>Produkter med investeringsvalg</t>
  </si>
  <si>
    <t>Totalt</t>
  </si>
  <si>
    <t>Endring</t>
  </si>
  <si>
    <t>i %</t>
  </si>
  <si>
    <t xml:space="preserve">                     </t>
  </si>
  <si>
    <t xml:space="preserve">      Gjeldsgruppeliv</t>
  </si>
  <si>
    <t xml:space="preserve">      Foreningsgruppeliv</t>
  </si>
  <si>
    <t xml:space="preserve">      Andre grupper</t>
  </si>
  <si>
    <t xml:space="preserve">   Ytelsesbasert</t>
  </si>
  <si>
    <t xml:space="preserve">   Innskuddsbasert</t>
  </si>
  <si>
    <t xml:space="preserve">      herav kapitaliseringsprodukt IPA+IPS</t>
  </si>
  <si>
    <t xml:space="preserve">        Inv.valg foretak</t>
  </si>
  <si>
    <t xml:space="preserve">        Inv.valg kontohaver</t>
  </si>
  <si>
    <t xml:space="preserve">    Til pensjonskasser</t>
  </si>
  <si>
    <t xml:space="preserve">    Fra pensjonskasser</t>
  </si>
  <si>
    <t>Noter til tabellene</t>
  </si>
  <si>
    <t>Gruppeliv bedrift tilsvarer tjenestegruppeliv.</t>
  </si>
  <si>
    <t>Gruppeliv privat består av foreningsgruppeliv, gjeldsgruppeliv og annet.</t>
  </si>
  <si>
    <t xml:space="preserve">Engangsbetalt alderspensjon er innskuddsbasert pensjon med dødelighetsarv. </t>
  </si>
  <si>
    <t>LOF/LOI betyr lov om foretakspensjon og lov om innskuddspensjon.</t>
  </si>
  <si>
    <t>Overførte reserver fra andre tilsvarer post 1.3 i resultatregnskapet samt overførte tilleggsavsetninger som tilsvarer post 6.6 i  resultatregnskapet.</t>
  </si>
  <si>
    <t>Flytting av en gruppelivsordning fra andre eller til andre måles i brutto årlig premie (ikke brutto forfalt premie).</t>
  </si>
  <si>
    <r>
      <t xml:space="preserve">Brutto forfalt premie </t>
    </r>
    <r>
      <rPr>
        <b/>
        <vertAlign val="superscript"/>
        <sz val="10"/>
        <rFont val="Times New Roman"/>
        <family val="1"/>
      </rPr>
      <t>1</t>
    </r>
  </si>
  <si>
    <r>
      <t xml:space="preserve">    Herav brutto risikopremie uførekapital </t>
    </r>
    <r>
      <rPr>
        <vertAlign val="superscript"/>
        <sz val="10"/>
        <rFont val="Times New Roman"/>
        <family val="1"/>
      </rPr>
      <t>2</t>
    </r>
  </si>
  <si>
    <r>
      <t xml:space="preserve">    Herav brutto risikopremie død </t>
    </r>
    <r>
      <rPr>
        <vertAlign val="superscript"/>
        <sz val="10"/>
        <rFont val="Times New Roman"/>
        <family val="1"/>
      </rPr>
      <t>2</t>
    </r>
  </si>
  <si>
    <t xml:space="preserve">   Etter tjenestepensjonsloven</t>
  </si>
  <si>
    <t>Tabell 5: Kommunale ordninger</t>
  </si>
  <si>
    <t>Tabell 1 : Individuell kapitalforsikring*</t>
  </si>
  <si>
    <t>Markeds-</t>
  </si>
  <si>
    <t>andel</t>
  </si>
  <si>
    <t>INNHOLDSFORTEGNELSE</t>
  </si>
  <si>
    <t>FIGURER</t>
  </si>
  <si>
    <t>Figur 1</t>
  </si>
  <si>
    <t>Brutto forfalt premie livprodukter - produkter uten investeringsvalg</t>
  </si>
  <si>
    <t>Figur 2</t>
  </si>
  <si>
    <t>Brutto forfalt premie livprodukter - produkter med investeringsvalg</t>
  </si>
  <si>
    <t>Figur 3</t>
  </si>
  <si>
    <t>Figur 4</t>
  </si>
  <si>
    <t>Figur 5</t>
  </si>
  <si>
    <t>Forsikringsforpliktelser livprodukter - produkter uten investeringsvalg</t>
  </si>
  <si>
    <t>Figur 6</t>
  </si>
  <si>
    <t>Forsikringsforpliktelser livprodukter - produkter med investeringsvalg</t>
  </si>
  <si>
    <t>Netto tilflytting livprodukter - produkter uten investeringsvalg</t>
  </si>
  <si>
    <t>Netto tilflytting livprodukter - produkter med investeringsvalg</t>
  </si>
  <si>
    <t>TABELLER</t>
  </si>
  <si>
    <t>MARKEDSDEL</t>
  </si>
  <si>
    <t>Tabell 1.1</t>
  </si>
  <si>
    <t>Hovedtall - produkter uten  og med investeringsvalg</t>
  </si>
  <si>
    <t>Tabell 1.2</t>
  </si>
  <si>
    <t>Hovedtall - fordelt på bransjer</t>
  </si>
  <si>
    <t>NOTER OG KOMMENTARER</t>
  </si>
  <si>
    <t>Tilbake</t>
  </si>
  <si>
    <t xml:space="preserve">Brutto forfalt premie livprodukter </t>
  </si>
  <si>
    <t>Danica Pensjon</t>
  </si>
  <si>
    <t>DNB Liv</t>
  </si>
  <si>
    <t>Eika Forsikring</t>
  </si>
  <si>
    <t>Frende Livsfors</t>
  </si>
  <si>
    <t>Frende Skade</t>
  </si>
  <si>
    <t>Gjensidige Fors</t>
  </si>
  <si>
    <t>Gjensidige Pensj</t>
  </si>
  <si>
    <t>Handelsb Liv</t>
  </si>
  <si>
    <t>If Skadefors</t>
  </si>
  <si>
    <t>KLP</t>
  </si>
  <si>
    <t>KLP Skadef</t>
  </si>
  <si>
    <t>Nordea Liv</t>
  </si>
  <si>
    <t>OPF</t>
  </si>
  <si>
    <t>SpareBank 1</t>
  </si>
  <si>
    <t xml:space="preserve">Storebrand </t>
  </si>
  <si>
    <t>Telenor Fors</t>
  </si>
  <si>
    <t>Tryg Fors</t>
  </si>
  <si>
    <t>SHB Liv</t>
  </si>
  <si>
    <t>Storebrand</t>
  </si>
  <si>
    <t>Forsikringsforpliktelser i livsforsikring</t>
  </si>
  <si>
    <t xml:space="preserve">Netto tilflytting </t>
  </si>
  <si>
    <t>Netto tilflytting</t>
  </si>
  <si>
    <t>Markedsdel, endelig år</t>
  </si>
  <si>
    <t>Tabell 1.1 Hovedtall</t>
  </si>
  <si>
    <t>Produkter med og uten investeringsvalg</t>
  </si>
  <si>
    <r>
      <t>Brutto forfalt premie</t>
    </r>
    <r>
      <rPr>
        <sz val="14"/>
        <rFont val="Times New Roman"/>
        <family val="1"/>
      </rPr>
      <t xml:space="preserve"> </t>
    </r>
    <r>
      <rPr>
        <vertAlign val="superscript"/>
        <sz val="14"/>
        <rFont val="Times New Roman"/>
        <family val="1"/>
      </rPr>
      <t>1)</t>
    </r>
  </si>
  <si>
    <t>%-</t>
  </si>
  <si>
    <t>Beløp i 1000  kroner</t>
  </si>
  <si>
    <t>endring</t>
  </si>
  <si>
    <t>Danica Pensjonsforsikring</t>
  </si>
  <si>
    <t>DNB Livsforsikring</t>
  </si>
  <si>
    <t>Eika Forsikring AS</t>
  </si>
  <si>
    <t>Frende Livsforsikring</t>
  </si>
  <si>
    <t>Frende Skadeforsikring</t>
  </si>
  <si>
    <t>Gjensidige Forsikring</t>
  </si>
  <si>
    <t>Gjensidige Pensjon</t>
  </si>
  <si>
    <t>Handelsbanken Liv</t>
  </si>
  <si>
    <t>If Skadeforsikring NUF</t>
  </si>
  <si>
    <t>KLP Bedriftspensjon AS</t>
  </si>
  <si>
    <t>KLP Skadeforsikring AS</t>
  </si>
  <si>
    <t xml:space="preserve">Nordea Liv </t>
  </si>
  <si>
    <t>Oslo Pensjonsforsikring</t>
  </si>
  <si>
    <t>Storebrand Livsforsikring</t>
  </si>
  <si>
    <t>Telenor Forsikring</t>
  </si>
  <si>
    <t>Tryg Forsikring</t>
  </si>
  <si>
    <t>Totalt uten investeringsvalg</t>
  </si>
  <si>
    <t>Totalt med investeringsvalg</t>
  </si>
  <si>
    <t>Alle produkter</t>
  </si>
  <si>
    <t>Noter : Se "Noter og kommentarer"</t>
  </si>
  <si>
    <t>Tabell 1.2 Hovedtall</t>
  </si>
  <si>
    <t>Fordelt på bransjer</t>
  </si>
  <si>
    <t>Totalt alle produkter</t>
  </si>
  <si>
    <t>%</t>
  </si>
  <si>
    <t>Beløp i 1000 kr.</t>
  </si>
  <si>
    <r>
      <t xml:space="preserve">Brutto forfalt premie </t>
    </r>
    <r>
      <rPr>
        <vertAlign val="superscript"/>
        <sz val="14"/>
        <rFont val="Times New Roman"/>
        <family val="1"/>
      </rPr>
      <t>1)</t>
    </r>
  </si>
  <si>
    <t xml:space="preserve">   Individuell kapitalforsikring</t>
  </si>
  <si>
    <t xml:space="preserve">   Individuell pensjonsforsikring</t>
  </si>
  <si>
    <t xml:space="preserve">   Gruppeliv</t>
  </si>
  <si>
    <t xml:space="preserve">   Privat kollektiv pensjon</t>
  </si>
  <si>
    <t xml:space="preserve">     - herav innskuddsbasert *</t>
  </si>
  <si>
    <t xml:space="preserve">   Foreningskollektiv</t>
  </si>
  <si>
    <t>Totalt brutto forfalt premie</t>
  </si>
  <si>
    <r>
      <t xml:space="preserve">     - herav innskuddsbasert </t>
    </r>
    <r>
      <rPr>
        <vertAlign val="superscript"/>
        <sz val="14"/>
        <rFont val="Times New Roman"/>
        <family val="1"/>
      </rPr>
      <t>*</t>
    </r>
  </si>
  <si>
    <t>Totalt forsikringsforpliktelser</t>
  </si>
  <si>
    <t>Totalt overførte reserver fra andre</t>
  </si>
  <si>
    <t>Totalt overførte reserver til andre</t>
  </si>
  <si>
    <t>Totalt netto overførte reserver fra andre</t>
  </si>
  <si>
    <t xml:space="preserve">* "Innskuddsbasert" er summen av "Engangsbetalt" og "Innskuddspensjon". </t>
  </si>
  <si>
    <t>** Bokført verdi, se tabell 6 i statistikken.</t>
  </si>
  <si>
    <t>DNB Livsforsikring ASA</t>
  </si>
  <si>
    <t>Eika Gruppen AS</t>
  </si>
  <si>
    <t>Frende Livsforsikring AS</t>
  </si>
  <si>
    <t>Frende Skadeforsikring AS</t>
  </si>
  <si>
    <t>Gjensidige Forsikring ASA</t>
  </si>
  <si>
    <t>Gjensidige Pensjon og Sparing</t>
  </si>
  <si>
    <t>If Skadeforsikring nuf</t>
  </si>
  <si>
    <t>Livsforsikringsselskapet Nordea Liv Norge AS</t>
  </si>
  <si>
    <t>Telenor Forsikring AS</t>
  </si>
  <si>
    <t>SpareBank 1 Forsikring AS</t>
  </si>
  <si>
    <t>Storebrand ASA</t>
  </si>
  <si>
    <t>Selskap</t>
  </si>
  <si>
    <t>Tabell 1.3 Hovedtall</t>
  </si>
  <si>
    <t>Aktivaposter (aggregert)</t>
  </si>
  <si>
    <t>i mill. kr</t>
  </si>
  <si>
    <t>prosentvis andel</t>
  </si>
  <si>
    <t>Selskapsporteføljen</t>
  </si>
  <si>
    <t xml:space="preserve">   Aksjer</t>
  </si>
  <si>
    <t xml:space="preserve">   Obligasjoner</t>
  </si>
  <si>
    <t xml:space="preserve">   Eiendom</t>
  </si>
  <si>
    <t xml:space="preserve">   Datterforetak m.m.</t>
  </si>
  <si>
    <t xml:space="preserve">   Utlån</t>
  </si>
  <si>
    <t xml:space="preserve">   Annet</t>
  </si>
  <si>
    <t>Kollektivporteføljen</t>
  </si>
  <si>
    <t>Investeringsvalgporteføljen</t>
  </si>
  <si>
    <t>Tallene er hentet fra tabell 6 Balanse.</t>
  </si>
  <si>
    <t>Regnskapsdel, endelig år</t>
  </si>
  <si>
    <t>Tabell 6</t>
  </si>
  <si>
    <t>Balanse</t>
  </si>
  <si>
    <t>Danica</t>
  </si>
  <si>
    <t>DNB</t>
  </si>
  <si>
    <t>Frende</t>
  </si>
  <si>
    <t>Gjensidige</t>
  </si>
  <si>
    <t xml:space="preserve"> </t>
  </si>
  <si>
    <t>Oslo</t>
  </si>
  <si>
    <t>Pensjonsforsikring</t>
  </si>
  <si>
    <t>Livsforsikring</t>
  </si>
  <si>
    <t>Pensjon</t>
  </si>
  <si>
    <r>
      <t>alle livselskaper</t>
    </r>
    <r>
      <rPr>
        <b/>
        <vertAlign val="superscript"/>
        <sz val="14"/>
        <rFont val="Times New Roman"/>
        <family val="1"/>
      </rPr>
      <t xml:space="preserve"> </t>
    </r>
  </si>
  <si>
    <t>Beløp i millioner kroner</t>
  </si>
  <si>
    <t>EIENDELER</t>
  </si>
  <si>
    <t>EIENDELER I SELSKAPSPORTEFØLJEN</t>
  </si>
  <si>
    <t>2. Investeringer i selskapsporteføljen</t>
  </si>
  <si>
    <t xml:space="preserve">    2.1 Bygninger og andre faste eiendommer</t>
  </si>
  <si>
    <t xml:space="preserve">    2.2 Datterforetak, tilknyttede foretak og felleskontrollerte foretak</t>
  </si>
  <si>
    <t xml:space="preserve">    2.3 Finansielle eiendeler som måles til amortisert kost</t>
  </si>
  <si>
    <t xml:space="preserve">         2.3.1 Investeringer som holdes til forfall</t>
  </si>
  <si>
    <t xml:space="preserve">            - Obligasjoner</t>
  </si>
  <si>
    <t xml:space="preserve">         2.3.2 Utlån og fordringer</t>
  </si>
  <si>
    <t xml:space="preserve">    2.4 Finansielle eiendeler som måles til virkelig verdi</t>
  </si>
  <si>
    <t xml:space="preserve">         2.4.1 Aksjer og andeler (inkl. aksjer og andeler målt til kost)</t>
  </si>
  <si>
    <t xml:space="preserve">         2.4.2 Obligasjoner og andre verdipapirer med fast avkastning</t>
  </si>
  <si>
    <t xml:space="preserve">         2.4.3 Utlån og fordringer</t>
  </si>
  <si>
    <t xml:space="preserve">         2.4.4 Finansielle derivater</t>
  </si>
  <si>
    <t xml:space="preserve">         2.4.5 Andre finansielle eiendeler</t>
  </si>
  <si>
    <t xml:space="preserve">    2.5 Gjenforsikringsdepoter</t>
  </si>
  <si>
    <t xml:space="preserve">    Sum investeringer i selskapsporteføljen</t>
  </si>
  <si>
    <t>Annet - postene 1, 3, 4 og 5</t>
  </si>
  <si>
    <t>Sum eiendeler i selskapsporteføljen</t>
  </si>
  <si>
    <t>EIENDELER I KUNDEPORTEFØLJENE</t>
  </si>
  <si>
    <t>6. Investeringer i kollektivporteføljen</t>
  </si>
  <si>
    <t xml:space="preserve">    6.1 Bygninger og andre faste eiendommer</t>
  </si>
  <si>
    <t xml:space="preserve">    6.2 Datterforetak, tilknyttede foretak og felleskontrollerte foretak</t>
  </si>
  <si>
    <t xml:space="preserve">    6.3 Finansielle eiendeler som måles til amortisert kost</t>
  </si>
  <si>
    <t xml:space="preserve">         6.3.1 Investeringer som holdes til forfall</t>
  </si>
  <si>
    <t xml:space="preserve">         6.3.2 Utlån og fordringer</t>
  </si>
  <si>
    <t xml:space="preserve">    6.4 Finansielle eiendeler som måles til virkelig verdi</t>
  </si>
  <si>
    <t xml:space="preserve">         6.4.1 Aksjer og andeler (inkl. aksjer og andeler målt til kost)</t>
  </si>
  <si>
    <t xml:space="preserve">         6.4.2 Obligasjoner og andre verdipapirer med fast avkastning</t>
  </si>
  <si>
    <t xml:space="preserve">         6.4.3 Utlån og fordringer</t>
  </si>
  <si>
    <t xml:space="preserve">         6.4.4 Finansielle derivater</t>
  </si>
  <si>
    <t xml:space="preserve">         6.4.5 Andre finansielle eiendeler</t>
  </si>
  <si>
    <t xml:space="preserve">    Sum investeringer i kollektivporteføljen</t>
  </si>
  <si>
    <t>8. Investeringer i investeringsvalgporteføljen</t>
  </si>
  <si>
    <t xml:space="preserve">    8.1 Bygninger og andre faste eiendommer</t>
  </si>
  <si>
    <t xml:space="preserve">    8.2 Datterforetak, tilknyttede foretak og felleskontrollerte foretak</t>
  </si>
  <si>
    <t xml:space="preserve">    8.3 Finansielle eiendeler som måles til amortisert kost</t>
  </si>
  <si>
    <t xml:space="preserve">         8.3.1 Investeringer som holdes til forfall</t>
  </si>
  <si>
    <t xml:space="preserve">         8.3.2 Utlån og fordringer</t>
  </si>
  <si>
    <t xml:space="preserve">    8.4 Finansielle eiendeler som måles til virkelig verdi</t>
  </si>
  <si>
    <t xml:space="preserve">         8.4.1 Aksjer og andeler (inkl. aksjer og andeler målt til kost)</t>
  </si>
  <si>
    <t xml:space="preserve">         8.4.2 Obligasjoner og andre verdipapirer med fast avkastning</t>
  </si>
  <si>
    <t xml:space="preserve">         8.4.3 Utlån og fordringer</t>
  </si>
  <si>
    <t xml:space="preserve">         8.4.4 Finansielle derivater</t>
  </si>
  <si>
    <t xml:space="preserve">         8.4.5 Andre finansielle eiendeler</t>
  </si>
  <si>
    <t xml:space="preserve">    Sum investeringer i investeringsvalgsporteføljen</t>
  </si>
  <si>
    <t>Sum eiendeler i kundeporteføljene</t>
  </si>
  <si>
    <t>SUM EIENDELER</t>
  </si>
  <si>
    <t>EGENKAPITAL OG FORPLIKTELSER</t>
  </si>
  <si>
    <t>10. Innskutt egenkapital</t>
  </si>
  <si>
    <t>11. Opptjent egenkapital</t>
  </si>
  <si>
    <t xml:space="preserve">    11.1 Risikoutjevningsfond</t>
  </si>
  <si>
    <t>12. Ansvarlig lånekapital mv.</t>
  </si>
  <si>
    <t>13. Forsikringsforpliktelser i livsforsikring - KF</t>
  </si>
  <si>
    <t xml:space="preserve">    13.2 Tilleggsavsetninger</t>
  </si>
  <si>
    <t xml:space="preserve">    13.3 Kursreguleringsfond</t>
  </si>
  <si>
    <t xml:space="preserve">    Ufordelte overskuddsmidler til forsikringskontraktene</t>
  </si>
  <si>
    <t>Sum forsikringsforpliktelser i livsforsikring - KF</t>
  </si>
  <si>
    <t>14. Forsikringsforpliktelser i livsforsikring - SI</t>
  </si>
  <si>
    <t>Sum forsikringsforpliktelser i livsforsikring - SI</t>
  </si>
  <si>
    <t>15. Avsetninger for forpliktelser</t>
  </si>
  <si>
    <t>16. Premiedepot fra gjenforsikringsselskaper</t>
  </si>
  <si>
    <t>17. Forpliktelser</t>
  </si>
  <si>
    <t>18. Påløpte kostnader og mottatte ikke opptjente inntekter</t>
  </si>
  <si>
    <t>SUM EGENKAPTAL OG FORPLIKTELSER</t>
  </si>
  <si>
    <t>Noter: Se "Noter og kommentarer"</t>
  </si>
  <si>
    <t>KF=Kontraktsfastsatte forpliktelser</t>
  </si>
  <si>
    <t>SI=Særskilt investeringsportefølje</t>
  </si>
  <si>
    <t>REGNSKAPSDEL</t>
  </si>
  <si>
    <t>Tabell 4</t>
  </si>
  <si>
    <t>Resultatregnskap - alle produkter</t>
  </si>
  <si>
    <t>Tabell 5.1</t>
  </si>
  <si>
    <t>Resultatanalyse - Individuell kapital og individuell pensjon - alle produkter</t>
  </si>
  <si>
    <t>Tabell 5.2</t>
  </si>
  <si>
    <t>Resultatanalyse - Kollektiv pensjon - alle produkter</t>
  </si>
  <si>
    <t>Tabell 5.3</t>
  </si>
  <si>
    <t>Resultatanalyse - Gruppeliv, ulykke o.a. og total - alle produkter</t>
  </si>
  <si>
    <t>Balanse - alle produkter</t>
  </si>
  <si>
    <t>Tabell 7a</t>
  </si>
  <si>
    <t>Spesifikasjon av post 12 - forsikringsforpliktelser - produkter uten investeringsvalg</t>
  </si>
  <si>
    <t>Tabell 7b</t>
  </si>
  <si>
    <t>Spesifikasjon post 13 forsikringsforpliktelser - produkter med investeringsvalg</t>
  </si>
  <si>
    <t>Tabell 8</t>
  </si>
  <si>
    <t>Diverse nøkkeltall - produkter uten investeringsvalg</t>
  </si>
  <si>
    <t>Totalt - alle produkter</t>
  </si>
  <si>
    <t>Tabell 2: Individuell  pensjonsforsikring, herunder foreningskollektiv</t>
  </si>
  <si>
    <t>Tabell 3: Gruppelivsforsikring</t>
  </si>
  <si>
    <t>Tabell 4: Privat kollektiv pensjonsforsikring, herunder fripoliser, pensjonskapitalbevis og pensjonsbevis</t>
  </si>
  <si>
    <t>* Brutto risiokopremie for invidiuell uførepensjon fremkommer i tabell 2.</t>
  </si>
  <si>
    <r>
      <t xml:space="preserve">Brutto risikopremie for individuell uførepensjon </t>
    </r>
    <r>
      <rPr>
        <vertAlign val="superscript"/>
        <sz val="10"/>
        <rFont val="Times New Roman"/>
        <family val="1"/>
      </rPr>
      <t>3</t>
    </r>
  </si>
  <si>
    <t>Brutto risikopremie rapporteres for produkter både med og uten sparing. Risikopremie for tilknyttede dekninger, som kritisk sykdom, ulykke m.m. skal ikke tas med. For Brutto risikopremie for individuell uførepensjon, se note 3.</t>
  </si>
  <si>
    <t xml:space="preserve">Risikopremie for individuell uførepensjon blir i noen selskap regnskapsført under Individuell kapital, mens den for de fleste regnskapsføres under Individuell pensjon. Brutto risikopremie for uførepensjon er derfor ikke en heravpost for verken Individuell kapital eller Individuell pensjon, men gjelder som en heravpost samlet for disse. </t>
  </si>
  <si>
    <t xml:space="preserve">Forsikringsforpliktelser i livsforsikring tilsvarer post 13 i balansen, ekskl. post 13.3 Kursreguleringsfond for produkter uten investeringsvalg og post 14 i balansen for produkter med investeringsvalg. Gjenforsikringsandel skal ikke tas hensyn til i markedsdelen. </t>
  </si>
  <si>
    <t>Herav fripoliser med investeringsvalg betraktes som innskuddsbasert.</t>
  </si>
  <si>
    <t>Innskuddspensjon er innskuddsbasert pensjon uten dødelighetsarv.</t>
  </si>
  <si>
    <t>Herav fripoliser, herav pensjonskapitalbevis og herav pensjonsbevis omfatter også fortsettelsesforsikringer. Herav-postene er uttrekk fra hovedpostene i tabellen Privat kollektiv pensjonsforsikring, uansett om det er Innenfor LOF/LOI eller Utenfor LOF/LOI - Livrenter.</t>
  </si>
  <si>
    <t>Gjelder ikke ordninger etter lov om tjenestepensjon</t>
  </si>
  <si>
    <r>
      <t xml:space="preserve">Brutto forfalt premie - Foreningskollektiv </t>
    </r>
    <r>
      <rPr>
        <b/>
        <vertAlign val="superscript"/>
        <sz val="10"/>
        <rFont val="Times New Roman"/>
        <family val="1"/>
      </rPr>
      <t>1</t>
    </r>
  </si>
  <si>
    <t>Regnskapsdel, endelig kvartal</t>
  </si>
  <si>
    <t>Resultatregnskap</t>
  </si>
  <si>
    <t xml:space="preserve">Totalt </t>
  </si>
  <si>
    <t>norske livselskaper</t>
  </si>
  <si>
    <t>alle livselskaper</t>
  </si>
  <si>
    <t xml:space="preserve">Beløp i millioner kroner </t>
  </si>
  <si>
    <t>TEKNISK REGNSKAP FOR LIVSFORSIKRING</t>
  </si>
  <si>
    <t>1. Premieinntekter f.e.r.</t>
  </si>
  <si>
    <t xml:space="preserve">    1.1 Forfalt premier, brutto</t>
  </si>
  <si>
    <t xml:space="preserve">    1.2 - Avgitte gjenforsikringspremier</t>
  </si>
  <si>
    <t xml:space="preserve">    1.3 Overføring av premiereserve fra andre selskap/kasser</t>
  </si>
  <si>
    <t xml:space="preserve">    Sum premieinntekter f.e.r.</t>
  </si>
  <si>
    <t>2. Netto inntekter fra investeringer i kollektivporteføljen</t>
  </si>
  <si>
    <t>3. Netto inntekter fra investeringer i investeringsvalgporteføljen</t>
  </si>
  <si>
    <t>4. Andre forsikringsrelaterte inntekter</t>
  </si>
  <si>
    <t>5. Erstatninger</t>
  </si>
  <si>
    <t xml:space="preserve">    5.1 Utbetalte erstatninger</t>
  </si>
  <si>
    <t>Sum erstatninger f.e.r.</t>
  </si>
  <si>
    <t>6. Resultatførte endringer i forsikringsforpliktelser - KF</t>
  </si>
  <si>
    <t xml:space="preserve">    6.1 Endring i premiereserve</t>
  </si>
  <si>
    <t xml:space="preserve">    6.2 Endring i tilleggsavsetninger</t>
  </si>
  <si>
    <t xml:space="preserve">    6.3 Endring i kursreguleringsfond</t>
  </si>
  <si>
    <t xml:space="preserve">    6.4 Endring i premie-, innskudds- og pensjonistenes overskuddsfond</t>
  </si>
  <si>
    <t xml:space="preserve">    6.5 Endring i tekniske avsetninger for skadeforsikringsvirksomhet</t>
  </si>
  <si>
    <t xml:space="preserve">    6.6 Overføring av tilleggsavsetninger fra andre fors.selskap/pensj.kasser</t>
  </si>
  <si>
    <t>Sum resultatførte endringer i forsikringsforpliktelser - KF</t>
  </si>
  <si>
    <t>7. Resultatførte endringer i forsikringsforpliktelser - SI</t>
  </si>
  <si>
    <t>8. Midler tilordnet forsikringskontrakter -KF</t>
  </si>
  <si>
    <t>9. Forsikringsrelaterte driftskostnader</t>
  </si>
  <si>
    <t>10. Andre forsikringsrelaterte kostnader</t>
  </si>
  <si>
    <t>11.Resultat av teknisk regnskap</t>
  </si>
  <si>
    <t>IKKE-TEKNISK REGNSKAP FOR LIVSFORSIKRING</t>
  </si>
  <si>
    <t>12. Netto inntekter fra investeringer i selskapsporteføljen</t>
  </si>
  <si>
    <t>13. Andre inntekter</t>
  </si>
  <si>
    <t>14. Forvaltningskostnader og andre kostnader knyttet til selskapsporteføljen</t>
  </si>
  <si>
    <t>15. Resultat av ikke-teknisk regnskap</t>
  </si>
  <si>
    <t>16. Resultat før skattekostnad</t>
  </si>
  <si>
    <t>17. Skattekostnader</t>
  </si>
  <si>
    <t>18. Resultat før andre resultatkomponenter</t>
  </si>
  <si>
    <t>19. Andre resultatkomponenter</t>
  </si>
  <si>
    <t>20. TOTALRESULTAT</t>
  </si>
  <si>
    <t>Overføringer og disponeringer</t>
  </si>
  <si>
    <t xml:space="preserve">    Overføringer</t>
  </si>
  <si>
    <t xml:space="preserve">        Mottatt konsernbidrag</t>
  </si>
  <si>
    <t xml:space="preserve">        Overført fra annen egenkapital</t>
  </si>
  <si>
    <t xml:space="preserve">    Sum overføringer</t>
  </si>
  <si>
    <t xml:space="preserve">    Disponeringer</t>
  </si>
  <si>
    <t xml:space="preserve">        Utbytte</t>
  </si>
  <si>
    <t xml:space="preserve">        Avgitt konsernbidrag</t>
  </si>
  <si>
    <t xml:space="preserve">        Overført til annen egenkapital</t>
  </si>
  <si>
    <t xml:space="preserve">    Sum disponeringer</t>
  </si>
  <si>
    <t>Sum overføringer og disponeringer</t>
  </si>
  <si>
    <t>Diverse nøkkeltall</t>
  </si>
  <si>
    <t>7. Gjenforsikringsandel av forsikringsforpliktelser i kollektivporteføljen</t>
  </si>
  <si>
    <t>9. Gjenforsikringsandel av forsikringsforpliktelser i investeringsvalgporteføljen</t>
  </si>
  <si>
    <t xml:space="preserve">Med kommunal kollektiv pensjon menes kollektive pensjonsordninger som definert i lov om forsikringsvirksomhet § 4-1 og § 4-2.   </t>
  </si>
  <si>
    <t>Tabell 1.3</t>
  </si>
  <si>
    <t>Hovedtall - aktivaposter</t>
  </si>
  <si>
    <t>Skjema total MA</t>
  </si>
  <si>
    <t>Tall pr. selskap - alle produkter</t>
  </si>
  <si>
    <t>Selskapsnavn</t>
  </si>
  <si>
    <t>Kursreguleringsfond</t>
  </si>
  <si>
    <t xml:space="preserve">   Etter tjenestepensjonsloven - Uførepensjon</t>
  </si>
  <si>
    <t xml:space="preserve">   Etter tjenestepensjonsloven - Alderspensjon</t>
  </si>
  <si>
    <t xml:space="preserve">  Etter tjenestepensjonsloven - Uførepensjon</t>
  </si>
  <si>
    <t xml:space="preserve">  Etter tjenestepensjonsloven - Alderspensjon</t>
  </si>
  <si>
    <t>Brutto forfalt premie tilsvarer post 1.1 i resultatregnskapet, jf. forskrift til årsregnskap for livsforsikringsfortak.</t>
  </si>
  <si>
    <t>Overførte reserver til andre tilsvarer post 5.2 i resultatregnskapet.</t>
  </si>
  <si>
    <r>
      <t xml:space="preserve">   Kommunal kollektiv pensjon </t>
    </r>
    <r>
      <rPr>
        <vertAlign val="superscript"/>
        <sz val="14"/>
        <rFont val="Times New Roman"/>
        <family val="1"/>
      </rPr>
      <t>15)</t>
    </r>
  </si>
  <si>
    <r>
      <t xml:space="preserve">Forsikringsforpliktelser </t>
    </r>
    <r>
      <rPr>
        <vertAlign val="superscript"/>
        <sz val="14"/>
        <rFont val="Times New Roman"/>
        <family val="1"/>
      </rPr>
      <t>4)</t>
    </r>
  </si>
  <si>
    <r>
      <t xml:space="preserve">Overførte reserver fra andre </t>
    </r>
    <r>
      <rPr>
        <vertAlign val="superscript"/>
        <sz val="14"/>
        <rFont val="Times New Roman"/>
        <family val="1"/>
      </rPr>
      <t>5)</t>
    </r>
  </si>
  <si>
    <r>
      <t xml:space="preserve">Flytting fra andre </t>
    </r>
    <r>
      <rPr>
        <vertAlign val="superscript"/>
        <sz val="14"/>
        <rFont val="Times New Roman"/>
        <family val="1"/>
      </rPr>
      <t>9)</t>
    </r>
  </si>
  <si>
    <r>
      <t xml:space="preserve">Overførte reserver til andre </t>
    </r>
    <r>
      <rPr>
        <vertAlign val="superscript"/>
        <sz val="14"/>
        <rFont val="Times New Roman"/>
        <family val="1"/>
      </rPr>
      <t>6)</t>
    </r>
  </si>
  <si>
    <r>
      <t xml:space="preserve">Flytting til andre </t>
    </r>
    <r>
      <rPr>
        <vertAlign val="superscript"/>
        <sz val="14"/>
        <rFont val="Times New Roman"/>
        <family val="1"/>
      </rPr>
      <t>9)</t>
    </r>
  </si>
  <si>
    <r>
      <t xml:space="preserve">Netto overførte reserver fra andre </t>
    </r>
    <r>
      <rPr>
        <b/>
        <vertAlign val="superscript"/>
        <sz val="14"/>
        <rFont val="Times New Roman"/>
        <family val="1"/>
      </rPr>
      <t>9)</t>
    </r>
  </si>
  <si>
    <r>
      <t xml:space="preserve">Netto flytting fra andre </t>
    </r>
    <r>
      <rPr>
        <vertAlign val="superscript"/>
        <sz val="14"/>
        <rFont val="Times New Roman"/>
        <family val="1"/>
      </rPr>
      <t>9)</t>
    </r>
  </si>
  <si>
    <t>Livrenter, IPA og IPS er individuelle pensjonsspareavtaler etter skattereglene (kun i årsstatistikken / 4.kvartal). IPS forsikring etablert før 1.11.2017 defineres som IPS forsikring 2008, etter lov om individuell pensjonsordning vedtatt i 2008. Nye ordningen for skattefavorisert individuell pensjonssparing fra 1. november 2017 defineres som IPS forsikring.</t>
  </si>
  <si>
    <t xml:space="preserve">    13.5 Andre tekniske avsetninger for skadeforsikringsvirksomheten</t>
  </si>
  <si>
    <t xml:space="preserve">    5.2 Overføring av premieres., tilleggsavsetn. til andre selskap/kasser</t>
  </si>
  <si>
    <t>Protector Forsikring</t>
  </si>
  <si>
    <r>
      <t xml:space="preserve">Forsikringsforpliktelser </t>
    </r>
    <r>
      <rPr>
        <b/>
        <vertAlign val="superscript"/>
        <sz val="10"/>
        <rFont val="Times New Roman"/>
        <family val="1"/>
      </rPr>
      <t>4</t>
    </r>
  </si>
  <si>
    <r>
      <t xml:space="preserve">Overførte reserver fra andre </t>
    </r>
    <r>
      <rPr>
        <b/>
        <vertAlign val="superscript"/>
        <sz val="10"/>
        <rFont val="Times New Roman"/>
        <family val="1"/>
      </rPr>
      <t>5</t>
    </r>
  </si>
  <si>
    <r>
      <t>Overførte reserver til andre</t>
    </r>
    <r>
      <rPr>
        <b/>
        <vertAlign val="superscript"/>
        <sz val="10"/>
        <rFont val="Times New Roman"/>
        <family val="1"/>
      </rPr>
      <t xml:space="preserve"> 6</t>
    </r>
  </si>
  <si>
    <r>
      <t xml:space="preserve">    Livrenter </t>
    </r>
    <r>
      <rPr>
        <vertAlign val="superscript"/>
        <sz val="10"/>
        <rFont val="Times New Roman"/>
        <family val="1"/>
      </rPr>
      <t>10</t>
    </r>
  </si>
  <si>
    <r>
      <t xml:space="preserve">    IPA </t>
    </r>
    <r>
      <rPr>
        <vertAlign val="superscript"/>
        <sz val="10"/>
        <rFont val="Times New Roman"/>
        <family val="1"/>
      </rPr>
      <t>10</t>
    </r>
  </si>
  <si>
    <r>
      <t xml:space="preserve">    IPS 2008 </t>
    </r>
    <r>
      <rPr>
        <vertAlign val="superscript"/>
        <sz val="10"/>
        <rFont val="Times New Roman"/>
        <family val="1"/>
      </rPr>
      <t>10</t>
    </r>
  </si>
  <si>
    <r>
      <t xml:space="preserve">    IPS </t>
    </r>
    <r>
      <rPr>
        <vertAlign val="superscript"/>
        <sz val="10"/>
        <rFont val="Times New Roman"/>
        <family val="1"/>
      </rPr>
      <t>10</t>
    </r>
  </si>
  <si>
    <r>
      <t xml:space="preserve">Forsikringsforpliktelser </t>
    </r>
    <r>
      <rPr>
        <b/>
        <vertAlign val="superscript"/>
        <sz val="10"/>
        <rFont val="Times New Roman"/>
        <family val="1"/>
      </rPr>
      <t>6</t>
    </r>
  </si>
  <si>
    <r>
      <t xml:space="preserve">Forsikringsforpliktelser  - Foreningskollektiv </t>
    </r>
    <r>
      <rPr>
        <b/>
        <vertAlign val="superscript"/>
        <sz val="10"/>
        <rFont val="Times New Roman"/>
        <family val="1"/>
      </rPr>
      <t>4</t>
    </r>
  </si>
  <si>
    <r>
      <t xml:space="preserve">Overførte reserver fra andre - Foreningskollektiv </t>
    </r>
    <r>
      <rPr>
        <b/>
        <vertAlign val="superscript"/>
        <sz val="10"/>
        <rFont val="Times New Roman"/>
        <family val="1"/>
      </rPr>
      <t>5</t>
    </r>
  </si>
  <si>
    <r>
      <t xml:space="preserve">Overførte reserver til andre - Foreningskollektiv </t>
    </r>
    <r>
      <rPr>
        <b/>
        <vertAlign val="superscript"/>
        <sz val="10"/>
        <rFont val="Times New Roman"/>
        <family val="1"/>
      </rPr>
      <t>6</t>
    </r>
  </si>
  <si>
    <r>
      <t xml:space="preserve">    Bedrift </t>
    </r>
    <r>
      <rPr>
        <vertAlign val="superscript"/>
        <sz val="10"/>
        <rFont val="Times New Roman"/>
        <family val="1"/>
      </rPr>
      <t>7</t>
    </r>
  </si>
  <si>
    <r>
      <t xml:space="preserve">    Privat </t>
    </r>
    <r>
      <rPr>
        <vertAlign val="superscript"/>
        <sz val="10"/>
        <rFont val="Times New Roman"/>
        <family val="1"/>
      </rPr>
      <t>8</t>
    </r>
  </si>
  <si>
    <r>
      <t xml:space="preserve">Flytting fra andre </t>
    </r>
    <r>
      <rPr>
        <b/>
        <vertAlign val="superscript"/>
        <sz val="10"/>
        <rFont val="Times New Roman"/>
        <family val="1"/>
      </rPr>
      <t>9</t>
    </r>
  </si>
  <si>
    <r>
      <t xml:space="preserve">Flytting til andre </t>
    </r>
    <r>
      <rPr>
        <b/>
        <vertAlign val="superscript"/>
        <sz val="10"/>
        <rFont val="Times New Roman"/>
        <family val="1"/>
      </rPr>
      <t>9</t>
    </r>
  </si>
  <si>
    <r>
      <t xml:space="preserve">      Engangsbetalt </t>
    </r>
    <r>
      <rPr>
        <vertAlign val="superscript"/>
        <sz val="10"/>
        <rFont val="Times New Roman"/>
        <family val="1"/>
      </rPr>
      <t>11</t>
    </r>
  </si>
  <si>
    <r>
      <t xml:space="preserve">      Innskuddspensjon </t>
    </r>
    <r>
      <rPr>
        <vertAlign val="superscript"/>
        <sz val="10"/>
        <rFont val="Times New Roman"/>
        <family val="1"/>
      </rPr>
      <t>12</t>
    </r>
  </si>
  <si>
    <r>
      <t xml:space="preserve">  Innenfor LOF/LOI </t>
    </r>
    <r>
      <rPr>
        <vertAlign val="superscript"/>
        <sz val="10"/>
        <rFont val="Times New Roman"/>
        <family val="1"/>
      </rPr>
      <t>13</t>
    </r>
  </si>
  <si>
    <r>
      <t xml:space="preserve">  Utenfor LOF/LOI - Livrenter </t>
    </r>
    <r>
      <rPr>
        <vertAlign val="superscript"/>
        <sz val="10"/>
        <rFont val="Times New Roman"/>
        <family val="1"/>
      </rPr>
      <t>13,17</t>
    </r>
  </si>
  <si>
    <r>
      <t xml:space="preserve">  Herav fripoliser </t>
    </r>
    <r>
      <rPr>
        <vertAlign val="superscript"/>
        <sz val="10"/>
        <rFont val="Times New Roman"/>
        <family val="1"/>
      </rPr>
      <t>14,16</t>
    </r>
  </si>
  <si>
    <r>
      <t xml:space="preserve">  Herav pensjonskapitalbevis </t>
    </r>
    <r>
      <rPr>
        <vertAlign val="superscript"/>
        <sz val="10"/>
        <rFont val="Times New Roman"/>
        <family val="1"/>
      </rPr>
      <t>14</t>
    </r>
  </si>
  <si>
    <r>
      <t xml:space="preserve">  Herav pensjonsbevis</t>
    </r>
    <r>
      <rPr>
        <vertAlign val="superscript"/>
        <sz val="10"/>
        <rFont val="Times New Roman"/>
        <family val="1"/>
      </rPr>
      <t>14</t>
    </r>
  </si>
  <si>
    <r>
      <t xml:space="preserve">   Herav fripoliser </t>
    </r>
    <r>
      <rPr>
        <vertAlign val="superscript"/>
        <sz val="10"/>
        <rFont val="Times New Roman"/>
        <family val="1"/>
      </rPr>
      <t>14,16</t>
    </r>
  </si>
  <si>
    <r>
      <t xml:space="preserve">   Herav pensjonskapitalbevis </t>
    </r>
    <r>
      <rPr>
        <vertAlign val="superscript"/>
        <sz val="10"/>
        <rFont val="Times New Roman"/>
        <family val="1"/>
      </rPr>
      <t>14</t>
    </r>
  </si>
  <si>
    <r>
      <t xml:space="preserve">Brutto forfalt premie </t>
    </r>
    <r>
      <rPr>
        <b/>
        <vertAlign val="superscript"/>
        <sz val="10"/>
        <rFont val="Times New Roman"/>
        <family val="1"/>
      </rPr>
      <t>1, 15</t>
    </r>
  </si>
  <si>
    <r>
      <t xml:space="preserve">Forsikringsforpliktelser </t>
    </r>
    <r>
      <rPr>
        <b/>
        <vertAlign val="superscript"/>
        <sz val="10"/>
        <rFont val="Times New Roman"/>
        <family val="1"/>
      </rPr>
      <t>4, 15</t>
    </r>
  </si>
  <si>
    <r>
      <t xml:space="preserve">Overførte reserver fra andre </t>
    </r>
    <r>
      <rPr>
        <b/>
        <vertAlign val="superscript"/>
        <sz val="10"/>
        <rFont val="Times New Roman"/>
        <family val="1"/>
      </rPr>
      <t>5, 15</t>
    </r>
  </si>
  <si>
    <r>
      <t>Overførte reserver til andre</t>
    </r>
    <r>
      <rPr>
        <b/>
        <vertAlign val="superscript"/>
        <sz val="10"/>
        <rFont val="Times New Roman"/>
        <family val="1"/>
      </rPr>
      <t xml:space="preserve"> 6, 15</t>
    </r>
  </si>
  <si>
    <r>
      <t xml:space="preserve">  Herav fripoliser </t>
    </r>
    <r>
      <rPr>
        <vertAlign val="superscript"/>
        <sz val="10"/>
        <rFont val="Times New Roman"/>
        <family val="1"/>
      </rPr>
      <t>14</t>
    </r>
  </si>
  <si>
    <r>
      <t xml:space="preserve">Forsikringsforpliktelser </t>
    </r>
    <r>
      <rPr>
        <b/>
        <vertAlign val="superscript"/>
        <sz val="10"/>
        <rFont val="Times New Roman"/>
        <family val="1"/>
      </rPr>
      <t>5, 15</t>
    </r>
  </si>
  <si>
    <r>
      <t>Forsikringsforpliktelser</t>
    </r>
    <r>
      <rPr>
        <sz val="14"/>
        <rFont val="Times New Roman"/>
        <family val="1"/>
      </rPr>
      <t xml:space="preserve"> </t>
    </r>
    <r>
      <rPr>
        <vertAlign val="superscript"/>
        <sz val="14"/>
        <rFont val="Times New Roman"/>
        <family val="1"/>
      </rPr>
      <t>4)</t>
    </r>
  </si>
  <si>
    <t>Protector Fors</t>
  </si>
  <si>
    <t xml:space="preserve">    13.1 Premiereserve mv.</t>
  </si>
  <si>
    <t xml:space="preserve">    13.4 Premiefond, innskuddsfond og fond for regulering av pensjoner mv.</t>
  </si>
  <si>
    <t xml:space="preserve">    14.1 Premiekapital mv.</t>
  </si>
  <si>
    <t xml:space="preserve">    14.2 Tilleggsavsetninger</t>
  </si>
  <si>
    <t xml:space="preserve">    14.3 Premiefond, innskuddsfond og fond for regulering av pensjoner mv.</t>
  </si>
  <si>
    <t>Fremtind Livsforsikring</t>
  </si>
  <si>
    <t>WaterCircle Forsikring</t>
  </si>
  <si>
    <t>Fremtind</t>
  </si>
  <si>
    <t>Fremtind Livsfors</t>
  </si>
  <si>
    <t>Landkreditt Fors.</t>
  </si>
  <si>
    <t>Insr</t>
  </si>
  <si>
    <t>Avkastningstall (%)</t>
  </si>
  <si>
    <r>
      <t>Kapitalavkastning I hittil i år</t>
    </r>
    <r>
      <rPr>
        <vertAlign val="superscript"/>
        <sz val="14"/>
        <rFont val="Times New Roman"/>
        <family val="1"/>
      </rPr>
      <t xml:space="preserve"> </t>
    </r>
  </si>
  <si>
    <t>Kapitalavkastning II hittil i år</t>
  </si>
  <si>
    <r>
      <t xml:space="preserve">Soliditetskapital </t>
    </r>
    <r>
      <rPr>
        <sz val="14"/>
        <rFont val="Times New Roman"/>
        <family val="1"/>
      </rPr>
      <t>(%)</t>
    </r>
  </si>
  <si>
    <t>Mer/mindre-verdier</t>
  </si>
  <si>
    <t>Landkreditt Forsikring</t>
  </si>
  <si>
    <t>WaterCircles Fors.</t>
  </si>
  <si>
    <t>WaterCicles Fors.</t>
  </si>
  <si>
    <t>DNB Bedriftspensjon</t>
  </si>
  <si>
    <t>WaterCircles Forsikring</t>
  </si>
  <si>
    <t>DNB Bedriftsp</t>
  </si>
  <si>
    <t>Landkreditt Fors</t>
  </si>
  <si>
    <t>Codan Forsikring</t>
  </si>
  <si>
    <t>Euro Accident</t>
  </si>
  <si>
    <t xml:space="preserve">   Innskuddsbasert (inkl. EPK)</t>
  </si>
  <si>
    <r>
      <t xml:space="preserve">   Innskuddsbasert (inkl. EPK)</t>
    </r>
    <r>
      <rPr>
        <vertAlign val="superscript"/>
        <sz val="10"/>
        <rFont val="Times New Roman"/>
        <family val="1"/>
      </rPr>
      <t>18)</t>
    </r>
  </si>
  <si>
    <r>
      <t xml:space="preserve">      Herav EPK med selvvalgt leverandør</t>
    </r>
    <r>
      <rPr>
        <vertAlign val="superscript"/>
        <sz val="10"/>
        <rFont val="Times New Roman"/>
        <family val="1"/>
      </rPr>
      <t>19)</t>
    </r>
  </si>
  <si>
    <r>
      <t xml:space="preserve">       Herav EPK med selvvalgt leverandør</t>
    </r>
    <r>
      <rPr>
        <vertAlign val="superscript"/>
        <sz val="10"/>
        <rFont val="Times New Roman"/>
        <family val="1"/>
      </rPr>
      <t>19)</t>
    </r>
  </si>
  <si>
    <t>Figur 1  Brutto forfalt premie livprodukter  -  produkter uten investeringsvalg pr. 31.03.</t>
  </si>
  <si>
    <t>Figur 2  Brutto forfalt premie livprodukter  -  produkter med investeringsvalg pr. 31.03.</t>
  </si>
  <si>
    <t>Figur 3  Forsikringsforpliktelser i livsforsikring  -  produkter uten investeringsvalg pr. 31.03.</t>
  </si>
  <si>
    <t>Figur 4  Forsikringsforpliktelser i livsforsikring -  produkter med investeringsvalg pr. 31.03.</t>
  </si>
  <si>
    <t>Figur 5  Netto tilflytting livprodukter  -  produkter uten investeringsvalg pr. 31.03.</t>
  </si>
  <si>
    <t>Figur 6  Netto tilflytting livprodukter  -  produkter med investeringsvalg pr. 31.03.</t>
  </si>
  <si>
    <t>Bedriftspensjon</t>
  </si>
  <si>
    <t>31.3.</t>
  </si>
  <si>
    <t>Bedriftspensjon AS</t>
  </si>
  <si>
    <r>
      <t>norske livselskaper</t>
    </r>
    <r>
      <rPr>
        <b/>
        <vertAlign val="superscript"/>
        <sz val="14"/>
        <rFont val="Times New Roman"/>
        <family val="1"/>
      </rPr>
      <t xml:space="preserve"> </t>
    </r>
  </si>
  <si>
    <t>31.3.2020</t>
  </si>
  <si>
    <t>31.3.2021</t>
  </si>
  <si>
    <t>31.03.</t>
  </si>
  <si>
    <t xml:space="preserve">     - herav hybridpensjon</t>
  </si>
  <si>
    <r>
      <t xml:space="preserve">  Herav pensjonskapitalbevis </t>
    </r>
    <r>
      <rPr>
        <vertAlign val="superscript"/>
        <sz val="10"/>
        <rFont val="Times New Roman"/>
        <family val="1"/>
      </rPr>
      <t xml:space="preserve">14) </t>
    </r>
    <r>
      <rPr>
        <sz val="10"/>
        <rFont val="Times New Roman"/>
        <family val="1"/>
      </rPr>
      <t xml:space="preserve"> inkl. i EPK</t>
    </r>
    <r>
      <rPr>
        <vertAlign val="superscript"/>
        <sz val="10"/>
        <rFont val="Times New Roman"/>
        <family val="1"/>
      </rPr>
      <t>18)</t>
    </r>
  </si>
  <si>
    <t>Forsikringsforpliktelser fra pensjonskapitalbevis både innenfor og utenfor EPK</t>
  </si>
  <si>
    <r>
      <t xml:space="preserve">  Herav pensjonskapitalbevis </t>
    </r>
    <r>
      <rPr>
        <vertAlign val="superscript"/>
        <sz val="10"/>
        <rFont val="Times New Roman"/>
        <family val="1"/>
      </rPr>
      <t>14)</t>
    </r>
    <r>
      <rPr>
        <sz val="10"/>
        <rFont val="Times New Roman"/>
        <family val="1"/>
      </rPr>
      <t xml:space="preserve"> - inkl. i EPK</t>
    </r>
    <r>
      <rPr>
        <vertAlign val="superscript"/>
        <sz val="10"/>
        <rFont val="Times New Roman"/>
        <family val="1"/>
      </rPr>
      <t>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</si>
</sst>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 #,##0.00_ ;_ * \-#,##0.00_ ;_ * &quot;-&quot;??_ ;_ @_ "/>
    <numFmt numFmtId="165" formatCode="#,##0.0"/>
    <numFmt numFmtId="166" formatCode="_ * #,##0_ ;_ * \-#,##0_ ;_ * &quot;-&quot;??_ ;_ @_ "/>
    <numFmt numFmtId="167" formatCode="dd/mm/yy;@"/>
    <numFmt numFmtId="168" formatCode="0;\-0;;@"/>
    <numFmt numFmtId="169" formatCode="0.0"/>
    <numFmt numFmtId="170" formatCode="#,##0_ ;\-#,##0\ "/>
    <numFmt numFmtId="171" formatCode="_ * #,##0_ ;_ * \-#,##0_ ;_ * &quot;&quot;??_ ;_ @_ "/>
    <numFmt numFmtId="172" formatCode="_ * #,##0.0_ ;_ * \-#,##0.0_ ;_ * &quot;&quot;??_ ;_ @_ "/>
    <numFmt numFmtId="173" formatCode="#,##0.000"/>
  </numFmts>
  <fonts count="7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Times New Roman"/>
      <family val="1"/>
    </font>
    <font>
      <sz val="12"/>
      <name val="Times New Roman"/>
      <family val="1"/>
    </font>
    <font>
      <b/>
      <sz val="10"/>
      <name val="Times New Roman"/>
      <family val="1"/>
    </font>
    <font>
      <b/>
      <sz val="9"/>
      <name val="Times New Roman"/>
      <family val="1"/>
    </font>
    <font>
      <sz val="10"/>
      <name val="Times New Roman"/>
      <family val="1"/>
    </font>
    <font>
      <sz val="10"/>
      <color rgb="FFFF0000"/>
      <name val="Times New Roman"/>
      <family val="1"/>
    </font>
    <font>
      <sz val="10"/>
      <name val="Arial"/>
      <family val="2"/>
    </font>
    <font>
      <b/>
      <vertAlign val="superscript"/>
      <sz val="10"/>
      <name val="Times New Roman"/>
      <family val="1"/>
    </font>
    <font>
      <sz val="12"/>
      <color rgb="FFFF0000"/>
      <name val="Times New Roman"/>
      <family val="1"/>
    </font>
    <font>
      <sz val="10"/>
      <color theme="1"/>
      <name val="Times New Roman"/>
      <family val="1"/>
    </font>
    <font>
      <i/>
      <sz val="10"/>
      <name val="Times New Roman"/>
      <family val="1"/>
    </font>
    <font>
      <vertAlign val="superscript"/>
      <sz val="10"/>
      <name val="Times New Roman"/>
      <family val="1"/>
    </font>
    <font>
      <sz val="10"/>
      <name val="Arial"/>
      <family val="2"/>
    </font>
    <font>
      <sz val="10"/>
      <color indexed="23"/>
      <name val="Arial"/>
      <family val="2"/>
    </font>
    <font>
      <sz val="18"/>
      <color indexed="23"/>
      <name val="Times New Roman"/>
      <family val="1"/>
    </font>
    <font>
      <b/>
      <sz val="28"/>
      <color rgb="FF3B6E8F"/>
      <name val="Cambria"/>
      <family val="1"/>
      <scheme val="major"/>
    </font>
    <font>
      <b/>
      <sz val="26"/>
      <color rgb="FF3B6E8F"/>
      <name val="Cambria"/>
      <family val="1"/>
      <scheme val="major"/>
    </font>
    <font>
      <sz val="14"/>
      <name val="Times New Roman"/>
      <family val="1"/>
    </font>
    <font>
      <sz val="12"/>
      <name val="Arial"/>
      <family val="2"/>
    </font>
    <font>
      <sz val="20"/>
      <color theme="1"/>
      <name val="Calibri"/>
      <family val="2"/>
      <scheme val="minor"/>
    </font>
    <font>
      <sz val="14"/>
      <color theme="1"/>
      <name val="Calibri"/>
      <family val="2"/>
      <scheme val="minor"/>
    </font>
    <font>
      <b/>
      <sz val="28"/>
      <color rgb="FF54758C"/>
      <name val="Arial"/>
      <family val="2"/>
    </font>
    <font>
      <sz val="26"/>
      <color rgb="FF54758C"/>
      <name val="Arial"/>
      <family val="2"/>
    </font>
    <font>
      <sz val="14"/>
      <name val="Arial"/>
      <family val="2"/>
    </font>
    <font>
      <sz val="14"/>
      <color indexed="23"/>
      <name val="Times New Roman"/>
      <family val="1"/>
    </font>
    <font>
      <sz val="20"/>
      <name val="Arial"/>
      <family val="2"/>
    </font>
    <font>
      <sz val="18"/>
      <name val="Times New Roman"/>
      <family val="1"/>
    </font>
    <font>
      <sz val="18"/>
      <name val="Arial"/>
      <family val="2"/>
    </font>
    <font>
      <b/>
      <sz val="16"/>
      <name val="Times New Roman"/>
      <family val="1"/>
    </font>
    <font>
      <sz val="16"/>
      <name val="Times New Roman"/>
      <family val="1"/>
    </font>
    <font>
      <u/>
      <sz val="10"/>
      <color indexed="12"/>
      <name val="Arial"/>
      <family val="2"/>
    </font>
    <font>
      <sz val="20"/>
      <name val="Times New Roman"/>
      <family val="1"/>
    </font>
    <font>
      <b/>
      <sz val="14"/>
      <name val="Times New Roman"/>
      <family val="1"/>
    </font>
    <font>
      <sz val="14"/>
      <color rgb="FFFF0000"/>
      <name val="Times New Roman"/>
      <family val="1"/>
    </font>
    <font>
      <vertAlign val="superscript"/>
      <sz val="14"/>
      <name val="Times New Roman"/>
      <family val="1"/>
    </font>
    <font>
      <b/>
      <i/>
      <sz val="12"/>
      <color indexed="63"/>
      <name val="Times New Roman"/>
      <family val="1"/>
    </font>
    <font>
      <b/>
      <sz val="10"/>
      <name val="Arial"/>
      <family val="2"/>
    </font>
    <font>
      <b/>
      <i/>
      <sz val="12"/>
      <name val="Times New Roman"/>
      <family val="1"/>
    </font>
    <font>
      <sz val="14"/>
      <color theme="1"/>
      <name val="Times New Roman"/>
      <family val="1"/>
    </font>
    <font>
      <sz val="14"/>
      <color rgb="FFFF0000"/>
      <name val="Arial"/>
      <family val="2"/>
    </font>
    <font>
      <b/>
      <sz val="14"/>
      <name val="Arial"/>
      <family val="2"/>
    </font>
    <font>
      <b/>
      <vertAlign val="superscript"/>
      <sz val="14"/>
      <name val="Times New Roman"/>
      <family val="1"/>
    </font>
    <font>
      <sz val="11"/>
      <name val="Calibri"/>
      <family val="2"/>
      <scheme val="minor"/>
    </font>
    <font>
      <b/>
      <sz val="10"/>
      <color rgb="FFFF0000"/>
      <name val="Times New Roman"/>
      <family val="1"/>
    </font>
    <font>
      <b/>
      <sz val="16"/>
      <color indexed="10"/>
      <name val="Times New Roman"/>
      <family val="1"/>
    </font>
    <font>
      <b/>
      <sz val="14"/>
      <color indexed="8"/>
      <name val="Times New Roman"/>
      <family val="1"/>
    </font>
    <font>
      <b/>
      <sz val="10"/>
      <color indexed="8"/>
      <name val="Times New Roman"/>
      <family val="1"/>
    </font>
    <font>
      <b/>
      <sz val="14"/>
      <color indexed="63"/>
      <name val="Times New Roman"/>
      <family val="1"/>
    </font>
    <font>
      <sz val="14"/>
      <color indexed="10"/>
      <name val="Times New Roman"/>
      <family val="1"/>
    </font>
    <font>
      <b/>
      <sz val="14"/>
      <color indexed="10"/>
      <name val="Times New Roman"/>
      <family val="1"/>
    </font>
    <font>
      <sz val="12"/>
      <color indexed="10"/>
      <name val="Times New Roman"/>
      <family val="1"/>
    </font>
    <font>
      <sz val="20"/>
      <color rgb="FFFF0000"/>
      <name val="Times New Roman"/>
      <family val="1"/>
    </font>
    <font>
      <sz val="20"/>
      <color rgb="FFFF0000"/>
      <name val="Arial"/>
      <family val="2"/>
    </font>
    <font>
      <sz val="16"/>
      <color theme="1"/>
      <name val="Times New Roman"/>
      <family val="1"/>
    </font>
    <font>
      <b/>
      <sz val="10"/>
      <color theme="1"/>
      <name val="Times New Roman"/>
      <family val="1"/>
    </font>
    <font>
      <sz val="12"/>
      <color theme="1"/>
      <name val="Times New Roman"/>
      <family val="1"/>
    </font>
    <font>
      <b/>
      <sz val="14"/>
      <color rgb="FFFF0000"/>
      <name val="Times New Roman"/>
      <family val="1"/>
    </font>
    <font>
      <u/>
      <sz val="12"/>
      <name val="Times New Roman"/>
      <family val="1"/>
    </font>
    <font>
      <b/>
      <sz val="12"/>
      <color rgb="FFFF0000"/>
      <name val="Times New Roman"/>
      <family val="1"/>
    </font>
    <font>
      <sz val="10"/>
      <color theme="0"/>
      <name val="Times New Roman"/>
      <family val="1"/>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rgb="FFFFFFCC"/>
      </patternFill>
    </fill>
    <fill>
      <patternFill patternType="solid">
        <fgColor theme="7" tint="0.59999389629810485"/>
        <bgColor indexed="65"/>
      </patternFill>
    </fill>
    <fill>
      <patternFill patternType="solid">
        <fgColor theme="5" tint="0.79998168889431442"/>
        <bgColor indexed="65"/>
      </patternFill>
    </fill>
    <fill>
      <patternFill patternType="solid">
        <fgColor rgb="FFFFFF00"/>
        <bgColor indexed="64"/>
      </patternFill>
    </fill>
    <fill>
      <patternFill patternType="solid">
        <fgColor indexed="9"/>
        <bgColor indexed="9"/>
      </patternFill>
    </fill>
    <fill>
      <patternFill patternType="solid">
        <fgColor theme="0"/>
        <bgColor indexed="64"/>
      </patternFill>
    </fill>
  </fills>
  <borders count="17">
    <border>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s>
  <cellStyleXfs count="851">
    <xf numFmtId="0" fontId="0" fillId="0" borderId="0"/>
    <xf numFmtId="0" fontId="20" fillId="0" borderId="0"/>
    <xf numFmtId="164" fontId="26" fillId="0" borderId="0" applyFont="0" applyFill="0" applyBorder="0" applyAlignment="0" applyProtection="0"/>
    <xf numFmtId="0" fontId="44" fillId="0" borderId="0" applyNumberFormat="0" applyFill="0" applyBorder="0" applyAlignment="0" applyProtection="0">
      <alignment vertical="top"/>
      <protection locked="0"/>
    </xf>
    <xf numFmtId="0" fontId="13" fillId="0" borderId="0"/>
    <xf numFmtId="0" fontId="20" fillId="0" borderId="0"/>
    <xf numFmtId="0" fontId="12" fillId="0" borderId="0"/>
    <xf numFmtId="0" fontId="20" fillId="0" borderId="0"/>
    <xf numFmtId="0" fontId="11" fillId="0" borderId="0"/>
    <xf numFmtId="0" fontId="20" fillId="0" borderId="0"/>
    <xf numFmtId="0" fontId="26" fillId="0" borderId="0"/>
    <xf numFmtId="0" fontId="11" fillId="0" borderId="0"/>
    <xf numFmtId="0" fontId="20"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 fillId="0" borderId="0" applyFont="0" applyFill="0" applyBorder="0" applyAlignment="0" applyProtection="0"/>
    <xf numFmtId="164" fontId="20" fillId="0" borderId="0" applyFont="0" applyFill="0" applyBorder="0" applyAlignment="0" applyProtection="0"/>
    <xf numFmtId="0" fontId="11" fillId="0" borderId="0"/>
    <xf numFmtId="0" fontId="20" fillId="0" borderId="0"/>
    <xf numFmtId="0" fontId="20" fillId="0" borderId="0"/>
    <xf numFmtId="164" fontId="20"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20"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6" borderId="0" applyNumberFormat="0" applyBorder="0" applyAlignment="0" applyProtection="0"/>
    <xf numFmtId="0" fontId="20" fillId="0" borderId="0"/>
    <xf numFmtId="164" fontId="20"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20"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20" fillId="0" borderId="0"/>
    <xf numFmtId="164" fontId="20"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6" borderId="0" applyNumberFormat="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20" fillId="5" borderId="16" applyNumberFormat="0" applyFont="0" applyAlignment="0" applyProtection="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164" fontId="26" fillId="0" borderId="0" applyFont="0" applyFill="0" applyBorder="0" applyAlignment="0" applyProtection="0"/>
    <xf numFmtId="0" fontId="11" fillId="0" borderId="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6"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6"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3" fillId="0" borderId="0"/>
    <xf numFmtId="0" fontId="3"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3" fillId="0" borderId="0" applyFont="0" applyFill="0" applyBorder="0" applyAlignment="0" applyProtection="0"/>
    <xf numFmtId="164" fontId="20" fillId="0" borderId="0" applyFont="0" applyFill="0" applyBorder="0" applyAlignment="0" applyProtection="0"/>
    <xf numFmtId="0" fontId="3" fillId="0" borderId="0"/>
    <xf numFmtId="164" fontId="20"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6" borderId="0" applyNumberFormat="0" applyBorder="0" applyAlignment="0" applyProtection="0"/>
    <xf numFmtId="164" fontId="20"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20"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6"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2" fillId="7" borderId="0" applyNumberFormat="0" applyBorder="0" applyAlignment="0" applyProtection="0"/>
    <xf numFmtId="0" fontId="15" fillId="0" borderId="0"/>
    <xf numFmtId="171" fontId="16" fillId="0" borderId="7" applyFont="0" applyFill="0" applyBorder="0" applyAlignment="0" applyProtection="0">
      <alignment horizontal="right"/>
    </xf>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cellStyleXfs>
  <cellXfs count="739">
    <xf numFmtId="0" fontId="0" fillId="0" borderId="0" xfId="0"/>
    <xf numFmtId="0" fontId="18" fillId="0" borderId="0" xfId="1" applyFont="1"/>
    <xf numFmtId="0" fontId="24" fillId="0" borderId="0" xfId="1" applyFont="1"/>
    <xf numFmtId="0" fontId="18" fillId="0" borderId="0" xfId="1" applyFont="1" applyFill="1"/>
    <xf numFmtId="0" fontId="18" fillId="0" borderId="0" xfId="1" applyFont="1" applyBorder="1"/>
    <xf numFmtId="49" fontId="18" fillId="0" borderId="0" xfId="1" applyNumberFormat="1" applyFont="1" applyFill="1" applyBorder="1" applyAlignment="1">
      <alignment horizontal="center"/>
    </xf>
    <xf numFmtId="165" fontId="18" fillId="0" borderId="0" xfId="1" applyNumberFormat="1" applyFont="1" applyFill="1" applyBorder="1"/>
    <xf numFmtId="0" fontId="18" fillId="0" borderId="0" xfId="1" applyFont="1" applyFill="1" applyBorder="1"/>
    <xf numFmtId="0" fontId="18" fillId="0" borderId="0" xfId="1" applyFont="1" applyFill="1" applyAlignment="1">
      <alignment horizontal="left"/>
    </xf>
    <xf numFmtId="165" fontId="16" fillId="3" borderId="5" xfId="1" applyNumberFormat="1" applyFont="1" applyFill="1" applyBorder="1" applyAlignment="1">
      <alignment horizontal="right"/>
    </xf>
    <xf numFmtId="0" fontId="18" fillId="0" borderId="6" xfId="1" applyFont="1" applyBorder="1"/>
    <xf numFmtId="165" fontId="16" fillId="3" borderId="2" xfId="1" applyNumberFormat="1" applyFont="1" applyFill="1" applyBorder="1" applyAlignment="1">
      <alignment horizontal="right"/>
    </xf>
    <xf numFmtId="0" fontId="16" fillId="0" borderId="4" xfId="1" applyFont="1" applyBorder="1"/>
    <xf numFmtId="0" fontId="16" fillId="0" borderId="3" xfId="1" applyFont="1" applyBorder="1"/>
    <xf numFmtId="0" fontId="16" fillId="0" borderId="7" xfId="1" applyFont="1" applyBorder="1"/>
    <xf numFmtId="0" fontId="16" fillId="0" borderId="6" xfId="1" applyFont="1" applyBorder="1" applyAlignment="1">
      <alignment horizontal="center"/>
    </xf>
    <xf numFmtId="0" fontId="16" fillId="0" borderId="11" xfId="1" applyFont="1" applyBorder="1" applyAlignment="1">
      <alignment horizontal="center"/>
    </xf>
    <xf numFmtId="0" fontId="16" fillId="0" borderId="5" xfId="1" applyFont="1" applyBorder="1" applyAlignment="1">
      <alignment horizontal="center"/>
    </xf>
    <xf numFmtId="0" fontId="16" fillId="0" borderId="11" xfId="1" applyFont="1" applyBorder="1"/>
    <xf numFmtId="0" fontId="16" fillId="0" borderId="7" xfId="1" applyFont="1" applyBorder="1" applyAlignment="1">
      <alignment horizontal="center"/>
    </xf>
    <xf numFmtId="14" fontId="17" fillId="0" borderId="4" xfId="1" applyNumberFormat="1" applyFont="1" applyBorder="1" applyAlignment="1">
      <alignment horizontal="center"/>
    </xf>
    <xf numFmtId="0" fontId="18" fillId="0" borderId="3" xfId="1" applyFont="1" applyBorder="1"/>
    <xf numFmtId="165" fontId="18" fillId="3" borderId="6" xfId="1" applyNumberFormat="1" applyFont="1" applyFill="1" applyBorder="1" applyAlignment="1">
      <alignment horizontal="right"/>
    </xf>
    <xf numFmtId="165" fontId="18" fillId="3" borderId="3" xfId="1" applyNumberFormat="1" applyFont="1" applyFill="1" applyBorder="1" applyAlignment="1">
      <alignment horizontal="right"/>
    </xf>
    <xf numFmtId="165" fontId="16" fillId="3" borderId="3" xfId="1" applyNumberFormat="1" applyFont="1" applyFill="1" applyBorder="1" applyAlignment="1">
      <alignment horizontal="right"/>
    </xf>
    <xf numFmtId="165" fontId="18" fillId="0" borderId="0" xfId="1" applyNumberFormat="1" applyFont="1" applyBorder="1"/>
    <xf numFmtId="3" fontId="18" fillId="0" borderId="0" xfId="1" applyNumberFormat="1" applyFont="1" applyBorder="1"/>
    <xf numFmtId="165" fontId="18" fillId="3" borderId="2" xfId="1" applyNumberFormat="1" applyFont="1" applyFill="1" applyBorder="1" applyAlignment="1">
      <alignment horizontal="right"/>
    </xf>
    <xf numFmtId="0" fontId="15" fillId="0" borderId="0" xfId="1" applyFont="1"/>
    <xf numFmtId="0" fontId="22" fillId="0" borderId="0" xfId="1" applyFont="1"/>
    <xf numFmtId="0" fontId="15" fillId="0" borderId="0" xfId="1" applyFont="1" applyFill="1"/>
    <xf numFmtId="0" fontId="15" fillId="0" borderId="0" xfId="1" applyFont="1" applyFill="1" applyBorder="1"/>
    <xf numFmtId="165" fontId="16" fillId="0" borderId="0" xfId="1" applyNumberFormat="1" applyFont="1" applyFill="1" applyBorder="1" applyAlignment="1">
      <alignment horizontal="right"/>
    </xf>
    <xf numFmtId="3" fontId="18" fillId="0" borderId="0" xfId="1" applyNumberFormat="1" applyFont="1" applyFill="1" applyBorder="1" applyAlignment="1">
      <alignment horizontal="center"/>
    </xf>
    <xf numFmtId="165" fontId="18" fillId="0" borderId="0" xfId="1" applyNumberFormat="1" applyFont="1" applyFill="1" applyBorder="1" applyAlignment="1">
      <alignment horizontal="right"/>
    </xf>
    <xf numFmtId="49" fontId="18" fillId="0" borderId="0" xfId="1" applyNumberFormat="1" applyFont="1" applyFill="1" applyBorder="1" applyAlignment="1">
      <alignment horizontal="right"/>
    </xf>
    <xf numFmtId="165" fontId="16" fillId="3" borderId="6" xfId="1" applyNumberFormat="1" applyFont="1" applyFill="1" applyBorder="1" applyAlignment="1">
      <alignment horizontal="right"/>
    </xf>
    <xf numFmtId="3" fontId="18" fillId="0" borderId="0" xfId="1" quotePrefix="1" applyNumberFormat="1" applyFont="1" applyFill="1" applyBorder="1" applyAlignment="1">
      <alignment horizontal="center"/>
    </xf>
    <xf numFmtId="0" fontId="18" fillId="0" borderId="3" xfId="1" applyFont="1" applyFill="1" applyBorder="1"/>
    <xf numFmtId="0" fontId="16" fillId="0" borderId="3" xfId="1" applyFont="1" applyFill="1" applyBorder="1"/>
    <xf numFmtId="0" fontId="16" fillId="0" borderId="0" xfId="1" applyFont="1" applyFill="1" applyBorder="1" applyAlignment="1">
      <alignment horizontal="center"/>
    </xf>
    <xf numFmtId="0" fontId="16" fillId="0" borderId="6" xfId="1" applyFont="1" applyBorder="1"/>
    <xf numFmtId="14" fontId="17" fillId="0" borderId="0" xfId="1" applyNumberFormat="1" applyFont="1" applyFill="1" applyBorder="1" applyAlignment="1">
      <alignment horizontal="center"/>
    </xf>
    <xf numFmtId="0" fontId="16" fillId="0" borderId="0" xfId="1" applyFont="1"/>
    <xf numFmtId="3" fontId="18" fillId="0" borderId="3" xfId="1" applyNumberFormat="1" applyFont="1" applyFill="1" applyBorder="1" applyAlignment="1">
      <alignment horizontal="right"/>
    </xf>
    <xf numFmtId="3" fontId="18" fillId="0" borderId="6" xfId="1" applyNumberFormat="1" applyFont="1" applyFill="1" applyBorder="1" applyAlignment="1">
      <alignment horizontal="right"/>
    </xf>
    <xf numFmtId="0" fontId="18" fillId="0" borderId="6" xfId="1" applyFont="1" applyFill="1" applyBorder="1"/>
    <xf numFmtId="0" fontId="16" fillId="0" borderId="0" xfId="1" applyFont="1" applyBorder="1"/>
    <xf numFmtId="3" fontId="19" fillId="0" borderId="0" xfId="1" applyNumberFormat="1" applyFont="1" applyFill="1" applyBorder="1" applyAlignment="1">
      <alignment horizontal="right"/>
    </xf>
    <xf numFmtId="0" fontId="18" fillId="0" borderId="4" xfId="1" applyFont="1" applyFill="1" applyBorder="1"/>
    <xf numFmtId="0" fontId="18" fillId="0" borderId="0" xfId="1" applyFont="1" applyFill="1" applyAlignment="1">
      <alignment horizontal="right"/>
    </xf>
    <xf numFmtId="0" fontId="20" fillId="0" borderId="0" xfId="1"/>
    <xf numFmtId="0" fontId="27" fillId="0" borderId="0" xfId="1" applyFont="1"/>
    <xf numFmtId="0" fontId="0" fillId="0" borderId="0" xfId="1" applyFont="1"/>
    <xf numFmtId="0" fontId="28" fillId="0" borderId="0" xfId="1" applyFont="1" applyAlignment="1">
      <alignment horizontal="right"/>
    </xf>
    <xf numFmtId="0" fontId="29" fillId="0" borderId="0" xfId="1" applyFont="1" applyAlignment="1">
      <alignment horizontal="left"/>
    </xf>
    <xf numFmtId="0" fontId="30" fillId="0" borderId="0" xfId="1" applyFont="1" applyAlignment="1">
      <alignment horizontal="left"/>
    </xf>
    <xf numFmtId="0" fontId="31" fillId="0" borderId="0" xfId="1" applyFont="1" applyAlignment="1">
      <alignment horizontal="left"/>
    </xf>
    <xf numFmtId="0" fontId="32" fillId="0" borderId="0" xfId="1" applyFont="1" applyAlignment="1">
      <alignment horizontal="right"/>
    </xf>
    <xf numFmtId="0" fontId="20" fillId="0" borderId="0" xfId="1" applyAlignment="1">
      <alignment horizontal="right"/>
    </xf>
    <xf numFmtId="0" fontId="33" fillId="0" borderId="0" xfId="1" applyFont="1" applyAlignment="1">
      <alignment horizontal="left"/>
    </xf>
    <xf numFmtId="14" fontId="34" fillId="0" borderId="0" xfId="1" applyNumberFormat="1" applyFont="1" applyAlignment="1">
      <alignment horizontal="left"/>
    </xf>
    <xf numFmtId="0" fontId="34" fillId="0" borderId="0" xfId="1" applyFont="1" applyAlignment="1">
      <alignment horizontal="left"/>
    </xf>
    <xf numFmtId="0" fontId="35" fillId="0" borderId="0" xfId="1" applyFont="1" applyAlignment="1">
      <alignment vertical="center"/>
    </xf>
    <xf numFmtId="0" fontId="36" fillId="0" borderId="0" xfId="1" applyFont="1" applyAlignment="1">
      <alignment vertical="center"/>
    </xf>
    <xf numFmtId="0" fontId="37" fillId="0" borderId="0" xfId="1" applyFont="1"/>
    <xf numFmtId="14" fontId="38" fillId="0" borderId="0" xfId="1" applyNumberFormat="1" applyFont="1"/>
    <xf numFmtId="0" fontId="39" fillId="0" borderId="0" xfId="0" applyFont="1"/>
    <xf numFmtId="0" fontId="40" fillId="0" borderId="0" xfId="0" applyFont="1"/>
    <xf numFmtId="0" fontId="41" fillId="0" borderId="0" xfId="0" applyFont="1"/>
    <xf numFmtId="0" fontId="43" fillId="0" borderId="0" xfId="0" applyFont="1"/>
    <xf numFmtId="0" fontId="43" fillId="0" borderId="0" xfId="3" applyFont="1" applyAlignment="1" applyProtection="1"/>
    <xf numFmtId="0" fontId="45" fillId="0" borderId="0" xfId="0" applyFont="1"/>
    <xf numFmtId="0" fontId="18" fillId="0" borderId="0" xfId="3" applyFont="1" applyFill="1" applyAlignment="1" applyProtection="1"/>
    <xf numFmtId="0" fontId="31" fillId="0" borderId="0" xfId="0" applyFont="1"/>
    <xf numFmtId="0" fontId="46" fillId="0" borderId="0" xfId="0" applyFont="1"/>
    <xf numFmtId="0" fontId="47" fillId="0" borderId="0" xfId="0" applyFont="1"/>
    <xf numFmtId="3" fontId="31" fillId="0" borderId="0" xfId="0" applyNumberFormat="1" applyFont="1"/>
    <xf numFmtId="3" fontId="31" fillId="0" borderId="0" xfId="0" applyNumberFormat="1" applyFont="1" applyFill="1"/>
    <xf numFmtId="0" fontId="31" fillId="0" borderId="0" xfId="0" applyFont="1" applyFill="1"/>
    <xf numFmtId="0" fontId="42" fillId="0" borderId="0" xfId="0" applyFont="1"/>
    <xf numFmtId="0" fontId="37" fillId="0" borderId="0" xfId="0" applyFont="1"/>
    <xf numFmtId="14" fontId="14" fillId="0" borderId="13" xfId="0" applyNumberFormat="1" applyFont="1" applyFill="1" applyBorder="1" applyAlignment="1">
      <alignment horizontal="left"/>
    </xf>
    <xf numFmtId="0" fontId="31" fillId="0" borderId="10" xfId="0" applyFont="1" applyBorder="1"/>
    <xf numFmtId="0" fontId="31" fillId="0" borderId="8" xfId="0" applyFont="1" applyBorder="1"/>
    <xf numFmtId="0" fontId="31" fillId="0" borderId="9" xfId="0" applyFont="1" applyBorder="1"/>
    <xf numFmtId="0" fontId="31" fillId="0" borderId="3" xfId="0" applyFont="1" applyBorder="1"/>
    <xf numFmtId="0" fontId="18" fillId="0" borderId="0" xfId="0" applyFont="1"/>
    <xf numFmtId="3" fontId="46" fillId="0" borderId="7" xfId="0" applyNumberFormat="1" applyFont="1" applyFill="1" applyBorder="1"/>
    <xf numFmtId="0" fontId="46" fillId="0" borderId="0" xfId="0" applyFont="1" applyBorder="1" applyAlignment="1">
      <alignment horizontal="center"/>
    </xf>
    <xf numFmtId="0" fontId="46" fillId="0" borderId="3" xfId="0" applyFont="1" applyBorder="1" applyAlignment="1">
      <alignment horizontal="center"/>
    </xf>
    <xf numFmtId="3" fontId="46" fillId="0" borderId="3" xfId="0" applyNumberFormat="1" applyFont="1" applyFill="1" applyBorder="1"/>
    <xf numFmtId="0" fontId="16" fillId="0" borderId="4" xfId="0" applyFont="1" applyBorder="1" applyAlignment="1">
      <alignment horizontal="center"/>
    </xf>
    <xf numFmtId="0" fontId="16" fillId="0" borderId="1" xfId="0" applyFont="1" applyBorder="1" applyAlignment="1">
      <alignment horizontal="center"/>
    </xf>
    <xf numFmtId="0" fontId="16" fillId="0" borderId="7" xfId="0" applyFont="1" applyBorder="1" applyAlignment="1">
      <alignment horizontal="center"/>
    </xf>
    <xf numFmtId="0" fontId="16" fillId="0" borderId="3" xfId="0" applyFont="1" applyBorder="1" applyAlignment="1">
      <alignment horizontal="center"/>
    </xf>
    <xf numFmtId="3" fontId="49" fillId="4" borderId="6" xfId="0" applyNumberFormat="1" applyFont="1" applyFill="1" applyBorder="1"/>
    <xf numFmtId="0" fontId="14" fillId="0" borderId="11" xfId="0" applyFont="1" applyBorder="1" applyAlignment="1">
      <alignment horizontal="center"/>
    </xf>
    <xf numFmtId="0" fontId="16" fillId="0" borderId="11" xfId="0" applyFont="1" applyBorder="1" applyAlignment="1">
      <alignment horizontal="center"/>
    </xf>
    <xf numFmtId="0" fontId="16" fillId="0" borderId="6" xfId="0" applyFont="1" applyBorder="1" applyAlignment="1">
      <alignment horizontal="center"/>
    </xf>
    <xf numFmtId="0" fontId="16" fillId="0" borderId="0" xfId="0" applyFont="1" applyBorder="1" applyAlignment="1">
      <alignment horizontal="center"/>
    </xf>
    <xf numFmtId="0" fontId="46" fillId="0" borderId="3" xfId="0" applyFont="1" applyBorder="1"/>
    <xf numFmtId="0" fontId="31" fillId="0" borderId="1" xfId="0" applyFont="1" applyBorder="1"/>
    <xf numFmtId="3" fontId="31" fillId="0" borderId="4" xfId="0" applyNumberFormat="1" applyFont="1" applyBorder="1"/>
    <xf numFmtId="3" fontId="31" fillId="0" borderId="4" xfId="0" applyNumberFormat="1" applyFont="1" applyBorder="1" applyAlignment="1">
      <alignment horizontal="right"/>
    </xf>
    <xf numFmtId="3" fontId="31" fillId="0" borderId="4" xfId="0" applyNumberFormat="1" applyFont="1" applyFill="1" applyBorder="1"/>
    <xf numFmtId="3" fontId="31" fillId="0" borderId="4" xfId="0" applyNumberFormat="1" applyFont="1" applyFill="1" applyBorder="1" applyAlignment="1">
      <alignment horizontal="right"/>
    </xf>
    <xf numFmtId="0" fontId="31" fillId="0" borderId="3" xfId="0" applyFont="1" applyFill="1" applyBorder="1"/>
    <xf numFmtId="0" fontId="31" fillId="0" borderId="4" xfId="0" applyFont="1" applyFill="1" applyBorder="1"/>
    <xf numFmtId="3" fontId="46" fillId="0" borderId="4" xfId="0" applyNumberFormat="1" applyFont="1" applyBorder="1"/>
    <xf numFmtId="3" fontId="46" fillId="0" borderId="4" xfId="0" applyNumberFormat="1" applyFont="1" applyBorder="1" applyAlignment="1">
      <alignment horizontal="right"/>
    </xf>
    <xf numFmtId="0" fontId="16" fillId="0" borderId="0" xfId="0" applyFont="1"/>
    <xf numFmtId="0" fontId="31" fillId="0" borderId="0" xfId="0" applyFont="1" applyBorder="1"/>
    <xf numFmtId="0" fontId="46" fillId="0" borderId="6" xfId="0" applyFont="1" applyBorder="1"/>
    <xf numFmtId="3" fontId="46" fillId="0" borderId="11" xfId="0" applyNumberFormat="1" applyFont="1" applyBorder="1"/>
    <xf numFmtId="3" fontId="46" fillId="0" borderId="11" xfId="0" applyNumberFormat="1" applyFont="1" applyBorder="1" applyAlignment="1">
      <alignment horizontal="right"/>
    </xf>
    <xf numFmtId="0" fontId="31" fillId="0" borderId="0" xfId="0" applyFont="1" applyAlignment="1">
      <alignment horizontal="left"/>
    </xf>
    <xf numFmtId="0" fontId="46" fillId="0" borderId="0" xfId="0" applyFont="1" applyAlignment="1">
      <alignment horizontal="left"/>
    </xf>
    <xf numFmtId="0" fontId="31" fillId="0" borderId="14" xfId="0" applyFont="1" applyBorder="1"/>
    <xf numFmtId="0" fontId="31" fillId="0" borderId="15" xfId="0" applyFont="1" applyBorder="1"/>
    <xf numFmtId="167" fontId="46" fillId="0" borderId="7" xfId="0" applyNumberFormat="1" applyFont="1" applyBorder="1" applyAlignment="1">
      <alignment horizontal="left"/>
    </xf>
    <xf numFmtId="0" fontId="46" fillId="0" borderId="2" xfId="0" applyFont="1" applyBorder="1" applyAlignment="1">
      <alignment horizontal="center"/>
    </xf>
    <xf numFmtId="167" fontId="46" fillId="0" borderId="3" xfId="0" applyNumberFormat="1" applyFont="1" applyBorder="1" applyAlignment="1">
      <alignment horizontal="left"/>
    </xf>
    <xf numFmtId="0" fontId="46" fillId="0" borderId="4" xfId="0" applyFont="1" applyBorder="1" applyAlignment="1">
      <alignment horizontal="center"/>
    </xf>
    <xf numFmtId="0" fontId="46" fillId="0" borderId="1" xfId="0" applyFont="1" applyBorder="1" applyAlignment="1">
      <alignment horizontal="center"/>
    </xf>
    <xf numFmtId="0" fontId="16" fillId="0" borderId="2" xfId="0" applyFont="1" applyBorder="1" applyAlignment="1">
      <alignment horizontal="center"/>
    </xf>
    <xf numFmtId="167" fontId="51" fillId="0" borderId="6" xfId="0" applyNumberFormat="1" applyFont="1" applyBorder="1" applyAlignment="1">
      <alignment horizontal="left"/>
    </xf>
    <xf numFmtId="0" fontId="14" fillId="0" borderId="6" xfId="0" applyFont="1" applyBorder="1" applyAlignment="1">
      <alignment horizontal="center"/>
    </xf>
    <xf numFmtId="0" fontId="16" fillId="0" borderId="12" xfId="0" applyFont="1" applyBorder="1" applyAlignment="1">
      <alignment horizontal="center"/>
    </xf>
    <xf numFmtId="3" fontId="31" fillId="0" borderId="1" xfId="0" applyNumberFormat="1" applyFont="1" applyBorder="1"/>
    <xf numFmtId="3" fontId="31" fillId="0" borderId="2" xfId="0" applyNumberFormat="1" applyFont="1" applyBorder="1"/>
    <xf numFmtId="3" fontId="52" fillId="0" borderId="4" xfId="0" applyNumberFormat="1" applyFont="1" applyFill="1" applyBorder="1" applyAlignment="1">
      <alignment horizontal="right"/>
    </xf>
    <xf numFmtId="0" fontId="47" fillId="0" borderId="0" xfId="0" applyFont="1" applyFill="1"/>
    <xf numFmtId="0" fontId="53" fillId="0" borderId="0" xfId="0" applyFont="1" applyFill="1"/>
    <xf numFmtId="3" fontId="54" fillId="0" borderId="0" xfId="0" applyNumberFormat="1" applyFont="1"/>
    <xf numFmtId="0" fontId="54" fillId="0" borderId="0" xfId="0" applyFont="1"/>
    <xf numFmtId="0" fontId="54" fillId="0" borderId="0" xfId="0" applyFont="1" applyFill="1"/>
    <xf numFmtId="0" fontId="46" fillId="0" borderId="4" xfId="0" applyFont="1" applyBorder="1"/>
    <xf numFmtId="3" fontId="46" fillId="0" borderId="0" xfId="0" applyNumberFormat="1" applyFont="1" applyBorder="1" applyAlignment="1">
      <alignment horizontal="right"/>
    </xf>
    <xf numFmtId="3" fontId="31" fillId="0" borderId="0" xfId="0" applyNumberFormat="1" applyFont="1" applyBorder="1"/>
    <xf numFmtId="3" fontId="16" fillId="0" borderId="4" xfId="1" applyNumberFormat="1" applyFont="1" applyBorder="1"/>
    <xf numFmtId="0" fontId="0" fillId="0" borderId="0" xfId="0"/>
    <xf numFmtId="3" fontId="15" fillId="0" borderId="0" xfId="1" applyNumberFormat="1" applyFont="1" applyFill="1" applyBorder="1"/>
    <xf numFmtId="3" fontId="16" fillId="0" borderId="0" xfId="1" applyNumberFormat="1" applyFont="1"/>
    <xf numFmtId="3" fontId="16" fillId="0" borderId="1" xfId="1" applyNumberFormat="1" applyFont="1" applyBorder="1"/>
    <xf numFmtId="3" fontId="18" fillId="0" borderId="0" xfId="1" applyNumberFormat="1" applyFont="1" applyFill="1" applyBorder="1" applyAlignment="1">
      <alignment horizontal="right"/>
    </xf>
    <xf numFmtId="3" fontId="18" fillId="0" borderId="0" xfId="1" applyNumberFormat="1" applyFont="1" applyFill="1" applyBorder="1"/>
    <xf numFmtId="3" fontId="14" fillId="0" borderId="0" xfId="1" applyNumberFormat="1" applyFont="1"/>
    <xf numFmtId="3" fontId="18" fillId="0" borderId="0" xfId="1" applyNumberFormat="1" applyFont="1" applyFill="1"/>
    <xf numFmtId="3" fontId="18" fillId="0" borderId="0" xfId="1" applyNumberFormat="1" applyFont="1"/>
    <xf numFmtId="3" fontId="16" fillId="0" borderId="5" xfId="1" applyNumberFormat="1" applyFont="1" applyBorder="1" applyAlignment="1">
      <alignment horizontal="center"/>
    </xf>
    <xf numFmtId="3" fontId="22" fillId="0" borderId="0" xfId="1" applyNumberFormat="1" applyFont="1"/>
    <xf numFmtId="3" fontId="17" fillId="0" borderId="4" xfId="1" applyNumberFormat="1" applyFont="1" applyBorder="1" applyAlignment="1">
      <alignment horizontal="center"/>
    </xf>
    <xf numFmtId="3" fontId="18" fillId="0" borderId="4" xfId="1" applyNumberFormat="1" applyFont="1" applyFill="1" applyBorder="1"/>
    <xf numFmtId="3" fontId="15" fillId="0" borderId="0" xfId="1" applyNumberFormat="1" applyFont="1" applyFill="1"/>
    <xf numFmtId="3" fontId="18" fillId="0" borderId="0" xfId="1" applyNumberFormat="1" applyFont="1" applyAlignment="1">
      <alignment horizontal="left"/>
    </xf>
    <xf numFmtId="3" fontId="16" fillId="0" borderId="6" xfId="1" applyNumberFormat="1" applyFont="1" applyBorder="1" applyAlignment="1">
      <alignment horizontal="center"/>
    </xf>
    <xf numFmtId="3" fontId="15" fillId="0" borderId="0" xfId="1" applyNumberFormat="1" applyFont="1"/>
    <xf numFmtId="3" fontId="16" fillId="0" borderId="3" xfId="1" applyNumberFormat="1" applyFont="1" applyBorder="1"/>
    <xf numFmtId="3" fontId="16" fillId="0" borderId="0" xfId="1" applyNumberFormat="1" applyFont="1" applyFill="1" applyBorder="1" applyAlignment="1">
      <alignment horizontal="right"/>
    </xf>
    <xf numFmtId="3" fontId="16" fillId="3" borderId="2" xfId="1" applyNumberFormat="1" applyFont="1" applyFill="1" applyBorder="1" applyAlignment="1">
      <alignment horizontal="right"/>
    </xf>
    <xf numFmtId="3" fontId="16" fillId="0" borderId="11" xfId="1" applyNumberFormat="1" applyFont="1" applyBorder="1" applyAlignment="1">
      <alignment horizontal="center"/>
    </xf>
    <xf numFmtId="3" fontId="16" fillId="0" borderId="7" xfId="1" applyNumberFormat="1" applyFont="1" applyBorder="1" applyAlignment="1">
      <alignment horizontal="center"/>
    </xf>
    <xf numFmtId="3" fontId="14" fillId="0" borderId="12" xfId="1" applyNumberFormat="1" applyFont="1" applyBorder="1"/>
    <xf numFmtId="3" fontId="18" fillId="0" borderId="0" xfId="1" applyNumberFormat="1" applyFont="1" applyFill="1" applyAlignment="1">
      <alignment horizontal="left"/>
    </xf>
    <xf numFmtId="3" fontId="14" fillId="0" borderId="0" xfId="1" applyNumberFormat="1" applyFont="1" applyBorder="1"/>
    <xf numFmtId="3" fontId="18" fillId="3" borderId="3" xfId="1" applyNumberFormat="1" applyFont="1" applyFill="1" applyBorder="1" applyAlignment="1">
      <alignment horizontal="right"/>
    </xf>
    <xf numFmtId="3" fontId="18" fillId="3" borderId="6" xfId="1" applyNumberFormat="1" applyFont="1" applyFill="1" applyBorder="1" applyAlignment="1">
      <alignment horizontal="right"/>
    </xf>
    <xf numFmtId="3" fontId="16" fillId="0" borderId="0" xfId="1" applyNumberFormat="1" applyFont="1" applyBorder="1"/>
    <xf numFmtId="3" fontId="16" fillId="3" borderId="6" xfId="1" applyNumberFormat="1" applyFont="1" applyFill="1" applyBorder="1" applyAlignment="1">
      <alignment horizontal="right"/>
    </xf>
    <xf numFmtId="3" fontId="16" fillId="3" borderId="5" xfId="1" applyNumberFormat="1" applyFont="1" applyFill="1" applyBorder="1" applyAlignment="1">
      <alignment horizontal="right"/>
    </xf>
    <xf numFmtId="3" fontId="16" fillId="3" borderId="3" xfId="1" applyNumberFormat="1" applyFont="1" applyFill="1" applyBorder="1" applyAlignment="1">
      <alignment horizontal="right"/>
    </xf>
    <xf numFmtId="3" fontId="18" fillId="0" borderId="10" xfId="1" applyNumberFormat="1" applyFont="1" applyBorder="1" applyAlignment="1">
      <alignment horizontal="left"/>
    </xf>
    <xf numFmtId="3" fontId="16" fillId="0" borderId="0" xfId="1" applyNumberFormat="1" applyFont="1" applyFill="1" applyBorder="1" applyAlignment="1">
      <alignment horizontal="center"/>
    </xf>
    <xf numFmtId="3" fontId="17" fillId="0" borderId="0" xfId="1" applyNumberFormat="1" applyFont="1" applyFill="1" applyBorder="1" applyAlignment="1">
      <alignment horizontal="center"/>
    </xf>
    <xf numFmtId="3" fontId="18" fillId="3" borderId="2" xfId="1" applyNumberFormat="1" applyFont="1" applyFill="1" applyBorder="1" applyAlignment="1">
      <alignment horizontal="right"/>
    </xf>
    <xf numFmtId="3" fontId="31" fillId="0" borderId="3" xfId="0" applyNumberFormat="1" applyFont="1" applyBorder="1"/>
    <xf numFmtId="3" fontId="31" fillId="0" borderId="3" xfId="0" applyNumberFormat="1" applyFont="1" applyFill="1" applyBorder="1"/>
    <xf numFmtId="3" fontId="46" fillId="0" borderId="3" xfId="0" applyNumberFormat="1" applyFont="1" applyBorder="1"/>
    <xf numFmtId="3" fontId="46" fillId="0" borderId="0" xfId="0" applyNumberFormat="1" applyFont="1" applyBorder="1"/>
    <xf numFmtId="3" fontId="46" fillId="0" borderId="6" xfId="0" applyNumberFormat="1" applyFont="1" applyBorder="1"/>
    <xf numFmtId="3" fontId="31" fillId="0" borderId="0" xfId="0" applyNumberFormat="1" applyFont="1" applyBorder="1" applyAlignment="1">
      <alignment horizontal="right"/>
    </xf>
    <xf numFmtId="3" fontId="52" fillId="0" borderId="0" xfId="0" applyNumberFormat="1" applyFont="1" applyFill="1" applyBorder="1" applyAlignment="1">
      <alignment horizontal="right"/>
    </xf>
    <xf numFmtId="0" fontId="14" fillId="0" borderId="4" xfId="0" applyFont="1" applyBorder="1" applyAlignment="1">
      <alignment horizontal="center"/>
    </xf>
    <xf numFmtId="0" fontId="14" fillId="0" borderId="3" xfId="0" applyFont="1" applyBorder="1" applyAlignment="1">
      <alignment horizontal="center"/>
    </xf>
    <xf numFmtId="3" fontId="18" fillId="2" borderId="3" xfId="1" applyNumberFormat="1" applyFont="1" applyFill="1" applyBorder="1" applyAlignment="1">
      <alignment horizontal="right"/>
    </xf>
    <xf numFmtId="3" fontId="23" fillId="0" borderId="4" xfId="1" applyNumberFormat="1" applyFont="1" applyFill="1" applyBorder="1" applyAlignment="1">
      <alignment horizontal="right"/>
    </xf>
    <xf numFmtId="3" fontId="23" fillId="0" borderId="3" xfId="1" applyNumberFormat="1" applyFont="1" applyFill="1" applyBorder="1" applyAlignment="1">
      <alignment horizontal="right"/>
    </xf>
    <xf numFmtId="3" fontId="18" fillId="0" borderId="4" xfId="1" quotePrefix="1" applyNumberFormat="1" applyFont="1" applyFill="1" applyBorder="1" applyAlignment="1">
      <alignment horizontal="right"/>
    </xf>
    <xf numFmtId="167" fontId="46" fillId="0" borderId="4" xfId="0" applyNumberFormat="1" applyFont="1" applyBorder="1" applyAlignment="1">
      <alignment horizontal="left"/>
    </xf>
    <xf numFmtId="0" fontId="31" fillId="0" borderId="4" xfId="0" applyFont="1" applyBorder="1"/>
    <xf numFmtId="0" fontId="52" fillId="0" borderId="4" xfId="0" applyFont="1" applyFill="1" applyBorder="1"/>
    <xf numFmtId="0" fontId="46" fillId="0" borderId="11" xfId="0" applyFont="1" applyBorder="1"/>
    <xf numFmtId="3" fontId="31" fillId="0" borderId="3" xfId="0" applyNumberFormat="1" applyFont="1" applyBorder="1" applyAlignment="1">
      <alignment horizontal="right"/>
    </xf>
    <xf numFmtId="3" fontId="52" fillId="0" borderId="3" xfId="0" applyNumberFormat="1" applyFont="1" applyFill="1" applyBorder="1" applyAlignment="1">
      <alignment horizontal="right"/>
    </xf>
    <xf numFmtId="3" fontId="46" fillId="0" borderId="3" xfId="0" applyNumberFormat="1" applyFont="1" applyBorder="1" applyAlignment="1">
      <alignment horizontal="right"/>
    </xf>
    <xf numFmtId="3" fontId="46" fillId="0" borderId="6" xfId="0" applyNumberFormat="1" applyFont="1" applyBorder="1" applyAlignment="1">
      <alignment horizontal="right"/>
    </xf>
    <xf numFmtId="0" fontId="37" fillId="0" borderId="4" xfId="0" applyFont="1" applyBorder="1" applyAlignment="1">
      <alignment horizontal="right"/>
    </xf>
    <xf numFmtId="3" fontId="31" fillId="0" borderId="7" xfId="0" applyNumberFormat="1" applyFont="1" applyBorder="1" applyAlignment="1">
      <alignment horizontal="right"/>
    </xf>
    <xf numFmtId="3" fontId="31" fillId="0" borderId="14" xfId="0" applyNumberFormat="1" applyFont="1" applyBorder="1" applyAlignment="1">
      <alignment horizontal="right"/>
    </xf>
    <xf numFmtId="0" fontId="37" fillId="0" borderId="3" xfId="0" applyFont="1" applyBorder="1" applyAlignment="1">
      <alignment horizontal="right"/>
    </xf>
    <xf numFmtId="3" fontId="31" fillId="0" borderId="6" xfId="0" applyNumberFormat="1" applyFont="1" applyBorder="1" applyAlignment="1">
      <alignment horizontal="right"/>
    </xf>
    <xf numFmtId="3" fontId="16" fillId="0" borderId="0" xfId="0" applyNumberFormat="1" applyFont="1"/>
    <xf numFmtId="3" fontId="16" fillId="0" borderId="4" xfId="1" applyNumberFormat="1" applyFont="1" applyBorder="1" applyAlignment="1">
      <alignment horizontal="center"/>
    </xf>
    <xf numFmtId="3" fontId="18" fillId="0" borderId="0" xfId="0" applyNumberFormat="1" applyFont="1" applyBorder="1"/>
    <xf numFmtId="3" fontId="18" fillId="0" borderId="0" xfId="0" applyNumberFormat="1" applyFont="1"/>
    <xf numFmtId="3" fontId="16" fillId="0" borderId="0" xfId="0" applyNumberFormat="1" applyFont="1" applyBorder="1"/>
    <xf numFmtId="3" fontId="18" fillId="0" borderId="0" xfId="0" applyNumberFormat="1" applyFont="1" applyFill="1" applyBorder="1"/>
    <xf numFmtId="3" fontId="31" fillId="0" borderId="2" xfId="0" quotePrefix="1" applyNumberFormat="1" applyFont="1" applyBorder="1" applyAlignment="1">
      <alignment horizontal="right"/>
    </xf>
    <xf numFmtId="0" fontId="37" fillId="0" borderId="1" xfId="0" applyFont="1" applyBorder="1" applyAlignment="1">
      <alignment horizontal="right"/>
    </xf>
    <xf numFmtId="3" fontId="31" fillId="0" borderId="3" xfId="0" quotePrefix="1" applyNumberFormat="1" applyFont="1" applyBorder="1" applyAlignment="1">
      <alignment horizontal="right"/>
    </xf>
    <xf numFmtId="3" fontId="18" fillId="0" borderId="2" xfId="1" applyNumberFormat="1" applyFont="1" applyFill="1" applyBorder="1" applyAlignment="1">
      <alignment horizontal="right"/>
    </xf>
    <xf numFmtId="3" fontId="18" fillId="2" borderId="2" xfId="1" applyNumberFormat="1" applyFont="1" applyFill="1" applyBorder="1" applyAlignment="1">
      <alignment horizontal="right"/>
    </xf>
    <xf numFmtId="3" fontId="16" fillId="0" borderId="3" xfId="1" applyNumberFormat="1" applyFont="1" applyFill="1" applyBorder="1" applyAlignment="1">
      <alignment horizontal="right"/>
    </xf>
    <xf numFmtId="3" fontId="18" fillId="0" borderId="2" xfId="1" quotePrefix="1" applyNumberFormat="1" applyFont="1" applyFill="1" applyBorder="1" applyAlignment="1">
      <alignment horizontal="right"/>
    </xf>
    <xf numFmtId="3" fontId="18" fillId="0" borderId="6" xfId="1" quotePrefix="1" applyNumberFormat="1" applyFont="1" applyFill="1" applyBorder="1" applyAlignment="1">
      <alignment horizontal="right"/>
    </xf>
    <xf numFmtId="3" fontId="18" fillId="0" borderId="5" xfId="1" quotePrefix="1" applyNumberFormat="1" applyFont="1" applyFill="1" applyBorder="1" applyAlignment="1">
      <alignment horizontal="right"/>
    </xf>
    <xf numFmtId="3" fontId="18" fillId="3" borderId="0" xfId="1" applyNumberFormat="1" applyFont="1" applyFill="1" applyBorder="1" applyAlignment="1">
      <alignment horizontal="right"/>
    </xf>
    <xf numFmtId="165" fontId="56" fillId="7" borderId="3" xfId="844" applyNumberFormat="1" applyFont="1" applyBorder="1" applyAlignment="1">
      <alignment horizontal="right"/>
    </xf>
    <xf numFmtId="3" fontId="46" fillId="0" borderId="2" xfId="0" applyNumberFormat="1" applyFont="1" applyBorder="1"/>
    <xf numFmtId="3" fontId="14" fillId="0" borderId="9" xfId="1" applyNumberFormat="1" applyFont="1" applyBorder="1" applyAlignment="1">
      <alignment horizontal="center"/>
    </xf>
    <xf numFmtId="3" fontId="17" fillId="0" borderId="6" xfId="1" applyNumberFormat="1" applyFont="1" applyBorder="1" applyAlignment="1">
      <alignment horizontal="center"/>
    </xf>
    <xf numFmtId="3" fontId="16" fillId="0" borderId="3" xfId="1" applyNumberFormat="1" applyFont="1" applyBorder="1" applyAlignment="1">
      <alignment horizontal="center"/>
    </xf>
    <xf numFmtId="3" fontId="16" fillId="0" borderId="2" xfId="1" applyNumberFormat="1" applyFont="1" applyBorder="1" applyAlignment="1">
      <alignment horizontal="center"/>
    </xf>
    <xf numFmtId="3" fontId="14" fillId="0" borderId="1" xfId="1" applyNumberFormat="1" applyFont="1" applyBorder="1"/>
    <xf numFmtId="0" fontId="18" fillId="0" borderId="6" xfId="0" applyFont="1" applyBorder="1"/>
    <xf numFmtId="0" fontId="16" fillId="0" borderId="3" xfId="1" applyFont="1" applyBorder="1" applyAlignment="1">
      <alignment horizontal="center"/>
    </xf>
    <xf numFmtId="0" fontId="16" fillId="0" borderId="15" xfId="1" applyFont="1" applyBorder="1" applyAlignment="1">
      <alignment horizontal="center"/>
    </xf>
    <xf numFmtId="0" fontId="18" fillId="0" borderId="5" xfId="1" applyFont="1" applyFill="1" applyBorder="1"/>
    <xf numFmtId="0" fontId="18" fillId="0" borderId="9" xfId="1" applyFont="1" applyFill="1" applyBorder="1"/>
    <xf numFmtId="168" fontId="18" fillId="0" borderId="0" xfId="1" applyNumberFormat="1" applyFont="1" applyFill="1" applyBorder="1" applyAlignment="1">
      <alignment horizontal="center"/>
    </xf>
    <xf numFmtId="168" fontId="18" fillId="3" borderId="3" xfId="1" applyNumberFormat="1" applyFont="1" applyFill="1" applyBorder="1" applyAlignment="1">
      <alignment horizontal="right"/>
    </xf>
    <xf numFmtId="168" fontId="18" fillId="3" borderId="6" xfId="1" applyNumberFormat="1" applyFont="1" applyFill="1" applyBorder="1" applyAlignment="1">
      <alignment horizontal="right"/>
    </xf>
    <xf numFmtId="0" fontId="46" fillId="0" borderId="0" xfId="0" applyFont="1" applyBorder="1"/>
    <xf numFmtId="0" fontId="46" fillId="0" borderId="7" xfId="0" applyFont="1" applyBorder="1"/>
    <xf numFmtId="14" fontId="14" fillId="0" borderId="6" xfId="0" applyNumberFormat="1" applyFont="1" applyFill="1" applyBorder="1" applyAlignment="1">
      <alignment horizontal="left"/>
    </xf>
    <xf numFmtId="14" fontId="14" fillId="0" borderId="3" xfId="0" applyNumberFormat="1" applyFont="1" applyFill="1" applyBorder="1" applyAlignment="1">
      <alignment horizontal="center"/>
    </xf>
    <xf numFmtId="167" fontId="16" fillId="0" borderId="4" xfId="0" applyNumberFormat="1" applyFont="1" applyBorder="1" applyAlignment="1">
      <alignment horizontal="center"/>
    </xf>
    <xf numFmtId="167" fontId="16" fillId="0" borderId="11" xfId="0" applyNumberFormat="1" applyFont="1" applyBorder="1" applyAlignment="1">
      <alignment horizontal="center"/>
    </xf>
    <xf numFmtId="0" fontId="16" fillId="0" borderId="5" xfId="0" applyFont="1" applyBorder="1" applyAlignment="1">
      <alignment horizontal="center"/>
    </xf>
    <xf numFmtId="165" fontId="46" fillId="0" borderId="4" xfId="0" applyNumberFormat="1" applyFont="1" applyBorder="1" applyAlignment="1">
      <alignment horizontal="right"/>
    </xf>
    <xf numFmtId="165" fontId="46" fillId="0" borderId="3" xfId="0" applyNumberFormat="1" applyFont="1" applyBorder="1" applyAlignment="1">
      <alignment horizontal="right"/>
    </xf>
    <xf numFmtId="165" fontId="31" fillId="0" borderId="4" xfId="0" applyNumberFormat="1" applyFont="1" applyBorder="1" applyAlignment="1">
      <alignment horizontal="right"/>
    </xf>
    <xf numFmtId="165" fontId="31" fillId="0" borderId="3" xfId="0" applyNumberFormat="1" applyFont="1" applyBorder="1" applyAlignment="1">
      <alignment horizontal="right"/>
    </xf>
    <xf numFmtId="165" fontId="31" fillId="0" borderId="4" xfId="0" applyNumberFormat="1" applyFont="1" applyFill="1" applyBorder="1" applyAlignment="1">
      <alignment horizontal="right"/>
    </xf>
    <xf numFmtId="0" fontId="31" fillId="0" borderId="11" xfId="0" applyFont="1" applyBorder="1"/>
    <xf numFmtId="3" fontId="31" fillId="0" borderId="11" xfId="0" applyNumberFormat="1" applyFont="1" applyBorder="1"/>
    <xf numFmtId="165" fontId="31" fillId="0" borderId="11" xfId="0" applyNumberFormat="1" applyFont="1" applyBorder="1" applyAlignment="1">
      <alignment horizontal="right"/>
    </xf>
    <xf numFmtId="165" fontId="31" fillId="0" borderId="6" xfId="0" applyNumberFormat="1" applyFont="1" applyBorder="1" applyAlignment="1">
      <alignment horizontal="right"/>
    </xf>
    <xf numFmtId="3" fontId="46" fillId="0" borderId="3" xfId="0" applyNumberFormat="1" applyFont="1" applyFill="1" applyBorder="1" applyAlignment="1">
      <alignment horizontal="right"/>
    </xf>
    <xf numFmtId="0" fontId="43" fillId="8" borderId="0" xfId="0" applyFont="1" applyFill="1"/>
    <xf numFmtId="0" fontId="67" fillId="0" borderId="0" xfId="3" applyFont="1" applyAlignment="1" applyProtection="1"/>
    <xf numFmtId="0" fontId="42" fillId="0" borderId="0" xfId="0" applyFont="1" applyFill="1" applyAlignment="1">
      <alignment horizontal="center"/>
    </xf>
    <xf numFmtId="3" fontId="16" fillId="0" borderId="6" xfId="1" applyNumberFormat="1" applyFont="1" applyFill="1" applyBorder="1" applyAlignment="1">
      <alignment horizontal="right"/>
    </xf>
    <xf numFmtId="3" fontId="68" fillId="0" borderId="4" xfId="1" applyNumberFormat="1" applyFont="1" applyFill="1" applyBorder="1" applyAlignment="1">
      <alignment horizontal="right"/>
    </xf>
    <xf numFmtId="3" fontId="68" fillId="0" borderId="3" xfId="1" applyNumberFormat="1" applyFont="1" applyFill="1" applyBorder="1" applyAlignment="1">
      <alignment horizontal="right"/>
    </xf>
    <xf numFmtId="3" fontId="68" fillId="0" borderId="11" xfId="1" applyNumberFormat="1" applyFont="1" applyFill="1" applyBorder="1" applyAlignment="1">
      <alignment horizontal="right"/>
    </xf>
    <xf numFmtId="3" fontId="68" fillId="0" borderId="6" xfId="1" applyNumberFormat="1" applyFont="1" applyFill="1" applyBorder="1" applyAlignment="1">
      <alignment horizontal="right"/>
    </xf>
    <xf numFmtId="3" fontId="18" fillId="0" borderId="3" xfId="2" applyNumberFormat="1" applyFont="1" applyFill="1" applyBorder="1" applyAlignment="1">
      <alignment horizontal="right"/>
    </xf>
    <xf numFmtId="3" fontId="18" fillId="0" borderId="4" xfId="2" applyNumberFormat="1" applyFont="1" applyFill="1" applyBorder="1" applyAlignment="1">
      <alignment horizontal="right"/>
    </xf>
    <xf numFmtId="3" fontId="18" fillId="0" borderId="6" xfId="2" applyNumberFormat="1" applyFont="1" applyFill="1" applyBorder="1" applyAlignment="1">
      <alignment horizontal="right"/>
    </xf>
    <xf numFmtId="3" fontId="18" fillId="0" borderId="11" xfId="2" applyNumberFormat="1" applyFont="1" applyFill="1" applyBorder="1" applyAlignment="1">
      <alignment horizontal="right"/>
    </xf>
    <xf numFmtId="3" fontId="18" fillId="2" borderId="3" xfId="2" applyNumberFormat="1" applyFont="1" applyFill="1" applyBorder="1" applyAlignment="1">
      <alignment horizontal="right"/>
    </xf>
    <xf numFmtId="3" fontId="18" fillId="2" borderId="4" xfId="2" applyNumberFormat="1" applyFont="1" applyFill="1" applyBorder="1" applyAlignment="1">
      <alignment horizontal="right"/>
    </xf>
    <xf numFmtId="3" fontId="18" fillId="0" borderId="4" xfId="1" applyNumberFormat="1" applyFont="1" applyFill="1" applyBorder="1" applyAlignment="1">
      <alignment horizontal="right"/>
    </xf>
    <xf numFmtId="3" fontId="18" fillId="0" borderId="11" xfId="1" applyNumberFormat="1" applyFont="1" applyFill="1" applyBorder="1" applyAlignment="1">
      <alignment horizontal="right"/>
    </xf>
    <xf numFmtId="3" fontId="18" fillId="2" borderId="0" xfId="1" applyNumberFormat="1" applyFont="1" applyFill="1" applyBorder="1" applyAlignment="1">
      <alignment horizontal="right"/>
    </xf>
    <xf numFmtId="3" fontId="18" fillId="0" borderId="3" xfId="2" applyNumberFormat="1" applyFont="1" applyBorder="1" applyAlignment="1">
      <alignment horizontal="right"/>
    </xf>
    <xf numFmtId="3" fontId="23" fillId="0" borderId="2" xfId="1" applyNumberFormat="1" applyFont="1" applyFill="1" applyBorder="1" applyAlignment="1">
      <alignment horizontal="right"/>
    </xf>
    <xf numFmtId="3" fontId="23" fillId="0" borderId="0" xfId="1" applyNumberFormat="1" applyFont="1" applyFill="1" applyBorder="1" applyAlignment="1">
      <alignment horizontal="right"/>
    </xf>
    <xf numFmtId="3" fontId="19" fillId="2" borderId="2" xfId="1" applyNumberFormat="1" applyFont="1" applyFill="1" applyBorder="1" applyAlignment="1">
      <alignment horizontal="right"/>
    </xf>
    <xf numFmtId="3" fontId="19" fillId="2" borderId="0" xfId="1" applyNumberFormat="1" applyFont="1" applyFill="1" applyBorder="1" applyAlignment="1">
      <alignment horizontal="right"/>
    </xf>
    <xf numFmtId="3" fontId="18" fillId="0" borderId="3" xfId="2" applyNumberFormat="1" applyFont="1" applyBorder="1" applyAlignment="1">
      <alignment horizontal="left"/>
    </xf>
    <xf numFmtId="0" fontId="14" fillId="0" borderId="0" xfId="1" applyFont="1" applyBorder="1" applyAlignment="1">
      <alignment horizontal="center"/>
    </xf>
    <xf numFmtId="0" fontId="14" fillId="0" borderId="0" xfId="1" applyFont="1" applyFill="1" applyBorder="1" applyAlignment="1">
      <alignment horizontal="center"/>
    </xf>
    <xf numFmtId="3" fontId="14" fillId="0" borderId="0"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4" fillId="0" borderId="0" xfId="1" applyNumberFormat="1" applyFont="1" applyFill="1" applyBorder="1" applyAlignment="1">
      <alignment horizontal="center"/>
    </xf>
    <xf numFmtId="3" fontId="14" fillId="0" borderId="12" xfId="1" applyNumberFormat="1" applyFont="1" applyBorder="1" applyAlignment="1">
      <alignment horizontal="center"/>
    </xf>
    <xf numFmtId="3" fontId="16" fillId="0" borderId="9" xfId="1" applyNumberFormat="1" applyFont="1" applyBorder="1" applyAlignment="1">
      <alignment horizontal="center"/>
    </xf>
    <xf numFmtId="3" fontId="16" fillId="0" borderId="1" xfId="1" applyNumberFormat="1" applyFont="1" applyBorder="1" applyAlignment="1">
      <alignment horizontal="center"/>
    </xf>
    <xf numFmtId="3" fontId="16" fillId="0" borderId="7" xfId="2" applyNumberFormat="1" applyFont="1" applyFill="1" applyBorder="1" applyAlignment="1">
      <alignment horizontal="right"/>
    </xf>
    <xf numFmtId="3" fontId="16" fillId="0" borderId="1" xfId="2" applyNumberFormat="1" applyFont="1" applyFill="1" applyBorder="1" applyAlignment="1">
      <alignment horizontal="right"/>
    </xf>
    <xf numFmtId="3" fontId="16" fillId="0" borderId="2" xfId="1" applyNumberFormat="1" applyFont="1" applyFill="1" applyBorder="1" applyAlignment="1">
      <alignment horizontal="right"/>
    </xf>
    <xf numFmtId="3" fontId="16" fillId="0" borderId="4" xfId="1" applyNumberFormat="1" applyFont="1" applyFill="1" applyBorder="1" applyAlignment="1">
      <alignment horizontal="right"/>
    </xf>
    <xf numFmtId="3" fontId="16" fillId="0" borderId="3" xfId="2" applyNumberFormat="1" applyFont="1" applyFill="1" applyBorder="1" applyAlignment="1">
      <alignment horizontal="right"/>
    </xf>
    <xf numFmtId="3" fontId="16" fillId="0" borderId="4" xfId="2" applyNumberFormat="1" applyFont="1" applyFill="1" applyBorder="1" applyAlignment="1">
      <alignment horizontal="right"/>
    </xf>
    <xf numFmtId="3" fontId="16" fillId="0" borderId="6" xfId="2" applyNumberFormat="1" applyFont="1" applyFill="1" applyBorder="1" applyAlignment="1">
      <alignment horizontal="right"/>
    </xf>
    <xf numFmtId="3" fontId="16" fillId="0" borderId="11" xfId="2" applyNumberFormat="1" applyFont="1" applyFill="1" applyBorder="1" applyAlignment="1">
      <alignment horizontal="right"/>
    </xf>
    <xf numFmtId="3" fontId="16" fillId="0" borderId="5" xfId="1" applyNumberFormat="1" applyFont="1" applyFill="1" applyBorder="1" applyAlignment="1">
      <alignment horizontal="right"/>
    </xf>
    <xf numFmtId="3" fontId="16" fillId="0" borderId="11" xfId="1" applyNumberFormat="1" applyFont="1" applyFill="1" applyBorder="1" applyAlignment="1">
      <alignment horizontal="right"/>
    </xf>
    <xf numFmtId="3" fontId="16" fillId="0" borderId="7" xfId="1" applyNumberFormat="1" applyFont="1" applyFill="1" applyBorder="1" applyAlignment="1">
      <alignment horizontal="right"/>
    </xf>
    <xf numFmtId="3" fontId="16" fillId="0" borderId="1" xfId="1" applyNumberFormat="1" applyFont="1" applyFill="1" applyBorder="1" applyAlignment="1">
      <alignment horizontal="right"/>
    </xf>
    <xf numFmtId="3" fontId="16" fillId="0" borderId="15" xfId="1" applyNumberFormat="1" applyFont="1" applyFill="1" applyBorder="1" applyAlignment="1">
      <alignment horizontal="right"/>
    </xf>
    <xf numFmtId="3" fontId="16" fillId="2" borderId="2" xfId="1" applyNumberFormat="1" applyFont="1" applyFill="1" applyBorder="1" applyAlignment="1">
      <alignment horizontal="right"/>
    </xf>
    <xf numFmtId="3" fontId="16" fillId="2" borderId="0" xfId="1" applyNumberFormat="1" applyFont="1" applyFill="1" applyBorder="1" applyAlignment="1">
      <alignment horizontal="right"/>
    </xf>
    <xf numFmtId="3" fontId="16" fillId="2" borderId="4" xfId="1" applyNumberFormat="1" applyFont="1" applyFill="1" applyBorder="1" applyAlignment="1">
      <alignment horizontal="right"/>
    </xf>
    <xf numFmtId="3" fontId="16" fillId="2" borderId="5" xfId="1" applyNumberFormat="1" applyFont="1" applyFill="1" applyBorder="1" applyAlignment="1">
      <alignment horizontal="right"/>
    </xf>
    <xf numFmtId="3" fontId="16" fillId="2" borderId="11" xfId="1" applyNumberFormat="1" applyFont="1" applyFill="1" applyBorder="1" applyAlignment="1">
      <alignment horizontal="right"/>
    </xf>
    <xf numFmtId="3" fontId="16" fillId="2" borderId="3" xfId="1" applyNumberFormat="1" applyFont="1" applyFill="1" applyBorder="1" applyAlignment="1">
      <alignment horizontal="right"/>
    </xf>
    <xf numFmtId="3" fontId="16" fillId="2" borderId="2" xfId="1" quotePrefix="1" applyNumberFormat="1" applyFont="1" applyFill="1" applyBorder="1" applyAlignment="1">
      <alignment horizontal="right"/>
    </xf>
    <xf numFmtId="3" fontId="16" fillId="2" borderId="6" xfId="1" applyNumberFormat="1" applyFont="1" applyFill="1" applyBorder="1" applyAlignment="1">
      <alignment horizontal="right"/>
    </xf>
    <xf numFmtId="14" fontId="17" fillId="0" borderId="10" xfId="1" applyNumberFormat="1" applyFont="1" applyBorder="1" applyAlignment="1"/>
    <xf numFmtId="0" fontId="0" fillId="0" borderId="8" xfId="0" applyBorder="1" applyAlignment="1"/>
    <xf numFmtId="3" fontId="16" fillId="0" borderId="2" xfId="1" quotePrefix="1" applyNumberFormat="1" applyFont="1" applyFill="1" applyBorder="1" applyAlignment="1">
      <alignment horizontal="right"/>
    </xf>
    <xf numFmtId="0" fontId="57" fillId="0" borderId="0" xfId="1" applyFont="1" applyFill="1"/>
    <xf numFmtId="0" fontId="15" fillId="0" borderId="0" xfId="1" applyFont="1" applyFill="1" applyAlignment="1">
      <alignment horizontal="right" vertical="top"/>
    </xf>
    <xf numFmtId="0" fontId="15" fillId="0" borderId="0" xfId="1" applyFont="1" applyAlignment="1">
      <alignment vertical="top" wrapText="1"/>
    </xf>
    <xf numFmtId="0" fontId="15" fillId="0" borderId="0" xfId="1" applyFont="1" applyFill="1" applyAlignment="1">
      <alignment horizontal="right"/>
    </xf>
    <xf numFmtId="0" fontId="15" fillId="0" borderId="0" xfId="1" applyFont="1" applyFill="1" applyAlignment="1">
      <alignment vertical="top" wrapText="1"/>
    </xf>
    <xf numFmtId="0" fontId="24" fillId="0" borderId="0" xfId="1" applyFont="1" applyFill="1"/>
    <xf numFmtId="0" fontId="15" fillId="0" borderId="0" xfId="1" applyFont="1" applyFill="1" applyAlignment="1">
      <alignment wrapText="1"/>
    </xf>
    <xf numFmtId="0" fontId="14" fillId="0" borderId="0" xfId="1" applyFont="1" applyFill="1" applyAlignment="1">
      <alignment horizontal="left"/>
    </xf>
    <xf numFmtId="3" fontId="31" fillId="4" borderId="3" xfId="0" applyNumberFormat="1" applyFont="1" applyFill="1" applyBorder="1" applyAlignment="1" applyProtection="1">
      <alignment horizontal="right"/>
      <protection locked="0"/>
    </xf>
    <xf numFmtId="0" fontId="69" fillId="0" borderId="0" xfId="0" applyFont="1" applyAlignment="1">
      <alignment horizontal="left" vertical="center" readingOrder="1"/>
    </xf>
    <xf numFmtId="0" fontId="18" fillId="0" borderId="0" xfId="1" applyFont="1" applyFill="1" applyBorder="1" applyAlignment="1">
      <alignment horizontal="left"/>
    </xf>
    <xf numFmtId="0" fontId="71" fillId="0" borderId="0" xfId="1" applyFont="1" applyFill="1" applyAlignment="1">
      <alignment horizontal="left"/>
    </xf>
    <xf numFmtId="0" fontId="19" fillId="0" borderId="0" xfId="1" applyFont="1" applyFill="1"/>
    <xf numFmtId="0" fontId="43" fillId="8" borderId="0" xfId="3" applyFont="1" applyFill="1" applyAlignment="1" applyProtection="1"/>
    <xf numFmtId="0" fontId="65" fillId="0" borderId="0" xfId="0" applyFont="1" applyFill="1"/>
    <xf numFmtId="0" fontId="66" fillId="0" borderId="0" xfId="0" applyFont="1" applyFill="1"/>
    <xf numFmtId="0" fontId="43" fillId="0" borderId="0" xfId="0" applyFont="1" applyFill="1"/>
    <xf numFmtId="0" fontId="41" fillId="0" borderId="0" xfId="0" applyFont="1" applyFill="1"/>
    <xf numFmtId="0" fontId="39" fillId="0" borderId="0" xfId="0" applyFont="1" applyFill="1"/>
    <xf numFmtId="0" fontId="43" fillId="0" borderId="0" xfId="3" applyFont="1" applyFill="1" applyAlignment="1" applyProtection="1"/>
    <xf numFmtId="3" fontId="16" fillId="3" borderId="7" xfId="1" applyNumberFormat="1" applyFont="1" applyFill="1" applyBorder="1" applyAlignment="1">
      <alignment horizontal="right"/>
    </xf>
    <xf numFmtId="0" fontId="73" fillId="0" borderId="0" xfId="1" applyFont="1" applyBorder="1" applyAlignment="1">
      <alignment horizontal="left"/>
    </xf>
    <xf numFmtId="3" fontId="68" fillId="0" borderId="2" xfId="1" applyNumberFormat="1" applyFont="1" applyFill="1" applyBorder="1" applyAlignment="1">
      <alignment horizontal="right"/>
    </xf>
    <xf numFmtId="3" fontId="60" fillId="0" borderId="2" xfId="1" applyNumberFormat="1" applyFont="1" applyFill="1" applyBorder="1" applyAlignment="1">
      <alignment horizontal="right"/>
    </xf>
    <xf numFmtId="0" fontId="72" fillId="0" borderId="0" xfId="0" applyFont="1" applyFill="1" applyAlignment="1">
      <alignment horizontal="left" vertical="center" readingOrder="1"/>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12"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14" fillId="0" borderId="14" xfId="1" applyNumberFormat="1" applyFont="1" applyFill="1" applyBorder="1" applyAlignment="1">
      <alignment horizontal="center"/>
    </xf>
    <xf numFmtId="171" fontId="16" fillId="0" borderId="7" xfId="846" applyFont="1" applyFill="1" applyBorder="1" applyAlignment="1">
      <alignment horizontal="right"/>
    </xf>
    <xf numFmtId="171" fontId="16" fillId="0" borderId="1" xfId="846" applyFont="1" applyFill="1" applyBorder="1" applyAlignment="1">
      <alignment horizontal="right"/>
    </xf>
    <xf numFmtId="171" fontId="18" fillId="0" borderId="3" xfId="846" applyFont="1" applyBorder="1" applyAlignment="1">
      <alignment horizontal="right"/>
    </xf>
    <xf numFmtId="171" fontId="18" fillId="0" borderId="3" xfId="846" applyFont="1" applyFill="1" applyBorder="1" applyAlignment="1">
      <alignment horizontal="right"/>
    </xf>
    <xf numFmtId="171" fontId="18" fillId="0" borderId="4" xfId="846" applyFont="1" applyFill="1" applyBorder="1" applyAlignment="1">
      <alignment horizontal="right"/>
    </xf>
    <xf numFmtId="171" fontId="16" fillId="0" borderId="3" xfId="846" applyFont="1" applyFill="1" applyBorder="1" applyAlignment="1">
      <alignment horizontal="right"/>
    </xf>
    <xf numFmtId="171" fontId="16" fillId="0" borderId="4" xfId="846" applyFont="1" applyFill="1" applyBorder="1" applyAlignment="1">
      <alignment horizontal="right"/>
    </xf>
    <xf numFmtId="171" fontId="16" fillId="0" borderId="6" xfId="846" applyFont="1" applyFill="1" applyBorder="1" applyAlignment="1">
      <alignment horizontal="right"/>
    </xf>
    <xf numFmtId="171" fontId="16" fillId="0" borderId="11" xfId="846" applyFont="1" applyFill="1" applyBorder="1" applyAlignment="1">
      <alignment horizontal="right"/>
    </xf>
    <xf numFmtId="171" fontId="18" fillId="3" borderId="7" xfId="846" applyFont="1" applyFill="1" applyBorder="1" applyAlignment="1">
      <alignment horizontal="right"/>
    </xf>
    <xf numFmtId="171" fontId="18" fillId="3" borderId="2" xfId="846" applyFont="1" applyFill="1" applyBorder="1" applyAlignment="1">
      <alignment horizontal="right"/>
    </xf>
    <xf numFmtId="171" fontId="16" fillId="0" borderId="2" xfId="846" applyFont="1" applyFill="1" applyBorder="1" applyAlignment="1">
      <alignment horizontal="right"/>
    </xf>
    <xf numFmtId="171" fontId="18" fillId="3" borderId="3" xfId="846" applyFont="1" applyFill="1" applyBorder="1" applyAlignment="1">
      <alignment horizontal="right"/>
    </xf>
    <xf numFmtId="171" fontId="18" fillId="2" borderId="3" xfId="846" applyFont="1" applyFill="1" applyBorder="1" applyAlignment="1">
      <alignment horizontal="right"/>
    </xf>
    <xf numFmtId="171" fontId="18" fillId="2" borderId="4" xfId="846" applyFont="1" applyFill="1" applyBorder="1" applyAlignment="1">
      <alignment horizontal="right"/>
    </xf>
    <xf numFmtId="171" fontId="18" fillId="0" borderId="2" xfId="846" applyFont="1" applyFill="1" applyBorder="1" applyAlignment="1">
      <alignment horizontal="right"/>
    </xf>
    <xf numFmtId="171" fontId="18" fillId="3" borderId="6" xfId="846" applyFont="1" applyFill="1" applyBorder="1" applyAlignment="1">
      <alignment horizontal="right"/>
    </xf>
    <xf numFmtId="171" fontId="16" fillId="0" borderId="5" xfId="846" applyFont="1" applyFill="1" applyBorder="1" applyAlignment="1">
      <alignment horizontal="right"/>
    </xf>
    <xf numFmtId="171" fontId="16" fillId="0" borderId="15" xfId="846" applyFont="1" applyFill="1" applyBorder="1" applyAlignment="1">
      <alignment horizontal="right"/>
    </xf>
    <xf numFmtId="171" fontId="16" fillId="2" borderId="2" xfId="846" applyFont="1" applyFill="1" applyBorder="1" applyAlignment="1">
      <alignment horizontal="right"/>
    </xf>
    <xf numFmtId="171" fontId="16" fillId="2" borderId="0" xfId="846" applyFont="1" applyFill="1" applyBorder="1" applyAlignment="1">
      <alignment horizontal="right"/>
    </xf>
    <xf numFmtId="171" fontId="16" fillId="2" borderId="4" xfId="846" applyFont="1" applyFill="1" applyBorder="1" applyAlignment="1">
      <alignment horizontal="right"/>
    </xf>
    <xf numFmtId="171" fontId="16" fillId="2" borderId="5" xfId="846" applyFont="1" applyFill="1" applyBorder="1" applyAlignment="1">
      <alignment horizontal="right"/>
    </xf>
    <xf numFmtId="171" fontId="16" fillId="2" borderId="11" xfId="846" applyFont="1" applyFill="1" applyBorder="1" applyAlignment="1">
      <alignment horizontal="right"/>
    </xf>
    <xf numFmtId="171" fontId="18" fillId="0" borderId="6" xfId="846" applyFont="1" applyFill="1" applyBorder="1" applyAlignment="1">
      <alignment horizontal="right"/>
    </xf>
    <xf numFmtId="171" fontId="18" fillId="0" borderId="11" xfId="846" applyFont="1" applyFill="1" applyBorder="1" applyAlignment="1">
      <alignment horizontal="right"/>
    </xf>
    <xf numFmtId="171" fontId="68" fillId="0" borderId="2" xfId="846" applyFont="1" applyFill="1" applyBorder="1" applyAlignment="1">
      <alignment horizontal="right"/>
    </xf>
    <xf numFmtId="171" fontId="18" fillId="0" borderId="0" xfId="846" applyFont="1" applyFill="1" applyBorder="1" applyAlignment="1">
      <alignment horizontal="right"/>
    </xf>
    <xf numFmtId="171" fontId="23" fillId="0" borderId="2" xfId="846" applyFont="1" applyFill="1" applyBorder="1" applyAlignment="1">
      <alignment horizontal="right"/>
    </xf>
    <xf numFmtId="171" fontId="23" fillId="0" borderId="0" xfId="846" applyFont="1" applyFill="1" applyBorder="1" applyAlignment="1">
      <alignment horizontal="right"/>
    </xf>
    <xf numFmtId="171" fontId="19" fillId="2" borderId="2" xfId="846" applyFont="1" applyFill="1" applyBorder="1" applyAlignment="1">
      <alignment horizontal="right"/>
    </xf>
    <xf numFmtId="171" fontId="19" fillId="2" borderId="0" xfId="846" applyFont="1" applyFill="1" applyBorder="1" applyAlignment="1">
      <alignment horizontal="right"/>
    </xf>
    <xf numFmtId="171" fontId="18" fillId="2" borderId="2" xfId="846" applyFont="1" applyFill="1" applyBorder="1" applyAlignment="1">
      <alignment horizontal="right"/>
    </xf>
    <xf numFmtId="171" fontId="18" fillId="2" borderId="0" xfId="846" applyFont="1" applyFill="1" applyBorder="1" applyAlignment="1">
      <alignment horizontal="right"/>
    </xf>
    <xf numFmtId="171" fontId="16" fillId="0" borderId="0" xfId="846" applyFont="1" applyFill="1" applyBorder="1" applyAlignment="1">
      <alignment horizontal="right"/>
    </xf>
    <xf numFmtId="171" fontId="18" fillId="3" borderId="5" xfId="846" applyFont="1" applyFill="1" applyBorder="1" applyAlignment="1">
      <alignment horizontal="right"/>
    </xf>
    <xf numFmtId="171" fontId="18" fillId="3" borderId="1" xfId="846" applyFont="1" applyFill="1" applyBorder="1" applyAlignment="1">
      <alignment horizontal="right"/>
    </xf>
    <xf numFmtId="171" fontId="18" fillId="3" borderId="4" xfId="846" applyFont="1" applyFill="1" applyBorder="1" applyAlignment="1">
      <alignment horizontal="right"/>
    </xf>
    <xf numFmtId="171" fontId="18" fillId="3" borderId="11" xfId="846" applyFont="1" applyFill="1" applyBorder="1" applyAlignment="1">
      <alignment horizontal="right"/>
    </xf>
    <xf numFmtId="3" fontId="14" fillId="0" borderId="12"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16" fillId="0" borderId="9" xfId="1" applyNumberFormat="1" applyFont="1" applyBorder="1" applyAlignment="1">
      <alignment horizontal="center"/>
    </xf>
    <xf numFmtId="165" fontId="31" fillId="0" borderId="3" xfId="0" applyNumberFormat="1" applyFont="1" applyBorder="1"/>
    <xf numFmtId="165" fontId="46" fillId="0" borderId="3" xfId="0" applyNumberFormat="1" applyFont="1" applyBorder="1"/>
    <xf numFmtId="165" fontId="31" fillId="0" borderId="3" xfId="0" applyNumberFormat="1" applyFont="1" applyFill="1" applyBorder="1"/>
    <xf numFmtId="165" fontId="46" fillId="0" borderId="6" xfId="0" applyNumberFormat="1" applyFont="1" applyBorder="1"/>
    <xf numFmtId="172" fontId="18" fillId="3" borderId="2" xfId="846" applyNumberFormat="1" applyFont="1" applyFill="1" applyBorder="1" applyAlignment="1">
      <alignment horizontal="right"/>
    </xf>
    <xf numFmtId="172" fontId="18" fillId="3" borderId="3" xfId="846" applyNumberFormat="1" applyFont="1" applyFill="1" applyBorder="1" applyAlignment="1">
      <alignment horizontal="right"/>
    </xf>
    <xf numFmtId="172" fontId="18" fillId="3" borderId="6" xfId="846" applyNumberFormat="1" applyFont="1" applyFill="1" applyBorder="1" applyAlignment="1">
      <alignment horizontal="right"/>
    </xf>
    <xf numFmtId="165" fontId="16" fillId="0" borderId="6" xfId="1" applyNumberFormat="1" applyFont="1" applyBorder="1" applyAlignment="1">
      <alignment horizontal="center"/>
    </xf>
    <xf numFmtId="165" fontId="18" fillId="3" borderId="0" xfId="1" applyNumberFormat="1" applyFont="1" applyFill="1" applyBorder="1" applyAlignment="1">
      <alignment horizontal="right"/>
    </xf>
    <xf numFmtId="165" fontId="18" fillId="3" borderId="5" xfId="1" applyNumberFormat="1" applyFont="1" applyFill="1" applyBorder="1" applyAlignment="1">
      <alignment horizontal="right"/>
    </xf>
    <xf numFmtId="0" fontId="18" fillId="0" borderId="4" xfId="1" applyFont="1" applyBorder="1"/>
    <xf numFmtId="0" fontId="16" fillId="0" borderId="0" xfId="1" applyFont="1" applyFill="1"/>
    <xf numFmtId="49" fontId="16" fillId="0" borderId="0" xfId="1" applyNumberFormat="1" applyFont="1" applyFill="1" applyBorder="1" applyAlignment="1">
      <alignment horizontal="right"/>
    </xf>
    <xf numFmtId="49" fontId="16" fillId="0" borderId="0" xfId="1" applyNumberFormat="1" applyFont="1" applyFill="1" applyBorder="1" applyAlignment="1">
      <alignment horizontal="center"/>
    </xf>
    <xf numFmtId="3" fontId="16" fillId="0" borderId="0" xfId="1" quotePrefix="1" applyNumberFormat="1" applyFont="1" applyFill="1" applyBorder="1" applyAlignment="1">
      <alignment horizontal="center"/>
    </xf>
    <xf numFmtId="171" fontId="16" fillId="3" borderId="7" xfId="846" applyFont="1" applyFill="1" applyBorder="1" applyAlignment="1">
      <alignment horizontal="right"/>
    </xf>
    <xf numFmtId="172" fontId="16" fillId="3" borderId="2" xfId="846" applyNumberFormat="1" applyFont="1" applyFill="1" applyBorder="1" applyAlignment="1">
      <alignment horizontal="right"/>
    </xf>
    <xf numFmtId="3" fontId="16" fillId="0" borderId="0" xfId="1" applyNumberFormat="1" applyFont="1" applyFill="1"/>
    <xf numFmtId="168" fontId="16" fillId="3" borderId="7" xfId="1" applyNumberFormat="1" applyFont="1" applyFill="1" applyBorder="1" applyAlignment="1">
      <alignment horizontal="right"/>
    </xf>
    <xf numFmtId="168" fontId="16" fillId="3" borderId="3" xfId="1" applyNumberFormat="1" applyFont="1" applyFill="1" applyBorder="1" applyAlignment="1">
      <alignment horizontal="right"/>
    </xf>
    <xf numFmtId="168" fontId="16" fillId="3" borderId="6" xfId="1" applyNumberFormat="1" applyFont="1" applyFill="1" applyBorder="1" applyAlignment="1">
      <alignment horizontal="right"/>
    </xf>
    <xf numFmtId="3" fontId="16" fillId="3" borderId="0" xfId="1" applyNumberFormat="1" applyFont="1" applyFill="1" applyBorder="1" applyAlignment="1">
      <alignment horizontal="right"/>
    </xf>
    <xf numFmtId="3" fontId="16" fillId="3" borderId="1" xfId="1" applyNumberFormat="1" applyFont="1" applyFill="1" applyBorder="1" applyAlignment="1">
      <alignment horizontal="right"/>
    </xf>
    <xf numFmtId="3" fontId="16" fillId="3" borderId="4" xfId="1" applyNumberFormat="1" applyFont="1" applyFill="1" applyBorder="1" applyAlignment="1">
      <alignment horizontal="right"/>
    </xf>
    <xf numFmtId="3" fontId="16" fillId="3" borderId="11" xfId="1" applyNumberFormat="1" applyFont="1" applyFill="1" applyBorder="1" applyAlignment="1">
      <alignment horizontal="right"/>
    </xf>
    <xf numFmtId="165" fontId="16" fillId="3" borderId="0" xfId="1" applyNumberFormat="1" applyFont="1" applyFill="1" applyBorder="1" applyAlignment="1">
      <alignment horizontal="right"/>
    </xf>
    <xf numFmtId="0" fontId="14" fillId="0" borderId="0" xfId="1" applyFont="1" applyBorder="1" applyAlignment="1">
      <alignment horizontal="center"/>
    </xf>
    <xf numFmtId="3" fontId="61" fillId="4" borderId="3" xfId="0" applyNumberFormat="1" applyFont="1" applyFill="1" applyBorder="1" applyAlignment="1" applyProtection="1">
      <alignment horizontal="right"/>
      <protection locked="0"/>
    </xf>
    <xf numFmtId="3" fontId="31" fillId="4" borderId="4" xfId="0" applyNumberFormat="1" applyFont="1" applyFill="1" applyBorder="1" applyAlignment="1" applyProtection="1">
      <alignment horizontal="right"/>
      <protection locked="0"/>
    </xf>
    <xf numFmtId="3" fontId="31" fillId="4" borderId="4" xfId="847" applyNumberFormat="1" applyFont="1" applyFill="1" applyBorder="1" applyAlignment="1" applyProtection="1">
      <alignment horizontal="right"/>
      <protection locked="0"/>
    </xf>
    <xf numFmtId="3" fontId="31" fillId="4" borderId="4" xfId="0" applyNumberFormat="1" applyFont="1" applyFill="1" applyBorder="1" applyAlignment="1" applyProtection="1">
      <alignment horizontal="right"/>
    </xf>
    <xf numFmtId="3" fontId="46" fillId="4" borderId="3" xfId="0" applyNumberFormat="1" applyFont="1" applyFill="1" applyBorder="1" applyAlignment="1" applyProtection="1">
      <alignment horizontal="right"/>
      <protection locked="0"/>
    </xf>
    <xf numFmtId="3" fontId="46" fillId="0" borderId="3" xfId="0" applyNumberFormat="1" applyFont="1" applyBorder="1" applyAlignment="1" applyProtection="1">
      <alignment horizontal="right"/>
      <protection locked="0"/>
    </xf>
    <xf numFmtId="3" fontId="46" fillId="0" borderId="3" xfId="0" applyNumberFormat="1" applyFont="1" applyFill="1" applyBorder="1" applyAlignment="1" applyProtection="1">
      <alignment horizontal="right"/>
      <protection locked="0"/>
    </xf>
    <xf numFmtId="3" fontId="31" fillId="0" borderId="4" xfId="0" applyNumberFormat="1" applyFont="1" applyFill="1" applyBorder="1" applyAlignment="1" applyProtection="1">
      <alignment horizontal="right"/>
      <protection locked="0"/>
    </xf>
    <xf numFmtId="3" fontId="31" fillId="0" borderId="3" xfId="0" applyNumberFormat="1" applyFont="1" applyFill="1" applyBorder="1" applyAlignment="1" applyProtection="1">
      <alignment horizontal="right"/>
      <protection locked="0"/>
    </xf>
    <xf numFmtId="3" fontId="31" fillId="0" borderId="4" xfId="0" applyNumberFormat="1" applyFont="1" applyFill="1" applyBorder="1" applyAlignment="1" applyProtection="1">
      <alignment horizontal="right"/>
    </xf>
    <xf numFmtId="3" fontId="31" fillId="0" borderId="3" xfId="845" applyNumberFormat="1" applyFont="1" applyFill="1" applyBorder="1" applyAlignment="1" applyProtection="1">
      <alignment horizontal="right"/>
      <protection locked="0"/>
    </xf>
    <xf numFmtId="3" fontId="31" fillId="0" borderId="3" xfId="0" applyNumberFormat="1" applyFont="1" applyBorder="1" applyAlignment="1" applyProtection="1">
      <alignment horizontal="right"/>
      <protection locked="0"/>
    </xf>
    <xf numFmtId="3" fontId="31" fillId="4" borderId="3" xfId="845" applyNumberFormat="1" applyFont="1" applyFill="1" applyBorder="1" applyAlignment="1" applyProtection="1">
      <alignment horizontal="right"/>
      <protection locked="0"/>
    </xf>
    <xf numFmtId="3" fontId="46" fillId="4" borderId="4" xfId="0" applyNumberFormat="1" applyFont="1" applyFill="1" applyBorder="1" applyAlignment="1" applyProtection="1">
      <alignment horizontal="right"/>
      <protection locked="0"/>
    </xf>
    <xf numFmtId="3" fontId="46" fillId="4" borderId="4" xfId="0" applyNumberFormat="1" applyFont="1" applyFill="1" applyBorder="1" applyAlignment="1" applyProtection="1">
      <alignment horizontal="right"/>
    </xf>
    <xf numFmtId="3" fontId="46" fillId="4" borderId="3" xfId="845" applyNumberFormat="1" applyFont="1" applyFill="1" applyBorder="1" applyAlignment="1" applyProtection="1">
      <alignment horizontal="right"/>
      <protection locked="0"/>
    </xf>
    <xf numFmtId="3" fontId="46" fillId="0" borderId="4" xfId="0" applyNumberFormat="1" applyFont="1" applyFill="1" applyBorder="1" applyAlignment="1" applyProtection="1">
      <alignment horizontal="right"/>
    </xf>
    <xf numFmtId="3" fontId="46" fillId="0" borderId="6" xfId="0" applyNumberFormat="1" applyFont="1" applyBorder="1" applyAlignment="1" applyProtection="1">
      <alignment horizontal="right"/>
      <protection locked="0"/>
    </xf>
    <xf numFmtId="3" fontId="46" fillId="4" borderId="6" xfId="0" applyNumberFormat="1" applyFont="1" applyFill="1" applyBorder="1" applyAlignment="1" applyProtection="1">
      <alignment horizontal="right"/>
      <protection locked="0"/>
    </xf>
    <xf numFmtId="3" fontId="46" fillId="4" borderId="6" xfId="845" applyNumberFormat="1" applyFont="1" applyFill="1" applyBorder="1" applyAlignment="1" applyProtection="1">
      <alignment horizontal="right"/>
      <protection locked="0"/>
    </xf>
    <xf numFmtId="3" fontId="51" fillId="4" borderId="11" xfId="0" applyNumberFormat="1" applyFont="1" applyFill="1" applyBorder="1" applyProtection="1">
      <protection locked="0"/>
    </xf>
    <xf numFmtId="169" fontId="16" fillId="0" borderId="6" xfId="0" applyNumberFormat="1" applyFont="1" applyFill="1" applyBorder="1" applyAlignment="1" applyProtection="1">
      <alignment horizontal="center"/>
      <protection locked="0"/>
    </xf>
    <xf numFmtId="3" fontId="61" fillId="4" borderId="4" xfId="0" applyNumberFormat="1" applyFont="1" applyFill="1" applyBorder="1" applyProtection="1">
      <protection locked="0"/>
    </xf>
    <xf numFmtId="0" fontId="46" fillId="0" borderId="4" xfId="0" applyFont="1" applyFill="1" applyBorder="1" applyProtection="1">
      <protection locked="0"/>
    </xf>
    <xf numFmtId="3" fontId="46" fillId="4" borderId="4" xfId="0" applyNumberFormat="1" applyFont="1" applyFill="1" applyBorder="1" applyProtection="1">
      <protection locked="0"/>
    </xf>
    <xf numFmtId="0" fontId="31" fillId="0" borderId="4" xfId="0" applyFont="1" applyFill="1" applyBorder="1" applyProtection="1">
      <protection locked="0"/>
    </xf>
    <xf numFmtId="0" fontId="31" fillId="0" borderId="3" xfId="0" applyFont="1" applyFill="1" applyBorder="1" applyProtection="1">
      <protection locked="0"/>
    </xf>
    <xf numFmtId="0" fontId="20" fillId="0" borderId="3" xfId="0" applyFont="1" applyFill="1" applyBorder="1" applyProtection="1">
      <protection locked="0"/>
    </xf>
    <xf numFmtId="0" fontId="46" fillId="0" borderId="11" xfId="0" applyFont="1" applyFill="1" applyBorder="1" applyProtection="1">
      <protection locked="0"/>
    </xf>
    <xf numFmtId="0" fontId="31" fillId="0" borderId="0" xfId="0" applyFont="1" applyProtection="1">
      <protection locked="0"/>
    </xf>
    <xf numFmtId="0" fontId="0" fillId="0" borderId="0" xfId="0" applyProtection="1">
      <protection locked="0"/>
    </xf>
    <xf numFmtId="0" fontId="20" fillId="0" borderId="0" xfId="0" applyFont="1" applyProtection="1">
      <protection locked="0"/>
    </xf>
    <xf numFmtId="3" fontId="31" fillId="0" borderId="0" xfId="0" applyNumberFormat="1" applyFont="1" applyBorder="1" applyProtection="1">
      <protection locked="0"/>
    </xf>
    <xf numFmtId="0" fontId="62" fillId="0" borderId="0" xfId="0" applyFont="1" applyProtection="1">
      <protection locked="0"/>
    </xf>
    <xf numFmtId="3" fontId="63" fillId="0" borderId="0" xfId="0" applyNumberFormat="1" applyFont="1" applyBorder="1" applyProtection="1">
      <protection locked="0"/>
    </xf>
    <xf numFmtId="0" fontId="42" fillId="0" borderId="0" xfId="0" applyFont="1" applyProtection="1">
      <protection locked="0"/>
    </xf>
    <xf numFmtId="0" fontId="18" fillId="0" borderId="0" xfId="3" applyFont="1" applyFill="1" applyAlignment="1" applyProtection="1">
      <protection locked="0"/>
    </xf>
    <xf numFmtId="0" fontId="58" fillId="0" borderId="0" xfId="0" applyFont="1" applyProtection="1">
      <protection locked="0"/>
    </xf>
    <xf numFmtId="3" fontId="59" fillId="4" borderId="12" xfId="0" applyNumberFormat="1" applyFont="1" applyFill="1" applyBorder="1" applyProtection="1">
      <protection locked="0"/>
    </xf>
    <xf numFmtId="3" fontId="60" fillId="4" borderId="0" xfId="0" applyNumberFormat="1" applyFont="1" applyFill="1" applyBorder="1" applyProtection="1">
      <protection locked="0"/>
    </xf>
    <xf numFmtId="14" fontId="14" fillId="0" borderId="7" xfId="0" applyNumberFormat="1" applyFont="1" applyFill="1" applyBorder="1" applyAlignment="1" applyProtection="1">
      <alignment horizontal="left"/>
      <protection locked="0"/>
    </xf>
    <xf numFmtId="3" fontId="14" fillId="0" borderId="8" xfId="0" quotePrefix="1" applyNumberFormat="1" applyFont="1" applyFill="1" applyBorder="1" applyProtection="1">
      <protection locked="0"/>
    </xf>
    <xf numFmtId="3" fontId="14" fillId="0" borderId="9" xfId="0" quotePrefix="1" applyNumberFormat="1" applyFont="1" applyFill="1" applyBorder="1" applyProtection="1">
      <protection locked="0"/>
    </xf>
    <xf numFmtId="3" fontId="14" fillId="0" borderId="10" xfId="0" quotePrefix="1" applyNumberFormat="1" applyFont="1" applyFill="1" applyBorder="1" applyProtection="1">
      <protection locked="0"/>
    </xf>
    <xf numFmtId="0" fontId="18" fillId="0" borderId="8" xfId="0" applyFont="1" applyBorder="1" applyProtection="1">
      <protection locked="0"/>
    </xf>
    <xf numFmtId="0" fontId="18" fillId="0" borderId="10" xfId="0" applyFont="1" applyBorder="1" applyProtection="1">
      <protection locked="0"/>
    </xf>
    <xf numFmtId="0" fontId="18" fillId="0" borderId="9" xfId="0" applyFont="1" applyBorder="1" applyProtection="1">
      <protection locked="0"/>
    </xf>
    <xf numFmtId="0" fontId="18" fillId="4" borderId="0" xfId="0" applyFont="1" applyFill="1" applyBorder="1" applyProtection="1">
      <protection locked="0"/>
    </xf>
    <xf numFmtId="3" fontId="46" fillId="0" borderId="1" xfId="0" applyNumberFormat="1" applyFont="1" applyFill="1" applyBorder="1" applyProtection="1">
      <protection locked="0"/>
    </xf>
    <xf numFmtId="0" fontId="46" fillId="4" borderId="0" xfId="0" applyNumberFormat="1" applyFont="1" applyFill="1" applyBorder="1" applyAlignment="1" applyProtection="1">
      <alignment horizontal="center"/>
      <protection locked="0"/>
    </xf>
    <xf numFmtId="3" fontId="46" fillId="0" borderId="4" xfId="0" applyNumberFormat="1" applyFont="1" applyFill="1" applyBorder="1" applyProtection="1">
      <protection locked="0"/>
    </xf>
    <xf numFmtId="0" fontId="16" fillId="0" borderId="7" xfId="0" applyNumberFormat="1" applyFont="1" applyFill="1" applyBorder="1" applyAlignment="1" applyProtection="1">
      <alignment horizontal="center"/>
      <protection locked="0"/>
    </xf>
    <xf numFmtId="169" fontId="14" fillId="4" borderId="0" xfId="0" applyNumberFormat="1" applyFont="1" applyFill="1" applyBorder="1" applyAlignment="1" applyProtection="1">
      <alignment horizontal="center"/>
      <protection locked="0"/>
    </xf>
    <xf numFmtId="0" fontId="14" fillId="4" borderId="0" xfId="0" applyNumberFormat="1" applyFont="1" applyFill="1" applyBorder="1" applyAlignment="1" applyProtection="1">
      <alignment horizontal="center"/>
      <protection locked="0"/>
    </xf>
    <xf numFmtId="0" fontId="20" fillId="0" borderId="0" xfId="0" applyFont="1" applyFill="1" applyProtection="1">
      <protection locked="0"/>
    </xf>
    <xf numFmtId="0" fontId="50" fillId="0" borderId="0" xfId="0" applyFont="1" applyProtection="1">
      <protection locked="0"/>
    </xf>
    <xf numFmtId="0" fontId="15" fillId="0" borderId="0" xfId="0" applyFont="1" applyProtection="1">
      <protection locked="0"/>
    </xf>
    <xf numFmtId="0" fontId="64" fillId="0" borderId="0" xfId="0" applyFont="1" applyProtection="1">
      <protection locked="0"/>
    </xf>
    <xf numFmtId="0" fontId="42" fillId="0" borderId="0" xfId="1" applyFont="1" applyProtection="1">
      <protection locked="0"/>
    </xf>
    <xf numFmtId="0" fontId="58" fillId="0" borderId="0" xfId="1" applyFont="1" applyProtection="1">
      <protection locked="0"/>
    </xf>
    <xf numFmtId="0" fontId="20" fillId="0" borderId="0" xfId="1" applyProtection="1">
      <protection locked="0"/>
    </xf>
    <xf numFmtId="0" fontId="20" fillId="0" borderId="0" xfId="1" applyFont="1" applyProtection="1">
      <protection locked="0"/>
    </xf>
    <xf numFmtId="3" fontId="46" fillId="4" borderId="0" xfId="1" applyNumberFormat="1" applyFont="1" applyFill="1" applyProtection="1">
      <protection locked="0"/>
    </xf>
    <xf numFmtId="3" fontId="16" fillId="4" borderId="0" xfId="1" applyNumberFormat="1" applyFont="1" applyFill="1" applyProtection="1">
      <protection locked="0"/>
    </xf>
    <xf numFmtId="3" fontId="14" fillId="0" borderId="8" xfId="1" quotePrefix="1" applyNumberFormat="1" applyFont="1" applyFill="1" applyBorder="1" applyAlignment="1" applyProtection="1">
      <alignment horizontal="center"/>
      <protection locked="0"/>
    </xf>
    <xf numFmtId="3" fontId="14" fillId="0" borderId="9" xfId="1" quotePrefix="1" applyNumberFormat="1" applyFont="1" applyFill="1" applyBorder="1" applyAlignment="1" applyProtection="1">
      <alignment horizontal="center"/>
      <protection locked="0"/>
    </xf>
    <xf numFmtId="3" fontId="14" fillId="0" borderId="10" xfId="1" quotePrefix="1" applyNumberFormat="1" applyFont="1" applyFill="1" applyBorder="1" applyAlignment="1" applyProtection="1">
      <alignment horizontal="center"/>
      <protection locked="0"/>
    </xf>
    <xf numFmtId="0" fontId="18" fillId="0" borderId="8" xfId="1" applyFont="1" applyBorder="1" applyProtection="1">
      <protection locked="0"/>
    </xf>
    <xf numFmtId="0" fontId="18" fillId="0" borderId="10" xfId="1" applyFont="1" applyBorder="1" applyProtection="1">
      <protection locked="0"/>
    </xf>
    <xf numFmtId="0" fontId="18" fillId="0" borderId="9" xfId="1" applyFont="1" applyBorder="1" applyProtection="1">
      <protection locked="0"/>
    </xf>
    <xf numFmtId="0" fontId="18" fillId="4" borderId="10" xfId="1" applyFont="1" applyFill="1" applyBorder="1" applyProtection="1">
      <protection locked="0"/>
    </xf>
    <xf numFmtId="0" fontId="18" fillId="4" borderId="8" xfId="1" applyFont="1" applyFill="1" applyBorder="1" applyProtection="1">
      <protection locked="0"/>
    </xf>
    <xf numFmtId="0" fontId="18" fillId="4" borderId="9" xfId="1" applyFont="1" applyFill="1" applyBorder="1" applyProtection="1">
      <protection locked="0"/>
    </xf>
    <xf numFmtId="0" fontId="20" fillId="0" borderId="9" xfId="1" applyFont="1" applyBorder="1" applyProtection="1">
      <protection locked="0"/>
    </xf>
    <xf numFmtId="3" fontId="46" fillId="0" borderId="1" xfId="1" applyNumberFormat="1" applyFont="1" applyFill="1" applyBorder="1" applyProtection="1">
      <protection locked="0"/>
    </xf>
    <xf numFmtId="3" fontId="46" fillId="0" borderId="4" xfId="1" applyNumberFormat="1" applyFont="1" applyFill="1" applyBorder="1" applyProtection="1">
      <protection locked="0"/>
    </xf>
    <xf numFmtId="0" fontId="16" fillId="0" borderId="7" xfId="1" applyNumberFormat="1" applyFont="1" applyFill="1" applyBorder="1" applyAlignment="1" applyProtection="1">
      <alignment horizontal="center"/>
      <protection locked="0"/>
    </xf>
    <xf numFmtId="3" fontId="51" fillId="4" borderId="6" xfId="1" applyNumberFormat="1" applyFont="1" applyFill="1" applyBorder="1" applyProtection="1">
      <protection locked="0"/>
    </xf>
    <xf numFmtId="169" fontId="16" fillId="0" borderId="6" xfId="1" applyNumberFormat="1" applyFont="1" applyFill="1" applyBorder="1" applyAlignment="1" applyProtection="1">
      <alignment horizontal="center"/>
      <protection locked="0"/>
    </xf>
    <xf numFmtId="3" fontId="31" fillId="4" borderId="1" xfId="1" applyNumberFormat="1" applyFont="1" applyFill="1" applyBorder="1" applyAlignment="1" applyProtection="1">
      <alignment horizontal="right"/>
      <protection locked="0"/>
    </xf>
    <xf numFmtId="3" fontId="31" fillId="4" borderId="7" xfId="1" applyNumberFormat="1" applyFont="1" applyFill="1" applyBorder="1" applyAlignment="1" applyProtection="1">
      <alignment horizontal="right"/>
      <protection locked="0"/>
    </xf>
    <xf numFmtId="3" fontId="31" fillId="4" borderId="1" xfId="15" applyNumberFormat="1" applyFont="1" applyFill="1" applyBorder="1" applyAlignment="1" applyProtection="1">
      <alignment horizontal="right"/>
      <protection locked="0"/>
    </xf>
    <xf numFmtId="0" fontId="31" fillId="4" borderId="7" xfId="1" applyFont="1" applyFill="1" applyBorder="1" applyAlignment="1" applyProtection="1">
      <alignment horizontal="right"/>
      <protection locked="0"/>
    </xf>
    <xf numFmtId="0" fontId="31" fillId="0" borderId="4" xfId="1" applyFont="1" applyFill="1" applyBorder="1" applyProtection="1">
      <protection locked="0"/>
    </xf>
    <xf numFmtId="3" fontId="31" fillId="4" borderId="4" xfId="1" applyNumberFormat="1" applyFont="1" applyFill="1" applyBorder="1" applyAlignment="1" applyProtection="1">
      <alignment horizontal="right"/>
      <protection locked="0"/>
    </xf>
    <xf numFmtId="3" fontId="31" fillId="4" borderId="3" xfId="1" applyNumberFormat="1" applyFont="1" applyFill="1" applyBorder="1" applyAlignment="1" applyProtection="1">
      <alignment horizontal="right"/>
      <protection locked="0"/>
    </xf>
    <xf numFmtId="3" fontId="31" fillId="4" borderId="4" xfId="15" applyNumberFormat="1" applyFont="1" applyFill="1" applyBorder="1" applyAlignment="1" applyProtection="1">
      <alignment horizontal="right"/>
      <protection locked="0"/>
    </xf>
    <xf numFmtId="0" fontId="31" fillId="4" borderId="3" xfId="1" applyFont="1" applyFill="1" applyBorder="1" applyAlignment="1" applyProtection="1">
      <alignment horizontal="right"/>
      <protection locked="0"/>
    </xf>
    <xf numFmtId="3" fontId="31" fillId="0" borderId="3" xfId="1" applyNumberFormat="1" applyFont="1" applyFill="1" applyBorder="1" applyAlignment="1" applyProtection="1">
      <alignment horizontal="right"/>
      <protection locked="0"/>
    </xf>
    <xf numFmtId="0" fontId="31" fillId="0" borderId="3" xfId="1" applyFont="1" applyBorder="1" applyAlignment="1" applyProtection="1">
      <alignment horizontal="right"/>
      <protection locked="0"/>
    </xf>
    <xf numFmtId="166" fontId="31" fillId="0" borderId="3" xfId="847" applyNumberFormat="1" applyFont="1" applyBorder="1" applyAlignment="1" applyProtection="1">
      <alignment horizontal="right"/>
      <protection locked="0"/>
    </xf>
    <xf numFmtId="3" fontId="31" fillId="9" borderId="3" xfId="1" applyNumberFormat="1" applyFont="1" applyFill="1" applyBorder="1" applyAlignment="1" applyProtection="1">
      <alignment horizontal="right"/>
      <protection locked="0"/>
    </xf>
    <xf numFmtId="170" fontId="31" fillId="0" borderId="3" xfId="847" applyNumberFormat="1" applyFont="1" applyBorder="1" applyAlignment="1" applyProtection="1">
      <alignment horizontal="right"/>
      <protection locked="0"/>
    </xf>
    <xf numFmtId="0" fontId="31" fillId="0" borderId="3" xfId="1" applyFont="1" applyFill="1" applyBorder="1" applyAlignment="1" applyProtection="1">
      <alignment horizontal="right"/>
      <protection locked="0"/>
    </xf>
    <xf numFmtId="166" fontId="31" fillId="4" borderId="4" xfId="847" applyNumberFormat="1" applyFont="1" applyFill="1" applyBorder="1" applyAlignment="1" applyProtection="1">
      <alignment horizontal="right"/>
      <protection locked="0"/>
    </xf>
    <xf numFmtId="166" fontId="31" fillId="4" borderId="3" xfId="847" applyNumberFormat="1" applyFont="1" applyFill="1" applyBorder="1" applyAlignment="1" applyProtection="1">
      <alignment horizontal="right"/>
      <protection locked="0"/>
    </xf>
    <xf numFmtId="0" fontId="20" fillId="0" borderId="0" xfId="1" applyFont="1" applyFill="1" applyProtection="1">
      <protection locked="0"/>
    </xf>
    <xf numFmtId="0" fontId="46" fillId="0" borderId="11" xfId="1" applyFont="1" applyFill="1" applyBorder="1" applyProtection="1">
      <protection locked="0"/>
    </xf>
    <xf numFmtId="3" fontId="46" fillId="4" borderId="6" xfId="1" applyNumberFormat="1" applyFont="1" applyFill="1" applyBorder="1" applyAlignment="1" applyProtection="1">
      <alignment horizontal="right"/>
      <protection locked="0"/>
    </xf>
    <xf numFmtId="0" fontId="50" fillId="0" borderId="0" xfId="1" applyFont="1" applyProtection="1">
      <protection locked="0"/>
    </xf>
    <xf numFmtId="0" fontId="46" fillId="0" borderId="4" xfId="1" applyFont="1" applyFill="1" applyBorder="1" applyProtection="1">
      <protection locked="0"/>
    </xf>
    <xf numFmtId="3" fontId="46" fillId="4" borderId="4" xfId="15" applyNumberFormat="1" applyFont="1" applyFill="1" applyBorder="1" applyAlignment="1" applyProtection="1">
      <alignment horizontal="right"/>
      <protection locked="0"/>
    </xf>
    <xf numFmtId="3" fontId="46" fillId="4" borderId="3" xfId="1" applyNumberFormat="1" applyFont="1" applyFill="1" applyBorder="1" applyAlignment="1" applyProtection="1">
      <alignment horizontal="right"/>
      <protection locked="0"/>
    </xf>
    <xf numFmtId="3" fontId="46" fillId="4" borderId="7" xfId="1" applyNumberFormat="1" applyFont="1" applyFill="1" applyBorder="1" applyAlignment="1" applyProtection="1">
      <alignment horizontal="right"/>
      <protection locked="0"/>
    </xf>
    <xf numFmtId="0" fontId="46" fillId="4" borderId="7" xfId="1" applyFont="1" applyFill="1" applyBorder="1" applyAlignment="1" applyProtection="1">
      <alignment horizontal="right"/>
      <protection locked="0"/>
    </xf>
    <xf numFmtId="0" fontId="46" fillId="4" borderId="15" xfId="1" applyFont="1" applyFill="1" applyBorder="1" applyAlignment="1" applyProtection="1">
      <alignment horizontal="right"/>
      <protection locked="0"/>
    </xf>
    <xf numFmtId="0" fontId="50" fillId="0" borderId="7" xfId="1" applyFont="1" applyBorder="1" applyAlignment="1" applyProtection="1">
      <alignment horizontal="right"/>
      <protection locked="0"/>
    </xf>
    <xf numFmtId="0" fontId="46" fillId="4" borderId="3" xfId="1" applyFont="1" applyFill="1" applyBorder="1" applyAlignment="1" applyProtection="1">
      <alignment horizontal="right"/>
      <protection locked="0"/>
    </xf>
    <xf numFmtId="0" fontId="46" fillId="4" borderId="2" xfId="1" applyFont="1" applyFill="1" applyBorder="1" applyAlignment="1" applyProtection="1">
      <alignment horizontal="right"/>
      <protection locked="0"/>
    </xf>
    <xf numFmtId="0" fontId="50" fillId="0" borderId="3" xfId="1" applyFont="1" applyBorder="1" applyAlignment="1" applyProtection="1">
      <alignment horizontal="right"/>
      <protection locked="0"/>
    </xf>
    <xf numFmtId="0" fontId="31" fillId="4" borderId="2" xfId="1" applyFont="1" applyFill="1" applyBorder="1" applyAlignment="1" applyProtection="1">
      <alignment horizontal="right"/>
      <protection locked="0"/>
    </xf>
    <xf numFmtId="0" fontId="31" fillId="0" borderId="0" xfId="1" applyFont="1" applyProtection="1">
      <protection locked="0"/>
    </xf>
    <xf numFmtId="3" fontId="31" fillId="4" borderId="2" xfId="1" applyNumberFormat="1" applyFont="1" applyFill="1" applyBorder="1" applyAlignment="1" applyProtection="1">
      <alignment horizontal="right"/>
      <protection locked="0"/>
    </xf>
    <xf numFmtId="3" fontId="46" fillId="4" borderId="2" xfId="1" applyNumberFormat="1" applyFont="1" applyFill="1" applyBorder="1" applyAlignment="1" applyProtection="1">
      <alignment horizontal="right"/>
      <protection locked="0"/>
    </xf>
    <xf numFmtId="0" fontId="46" fillId="0" borderId="0" xfId="1" applyFont="1" applyProtection="1">
      <protection locked="0"/>
    </xf>
    <xf numFmtId="3" fontId="46" fillId="4" borderId="11" xfId="15" applyNumberFormat="1" applyFont="1" applyFill="1" applyBorder="1" applyAlignment="1" applyProtection="1">
      <alignment horizontal="right"/>
      <protection locked="0"/>
    </xf>
    <xf numFmtId="0" fontId="46" fillId="4" borderId="6" xfId="1" applyFont="1" applyFill="1" applyBorder="1" applyAlignment="1" applyProtection="1">
      <alignment horizontal="right"/>
      <protection locked="0"/>
    </xf>
    <xf numFmtId="0" fontId="46" fillId="4" borderId="5" xfId="1" applyFont="1" applyFill="1" applyBorder="1" applyAlignment="1" applyProtection="1">
      <alignment horizontal="right"/>
      <protection locked="0"/>
    </xf>
    <xf numFmtId="0" fontId="46" fillId="0" borderId="6" xfId="1" applyFont="1" applyBorder="1" applyAlignment="1" applyProtection="1">
      <alignment horizontal="right"/>
      <protection locked="0"/>
    </xf>
    <xf numFmtId="0" fontId="46" fillId="0" borderId="7" xfId="1" applyFont="1" applyFill="1" applyBorder="1" applyProtection="1">
      <protection locked="0"/>
    </xf>
    <xf numFmtId="3" fontId="46" fillId="4" borderId="1" xfId="14" applyNumberFormat="1" applyFont="1" applyFill="1" applyBorder="1" applyAlignment="1" applyProtection="1">
      <alignment horizontal="right"/>
      <protection locked="0"/>
    </xf>
    <xf numFmtId="3" fontId="46" fillId="4" borderId="1" xfId="1" applyNumberFormat="1" applyFont="1" applyFill="1" applyBorder="1" applyAlignment="1" applyProtection="1">
      <alignment horizontal="right"/>
      <protection locked="0"/>
    </xf>
    <xf numFmtId="0" fontId="46" fillId="4" borderId="1" xfId="1" applyFont="1" applyFill="1" applyBorder="1" applyAlignment="1" applyProtection="1">
      <alignment horizontal="right"/>
      <protection locked="0"/>
    </xf>
    <xf numFmtId="0" fontId="46" fillId="0" borderId="7" xfId="1" applyFont="1" applyBorder="1" applyAlignment="1" applyProtection="1">
      <alignment horizontal="right"/>
      <protection locked="0"/>
    </xf>
    <xf numFmtId="0" fontId="46" fillId="0" borderId="0" xfId="1" applyFont="1" applyFill="1" applyProtection="1">
      <protection locked="0"/>
    </xf>
    <xf numFmtId="0" fontId="31" fillId="0" borderId="0" xfId="1" applyFont="1" applyFill="1" applyProtection="1">
      <protection locked="0"/>
    </xf>
    <xf numFmtId="0" fontId="62" fillId="0" borderId="0" xfId="1" applyFont="1" applyBorder="1" applyProtection="1">
      <protection locked="0"/>
    </xf>
    <xf numFmtId="0" fontId="62" fillId="0" borderId="0" xfId="1" applyFont="1" applyProtection="1">
      <protection locked="0"/>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0" xfId="1" applyNumberFormat="1" applyFont="1" applyBorder="1" applyAlignment="1">
      <alignment horizontal="center"/>
    </xf>
    <xf numFmtId="3" fontId="14" fillId="0" borderId="12" xfId="1" applyNumberFormat="1" applyFont="1" applyBorder="1" applyAlignment="1">
      <alignment horizontal="center"/>
    </xf>
    <xf numFmtId="3" fontId="14" fillId="0" borderId="0" xfId="1" applyNumberFormat="1" applyFont="1" applyFill="1" applyBorder="1" applyAlignment="1">
      <alignment horizontal="center"/>
    </xf>
    <xf numFmtId="0" fontId="18" fillId="0" borderId="6" xfId="0" applyFont="1" applyFill="1" applyBorder="1"/>
    <xf numFmtId="3" fontId="18" fillId="0" borderId="3" xfId="847" applyNumberFormat="1" applyFont="1" applyBorder="1" applyAlignment="1">
      <alignment horizontal="left"/>
    </xf>
    <xf numFmtId="0" fontId="16" fillId="0" borderId="6" xfId="1" applyFont="1" applyFill="1" applyBorder="1"/>
    <xf numFmtId="3" fontId="18" fillId="0" borderId="3" xfId="847" applyNumberFormat="1" applyFont="1" applyFill="1" applyBorder="1" applyAlignment="1">
      <alignment horizontal="left"/>
    </xf>
    <xf numFmtId="0" fontId="16" fillId="0" borderId="4" xfId="1" applyFont="1" applyFill="1" applyBorder="1"/>
    <xf numFmtId="0" fontId="16" fillId="0" borderId="11" xfId="1" applyFont="1" applyFill="1" applyBorder="1"/>
    <xf numFmtId="0" fontId="46" fillId="2" borderId="3" xfId="0" applyFont="1" applyFill="1" applyBorder="1" applyProtection="1">
      <protection locked="0"/>
    </xf>
    <xf numFmtId="0" fontId="46" fillId="2" borderId="6" xfId="0" applyFont="1" applyFill="1" applyBorder="1" applyProtection="1">
      <protection locked="0"/>
    </xf>
    <xf numFmtId="3" fontId="31" fillId="4" borderId="1" xfId="0" applyNumberFormat="1" applyFont="1" applyFill="1" applyBorder="1" applyAlignment="1" applyProtection="1">
      <alignment horizontal="right"/>
      <protection locked="0"/>
    </xf>
    <xf numFmtId="0" fontId="31" fillId="0" borderId="3" xfId="0" applyFont="1" applyBorder="1" applyAlignment="1" applyProtection="1">
      <alignment horizontal="right"/>
      <protection locked="0"/>
    </xf>
    <xf numFmtId="3" fontId="31" fillId="4" borderId="7" xfId="0" applyNumberFormat="1" applyFont="1" applyFill="1" applyBorder="1" applyAlignment="1" applyProtection="1">
      <alignment horizontal="right"/>
      <protection locked="0"/>
    </xf>
    <xf numFmtId="1" fontId="31" fillId="0" borderId="3" xfId="0" applyNumberFormat="1" applyFont="1" applyBorder="1" applyAlignment="1" applyProtection="1">
      <alignment horizontal="right"/>
      <protection locked="0"/>
    </xf>
    <xf numFmtId="0" fontId="31" fillId="0" borderId="0" xfId="7" applyFont="1" applyProtection="1">
      <protection locked="0"/>
    </xf>
    <xf numFmtId="4" fontId="31" fillId="4" borderId="4" xfId="7" applyNumberFormat="1" applyFont="1" applyFill="1" applyBorder="1" applyAlignment="1" applyProtection="1">
      <alignment horizontal="right"/>
      <protection locked="0"/>
    </xf>
    <xf numFmtId="3" fontId="31" fillId="4" borderId="4" xfId="7" applyNumberFormat="1" applyFont="1" applyFill="1" applyBorder="1" applyAlignment="1" applyProtection="1">
      <alignment horizontal="right"/>
      <protection locked="0"/>
    </xf>
    <xf numFmtId="3" fontId="31" fillId="4" borderId="11" xfId="7" applyNumberFormat="1" applyFont="1" applyFill="1" applyBorder="1" applyAlignment="1" applyProtection="1">
      <alignment horizontal="right"/>
      <protection locked="0"/>
    </xf>
    <xf numFmtId="4" fontId="31" fillId="4" borderId="3" xfId="7" applyNumberFormat="1" applyFont="1" applyFill="1" applyBorder="1" applyAlignment="1" applyProtection="1">
      <alignment horizontal="right"/>
      <protection locked="0"/>
    </xf>
    <xf numFmtId="3" fontId="31" fillId="4" borderId="3" xfId="7" applyNumberFormat="1" applyFont="1" applyFill="1" applyBorder="1" applyAlignment="1" applyProtection="1">
      <alignment horizontal="right"/>
      <protection locked="0"/>
    </xf>
    <xf numFmtId="3" fontId="31" fillId="4" borderId="6" xfId="7" applyNumberFormat="1" applyFont="1" applyFill="1" applyBorder="1" applyAlignment="1" applyProtection="1">
      <alignment horizontal="right"/>
      <protection locked="0"/>
    </xf>
    <xf numFmtId="171" fontId="16" fillId="0" borderId="3" xfId="846" applyFont="1" applyBorder="1" applyAlignment="1">
      <alignment horizontal="right"/>
    </xf>
    <xf numFmtId="3" fontId="46" fillId="0" borderId="6" xfId="0" applyNumberFormat="1" applyFont="1" applyFill="1" applyBorder="1" applyAlignment="1" applyProtection="1">
      <alignment horizontal="right"/>
    </xf>
    <xf numFmtId="0" fontId="31" fillId="2" borderId="3" xfId="0" applyFont="1" applyFill="1" applyBorder="1" applyProtection="1">
      <protection locked="0"/>
    </xf>
    <xf numFmtId="0" fontId="31" fillId="2" borderId="6" xfId="0" applyFont="1" applyFill="1" applyBorder="1" applyProtection="1">
      <protection locked="0"/>
    </xf>
    <xf numFmtId="3" fontId="14" fillId="0" borderId="0" xfId="1" applyNumberFormat="1" applyFont="1" applyFill="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12"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14" fillId="0" borderId="12" xfId="1" applyNumberFormat="1" applyFont="1" applyFill="1" applyBorder="1"/>
    <xf numFmtId="3" fontId="15" fillId="0" borderId="0" xfId="1" applyNumberFormat="1" applyFont="1" applyFill="1" applyBorder="1" applyAlignment="1">
      <alignment horizontal="center"/>
    </xf>
    <xf numFmtId="3" fontId="31" fillId="4" borderId="1" xfId="0" applyNumberFormat="1" applyFont="1" applyFill="1" applyBorder="1" applyAlignment="1">
      <alignment horizontal="right"/>
    </xf>
    <xf numFmtId="3" fontId="31" fillId="4" borderId="4" xfId="0" applyNumberFormat="1" applyFont="1" applyFill="1" applyBorder="1" applyAlignment="1">
      <alignment horizontal="right"/>
    </xf>
    <xf numFmtId="3" fontId="31" fillId="4" borderId="3" xfId="0" applyNumberFormat="1" applyFont="1" applyFill="1" applyBorder="1" applyAlignment="1">
      <alignment horizontal="right"/>
    </xf>
    <xf numFmtId="3" fontId="31" fillId="0" borderId="4" xfId="0" applyNumberFormat="1" applyFont="1" applyBorder="1" applyAlignment="1" applyProtection="1">
      <alignment horizontal="right"/>
      <protection locked="0"/>
    </xf>
    <xf numFmtId="0" fontId="42" fillId="0" borderId="0" xfId="7" applyFont="1" applyProtection="1">
      <protection locked="0"/>
    </xf>
    <xf numFmtId="0" fontId="18" fillId="0" borderId="0" xfId="3" applyFont="1" applyAlignment="1">
      <protection locked="0"/>
    </xf>
    <xf numFmtId="0" fontId="20" fillId="0" borderId="0" xfId="7" applyProtection="1">
      <protection locked="0"/>
    </xf>
    <xf numFmtId="3" fontId="59" fillId="4" borderId="0" xfId="7" applyNumberFormat="1" applyFont="1" applyFill="1" applyProtection="1">
      <protection locked="0"/>
    </xf>
    <xf numFmtId="14" fontId="14" fillId="0" borderId="7" xfId="7" applyNumberFormat="1" applyFont="1" applyBorder="1" applyAlignment="1" applyProtection="1">
      <alignment horizontal="left"/>
      <protection locked="0"/>
    </xf>
    <xf numFmtId="0" fontId="18" fillId="0" borderId="10" xfId="7" applyFont="1" applyBorder="1" applyProtection="1">
      <protection locked="0"/>
    </xf>
    <xf numFmtId="0" fontId="18" fillId="0" borderId="8" xfId="7" applyFont="1" applyBorder="1" applyProtection="1">
      <protection locked="0"/>
    </xf>
    <xf numFmtId="0" fontId="18" fillId="0" borderId="9" xfId="7" applyFont="1" applyBorder="1" applyProtection="1">
      <protection locked="0"/>
    </xf>
    <xf numFmtId="0" fontId="70" fillId="0" borderId="8" xfId="7" applyFont="1" applyBorder="1" applyAlignment="1" applyProtection="1">
      <alignment horizontal="center"/>
      <protection locked="0"/>
    </xf>
    <xf numFmtId="0" fontId="18" fillId="4" borderId="0" xfId="7" applyFont="1" applyFill="1" applyProtection="1">
      <protection locked="0"/>
    </xf>
    <xf numFmtId="3" fontId="46" fillId="0" borderId="1" xfId="7" applyNumberFormat="1" applyFont="1" applyBorder="1" applyProtection="1">
      <protection locked="0"/>
    </xf>
    <xf numFmtId="0" fontId="46" fillId="4" borderId="0" xfId="7" applyFont="1" applyFill="1" applyAlignment="1" applyProtection="1">
      <alignment horizontal="center"/>
      <protection locked="0"/>
    </xf>
    <xf numFmtId="3" fontId="46" fillId="0" borderId="4" xfId="7" applyNumberFormat="1" applyFont="1" applyBorder="1" applyProtection="1">
      <protection locked="0"/>
    </xf>
    <xf numFmtId="0" fontId="16" fillId="0" borderId="1" xfId="7" applyFont="1" applyBorder="1" applyAlignment="1" applyProtection="1">
      <alignment horizontal="center"/>
      <protection locked="0"/>
    </xf>
    <xf numFmtId="0" fontId="16" fillId="0" borderId="7" xfId="7" applyFont="1" applyBorder="1" applyAlignment="1" applyProtection="1">
      <alignment horizontal="center"/>
      <protection locked="0"/>
    </xf>
    <xf numFmtId="3" fontId="51" fillId="4" borderId="11" xfId="7" applyNumberFormat="1" applyFont="1" applyFill="1" applyBorder="1" applyProtection="1">
      <protection locked="0"/>
    </xf>
    <xf numFmtId="0" fontId="14" fillId="0" borderId="6" xfId="7" applyFont="1" applyBorder="1" applyAlignment="1" applyProtection="1">
      <alignment horizontal="center"/>
      <protection locked="0"/>
    </xf>
    <xf numFmtId="169" fontId="16" fillId="0" borderId="6" xfId="7" applyNumberFormat="1" applyFont="1" applyBorder="1" applyAlignment="1" applyProtection="1">
      <alignment horizontal="center"/>
      <protection locked="0"/>
    </xf>
    <xf numFmtId="169" fontId="14" fillId="4" borderId="0" xfId="7" applyNumberFormat="1" applyFont="1" applyFill="1" applyAlignment="1" applyProtection="1">
      <alignment horizontal="center"/>
      <protection locked="0"/>
    </xf>
    <xf numFmtId="0" fontId="14" fillId="4" borderId="0" xfId="7" applyFont="1" applyFill="1" applyAlignment="1" applyProtection="1">
      <alignment horizontal="center"/>
      <protection locked="0"/>
    </xf>
    <xf numFmtId="0" fontId="46" fillId="0" borderId="7" xfId="7" applyFont="1" applyBorder="1" applyProtection="1">
      <protection locked="0"/>
    </xf>
    <xf numFmtId="4" fontId="31" fillId="4" borderId="7" xfId="7" applyNumberFormat="1" applyFont="1" applyFill="1" applyBorder="1" applyAlignment="1" applyProtection="1">
      <alignment horizontal="right"/>
      <protection locked="0"/>
    </xf>
    <xf numFmtId="0" fontId="31" fillId="0" borderId="3" xfId="7" applyFont="1" applyBorder="1" applyProtection="1">
      <protection locked="0"/>
    </xf>
    <xf numFmtId="0" fontId="31" fillId="0" borderId="6" xfId="7" applyFont="1" applyBorder="1" applyProtection="1">
      <protection locked="0"/>
    </xf>
    <xf numFmtId="0" fontId="31" fillId="0" borderId="3" xfId="0" applyFont="1" applyBorder="1" applyAlignment="1">
      <alignment horizontal="right"/>
    </xf>
    <xf numFmtId="0" fontId="14" fillId="0" borderId="6" xfId="0" applyFont="1" applyBorder="1" applyAlignment="1" applyProtection="1">
      <alignment horizontal="center"/>
      <protection locked="0"/>
    </xf>
    <xf numFmtId="0" fontId="14" fillId="0" borderId="11" xfId="0" applyFont="1" applyBorder="1" applyAlignment="1" applyProtection="1">
      <alignment horizontal="center"/>
      <protection locked="0"/>
    </xf>
    <xf numFmtId="3" fontId="31" fillId="4" borderId="0" xfId="0" applyNumberFormat="1" applyFont="1" applyFill="1" applyAlignment="1">
      <alignment horizontal="right"/>
    </xf>
    <xf numFmtId="3" fontId="31" fillId="4" borderId="0" xfId="0" applyNumberFormat="1" applyFont="1" applyFill="1" applyAlignment="1" applyProtection="1">
      <alignment horizontal="right"/>
      <protection locked="0"/>
    </xf>
    <xf numFmtId="3" fontId="61" fillId="4" borderId="3" xfId="0" applyNumberFormat="1" applyFont="1" applyFill="1" applyBorder="1" applyAlignment="1">
      <alignment horizontal="right"/>
    </xf>
    <xf numFmtId="3" fontId="46" fillId="4" borderId="3" xfId="0" applyNumberFormat="1" applyFont="1" applyFill="1" applyBorder="1" applyAlignment="1">
      <alignment horizontal="right"/>
    </xf>
    <xf numFmtId="3" fontId="31" fillId="4" borderId="7" xfId="0" applyNumberFormat="1" applyFont="1" applyFill="1" applyBorder="1" applyAlignment="1">
      <alignment horizontal="right"/>
    </xf>
    <xf numFmtId="1" fontId="31" fillId="0" borderId="3" xfId="0" applyNumberFormat="1" applyFont="1" applyBorder="1" applyAlignment="1">
      <alignment horizontal="right"/>
    </xf>
    <xf numFmtId="3" fontId="46" fillId="4" borderId="4" xfId="15" applyNumberFormat="1" applyFont="1" applyFill="1" applyBorder="1" applyAlignment="1" applyProtection="1">
      <alignment horizontal="right"/>
    </xf>
    <xf numFmtId="3" fontId="31" fillId="4" borderId="4" xfId="15" applyNumberFormat="1" applyFont="1" applyFill="1" applyBorder="1" applyAlignment="1" applyProtection="1">
      <alignment horizontal="right"/>
    </xf>
    <xf numFmtId="3" fontId="46" fillId="4" borderId="11" xfId="15" applyNumberFormat="1" applyFont="1" applyFill="1" applyBorder="1" applyAlignment="1" applyProtection="1">
      <alignment horizontal="right"/>
    </xf>
    <xf numFmtId="166" fontId="31" fillId="0" borderId="3" xfId="847" applyNumberFormat="1" applyFont="1" applyBorder="1" applyAlignment="1" applyProtection="1">
      <alignment horizontal="right"/>
    </xf>
    <xf numFmtId="166" fontId="31" fillId="4" borderId="4" xfId="847" applyNumberFormat="1" applyFont="1" applyFill="1" applyBorder="1" applyAlignment="1" applyProtection="1">
      <alignment horizontal="right"/>
    </xf>
    <xf numFmtId="166" fontId="31" fillId="4" borderId="3" xfId="847" applyNumberFormat="1" applyFont="1" applyFill="1" applyBorder="1" applyAlignment="1" applyProtection="1">
      <alignment horizontal="right"/>
    </xf>
    <xf numFmtId="170" fontId="31" fillId="0" borderId="3" xfId="847" applyNumberFormat="1" applyFont="1" applyBorder="1" applyAlignment="1" applyProtection="1">
      <alignment horizontal="right"/>
    </xf>
    <xf numFmtId="4" fontId="31" fillId="4" borderId="3" xfId="7" applyNumberFormat="1" applyFont="1" applyFill="1" applyBorder="1" applyAlignment="1" applyProtection="1">
      <alignment horizontal="right"/>
      <protection locked="0"/>
    </xf>
    <xf numFmtId="3" fontId="31" fillId="4" borderId="3" xfId="7" applyNumberFormat="1" applyFont="1" applyFill="1" applyBorder="1" applyAlignment="1" applyProtection="1">
      <alignment horizontal="right"/>
      <protection locked="0"/>
    </xf>
    <xf numFmtId="3" fontId="31" fillId="4" borderId="6" xfId="7" applyNumberFormat="1" applyFont="1" applyFill="1" applyBorder="1" applyAlignment="1" applyProtection="1">
      <alignment horizontal="right"/>
      <protection locked="0"/>
    </xf>
    <xf numFmtId="3" fontId="31" fillId="4" borderId="1" xfId="15" applyNumberFormat="1" applyFont="1" applyFill="1" applyBorder="1" applyAlignment="1" applyProtection="1">
      <alignment horizontal="right"/>
    </xf>
    <xf numFmtId="3" fontId="31" fillId="4" borderId="4" xfId="847" applyNumberFormat="1" applyFont="1" applyFill="1" applyBorder="1" applyAlignment="1" applyProtection="1">
      <alignment horizontal="right"/>
    </xf>
    <xf numFmtId="3" fontId="31" fillId="0" borderId="4" xfId="847" applyNumberFormat="1" applyFont="1" applyFill="1" applyBorder="1" applyAlignment="1" applyProtection="1">
      <alignment horizontal="right"/>
      <protection locked="0"/>
    </xf>
    <xf numFmtId="165" fontId="31" fillId="4" borderId="6" xfId="7" applyNumberFormat="1" applyFont="1" applyFill="1" applyBorder="1" applyAlignment="1" applyProtection="1">
      <alignment horizontal="right"/>
      <protection locked="0"/>
    </xf>
    <xf numFmtId="4" fontId="31" fillId="10" borderId="4" xfId="7" applyNumberFormat="1" applyFont="1" applyFill="1" applyBorder="1" applyAlignment="1" applyProtection="1">
      <alignment horizontal="right"/>
      <protection locked="0"/>
    </xf>
    <xf numFmtId="0" fontId="57" fillId="0" borderId="0" xfId="0" applyFont="1" applyFill="1"/>
    <xf numFmtId="3" fontId="31" fillId="0" borderId="4" xfId="847" applyNumberFormat="1" applyFont="1" applyBorder="1" applyAlignment="1" applyProtection="1">
      <alignment horizontal="right"/>
    </xf>
    <xf numFmtId="3" fontId="14" fillId="0" borderId="12"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46" fillId="4" borderId="1" xfId="15" applyNumberFormat="1" applyFont="1" applyFill="1" applyBorder="1" applyAlignment="1" applyProtection="1">
      <alignment horizontal="right"/>
      <protection locked="0"/>
    </xf>
    <xf numFmtId="0" fontId="46" fillId="0" borderId="1" xfId="1" applyNumberFormat="1" applyFont="1" applyFill="1" applyBorder="1" applyAlignment="1" applyProtection="1">
      <alignment horizontal="center"/>
      <protection locked="0"/>
    </xf>
    <xf numFmtId="0" fontId="46" fillId="0" borderId="14" xfId="1" applyNumberFormat="1" applyFont="1" applyFill="1" applyBorder="1" applyAlignment="1" applyProtection="1">
      <alignment horizontal="center"/>
      <protection locked="0"/>
    </xf>
    <xf numFmtId="0" fontId="46" fillId="0" borderId="15" xfId="1" applyNumberFormat="1" applyFont="1" applyFill="1" applyBorder="1" applyAlignment="1" applyProtection="1">
      <alignment horizontal="center"/>
      <protection locked="0"/>
    </xf>
    <xf numFmtId="0" fontId="46" fillId="4" borderId="0" xfId="0" applyNumberFormat="1" applyFont="1" applyFill="1" applyBorder="1" applyAlignment="1" applyProtection="1">
      <alignment horizontal="center"/>
      <protection locked="0"/>
    </xf>
    <xf numFmtId="0" fontId="46" fillId="0" borderId="1" xfId="0" applyNumberFormat="1" applyFont="1" applyFill="1" applyBorder="1" applyAlignment="1" applyProtection="1">
      <alignment horizontal="center"/>
      <protection locked="0"/>
    </xf>
    <xf numFmtId="0" fontId="46" fillId="0" borderId="14" xfId="0" applyNumberFormat="1" applyFont="1" applyFill="1" applyBorder="1" applyAlignment="1" applyProtection="1">
      <alignment horizontal="center"/>
      <protection locked="0"/>
    </xf>
    <xf numFmtId="0" fontId="46" fillId="0" borderId="15" xfId="0" applyNumberFormat="1" applyFont="1" applyFill="1" applyBorder="1" applyAlignment="1" applyProtection="1">
      <alignment horizontal="center"/>
      <protection locked="0"/>
    </xf>
    <xf numFmtId="0" fontId="46" fillId="0" borderId="1" xfId="7" applyFont="1" applyFill="1" applyBorder="1" applyAlignment="1" applyProtection="1">
      <alignment horizontal="center"/>
      <protection locked="0"/>
    </xf>
    <xf numFmtId="0" fontId="46" fillId="0" borderId="14" xfId="7" applyFont="1" applyFill="1" applyBorder="1" applyAlignment="1" applyProtection="1">
      <alignment horizontal="center"/>
      <protection locked="0"/>
    </xf>
    <xf numFmtId="0" fontId="46" fillId="0" borderId="15" xfId="7" applyFont="1" applyFill="1" applyBorder="1" applyAlignment="1" applyProtection="1">
      <alignment horizontal="center"/>
      <protection locked="0"/>
    </xf>
    <xf numFmtId="0" fontId="46" fillId="4" borderId="0" xfId="7" applyFont="1" applyFill="1" applyAlignment="1" applyProtection="1">
      <alignment horizontal="center"/>
      <protection locked="0"/>
    </xf>
    <xf numFmtId="173" fontId="46" fillId="4" borderId="11" xfId="15" applyNumberFormat="1" applyFont="1" applyFill="1" applyBorder="1" applyAlignment="1" applyProtection="1">
      <alignment horizontal="right"/>
      <protection locked="0"/>
    </xf>
    <xf numFmtId="3" fontId="46" fillId="0" borderId="4" xfId="15" applyNumberFormat="1" applyFont="1" applyBorder="1" applyAlignment="1" applyProtection="1">
      <alignment horizontal="right"/>
    </xf>
    <xf numFmtId="3" fontId="46" fillId="0" borderId="11" xfId="15" applyNumberFormat="1" applyFont="1" applyBorder="1" applyAlignment="1" applyProtection="1">
      <alignment horizontal="right"/>
    </xf>
    <xf numFmtId="3" fontId="16" fillId="4" borderId="0" xfId="0" applyNumberFormat="1" applyFont="1" applyFill="1" applyProtection="1">
      <protection locked="0"/>
    </xf>
    <xf numFmtId="3" fontId="46" fillId="0" borderId="4" xfId="0" applyNumberFormat="1" applyFont="1" applyBorder="1" applyProtection="1">
      <protection locked="0"/>
    </xf>
    <xf numFmtId="0" fontId="16" fillId="0" borderId="7" xfId="0" applyFont="1" applyBorder="1" applyAlignment="1" applyProtection="1">
      <alignment horizontal="center"/>
      <protection locked="0"/>
    </xf>
    <xf numFmtId="169" fontId="16" fillId="0" borderId="6" xfId="0" applyNumberFormat="1" applyFont="1" applyBorder="1" applyAlignment="1" applyProtection="1">
      <alignment horizontal="center"/>
      <protection locked="0"/>
    </xf>
    <xf numFmtId="3" fontId="31" fillId="9" borderId="3" xfId="0" applyNumberFormat="1" applyFont="1" applyFill="1" applyBorder="1" applyAlignment="1" applyProtection="1">
      <alignment horizontal="right"/>
      <protection locked="0"/>
    </xf>
    <xf numFmtId="3" fontId="46" fillId="4" borderId="7" xfId="0" applyNumberFormat="1" applyFont="1" applyFill="1" applyBorder="1" applyAlignment="1" applyProtection="1">
      <alignment horizontal="right"/>
      <protection locked="0"/>
    </xf>
    <xf numFmtId="0" fontId="16" fillId="0" borderId="1" xfId="0" applyFont="1" applyBorder="1" applyAlignment="1" applyProtection="1">
      <alignment horizontal="center"/>
      <protection locked="0"/>
    </xf>
    <xf numFmtId="3" fontId="46" fillId="0" borderId="4" xfId="0" applyNumberFormat="1" applyFont="1" applyBorder="1" applyAlignment="1" applyProtection="1">
      <alignment horizontal="right"/>
      <protection locked="0"/>
    </xf>
    <xf numFmtId="3" fontId="46" fillId="4" borderId="11" xfId="0" applyNumberFormat="1" applyFont="1" applyFill="1" applyBorder="1" applyAlignment="1" applyProtection="1">
      <alignment horizontal="right"/>
      <protection locked="0"/>
    </xf>
    <xf numFmtId="3" fontId="46" fillId="0" borderId="2" xfId="0" applyNumberFormat="1" applyFont="1" applyFill="1" applyBorder="1"/>
    <xf numFmtId="3" fontId="16" fillId="0" borderId="6" xfId="1" applyNumberFormat="1" applyFont="1" applyFill="1" applyBorder="1"/>
    <xf numFmtId="3" fontId="16" fillId="0" borderId="11" xfId="1" applyNumberFormat="1" applyFont="1" applyFill="1" applyBorder="1"/>
    <xf numFmtId="3" fontId="18" fillId="0" borderId="8" xfId="1" applyNumberFormat="1" applyFont="1" applyFill="1" applyBorder="1"/>
    <xf numFmtId="0" fontId="18" fillId="0" borderId="4" xfId="0" applyFont="1" applyBorder="1"/>
    <xf numFmtId="3" fontId="18" fillId="0" borderId="2" xfId="2" applyNumberFormat="1" applyFont="1" applyFill="1" applyBorder="1" applyAlignment="1">
      <alignment horizontal="right"/>
    </xf>
    <xf numFmtId="3" fontId="18" fillId="0" borderId="5" xfId="1" applyNumberFormat="1" applyFont="1" applyFill="1" applyBorder="1" applyAlignment="1">
      <alignment horizontal="right"/>
    </xf>
    <xf numFmtId="3" fontId="18" fillId="0" borderId="2" xfId="2" applyNumberFormat="1" applyFont="1" applyBorder="1" applyAlignment="1">
      <alignment horizontal="right"/>
    </xf>
    <xf numFmtId="3" fontId="18" fillId="0" borderId="12" xfId="1" applyNumberFormat="1" applyFont="1" applyFill="1" applyBorder="1" applyAlignment="1">
      <alignment horizontal="right"/>
    </xf>
    <xf numFmtId="171" fontId="18" fillId="0" borderId="5" xfId="846" applyFont="1" applyFill="1" applyBorder="1" applyAlignment="1">
      <alignment horizontal="right"/>
    </xf>
    <xf numFmtId="171" fontId="18" fillId="0" borderId="2" xfId="846" applyFont="1" applyBorder="1" applyAlignment="1">
      <alignment horizontal="right"/>
    </xf>
    <xf numFmtId="171" fontId="18" fillId="0" borderId="12" xfId="846" applyFont="1" applyFill="1" applyBorder="1" applyAlignment="1">
      <alignment horizontal="right"/>
    </xf>
    <xf numFmtId="165" fontId="16" fillId="3" borderId="7" xfId="1" applyNumberFormat="1" applyFont="1" applyFill="1" applyBorder="1" applyAlignment="1">
      <alignment horizontal="right"/>
    </xf>
    <xf numFmtId="0" fontId="15" fillId="0" borderId="0" xfId="7" applyFont="1" applyAlignment="1">
      <alignment horizontal="right"/>
    </xf>
    <xf numFmtId="0" fontId="15" fillId="0" borderId="0" xfId="7" applyFont="1" applyAlignment="1">
      <alignment wrapText="1"/>
    </xf>
    <xf numFmtId="14" fontId="31" fillId="0" borderId="0" xfId="1" applyNumberFormat="1" applyFont="1" applyAlignment="1">
      <alignment horizontal="center"/>
    </xf>
    <xf numFmtId="0" fontId="46" fillId="0" borderId="12" xfId="0" applyFont="1" applyBorder="1" applyAlignment="1">
      <alignment horizontal="left"/>
    </xf>
    <xf numFmtId="0" fontId="46" fillId="0" borderId="10" xfId="0" applyFont="1" applyBorder="1" applyAlignment="1">
      <alignment horizontal="center"/>
    </xf>
    <xf numFmtId="0" fontId="46" fillId="0" borderId="8" xfId="0" applyFont="1" applyBorder="1" applyAlignment="1">
      <alignment horizontal="center"/>
    </xf>
    <xf numFmtId="0" fontId="46" fillId="0" borderId="9" xfId="0" applyFont="1" applyBorder="1" applyAlignment="1">
      <alignment horizontal="center"/>
    </xf>
    <xf numFmtId="0" fontId="46" fillId="0" borderId="14" xfId="0" applyFont="1" applyBorder="1" applyAlignment="1">
      <alignment horizontal="center"/>
    </xf>
    <xf numFmtId="0" fontId="46" fillId="0" borderId="15" xfId="0" applyFont="1" applyBorder="1" applyAlignment="1">
      <alignment horizontal="center"/>
    </xf>
    <xf numFmtId="0" fontId="46" fillId="0" borderId="1" xfId="0" applyFont="1" applyBorder="1" applyAlignment="1">
      <alignment horizontal="center"/>
    </xf>
    <xf numFmtId="14" fontId="14" fillId="0" borderId="11" xfId="0" applyNumberFormat="1" applyFont="1" applyFill="1" applyBorder="1" applyAlignment="1">
      <alignment horizontal="center"/>
    </xf>
    <xf numFmtId="14" fontId="14" fillId="0" borderId="12" xfId="0" applyNumberFormat="1" applyFont="1" applyFill="1" applyBorder="1" applyAlignment="1">
      <alignment horizontal="center"/>
    </xf>
    <xf numFmtId="14" fontId="14" fillId="0" borderId="5" xfId="0" applyNumberFormat="1" applyFont="1" applyFill="1" applyBorder="1" applyAlignment="1">
      <alignment horizontal="center"/>
    </xf>
    <xf numFmtId="3" fontId="46" fillId="0" borderId="11" xfId="0" applyNumberFormat="1" applyFont="1" applyBorder="1" applyAlignment="1">
      <alignment horizontal="center"/>
    </xf>
    <xf numFmtId="3" fontId="46" fillId="0" borderId="12" xfId="0" applyNumberFormat="1" applyFont="1" applyBorder="1" applyAlignment="1">
      <alignment horizontal="center"/>
    </xf>
    <xf numFmtId="3" fontId="46" fillId="0" borderId="5" xfId="0" applyNumberFormat="1" applyFont="1" applyBorder="1" applyAlignment="1">
      <alignment horizontal="center"/>
    </xf>
    <xf numFmtId="0" fontId="14" fillId="0" borderId="0" xfId="1" applyFont="1" applyBorder="1" applyAlignment="1">
      <alignment horizontal="center"/>
    </xf>
    <xf numFmtId="0" fontId="16" fillId="0" borderId="10" xfId="1" applyFont="1" applyBorder="1" applyAlignment="1">
      <alignment horizontal="center"/>
    </xf>
    <xf numFmtId="0" fontId="16" fillId="0" borderId="8" xfId="1" applyFont="1" applyBorder="1" applyAlignment="1">
      <alignment horizontal="center"/>
    </xf>
    <xf numFmtId="0" fontId="16" fillId="0" borderId="9" xfId="1" applyFont="1" applyBorder="1" applyAlignment="1">
      <alignment horizontal="center"/>
    </xf>
    <xf numFmtId="0" fontId="14" fillId="0" borderId="0" xfId="1" applyFont="1" applyFill="1" applyBorder="1" applyAlignment="1">
      <alignment horizontal="center"/>
    </xf>
    <xf numFmtId="3" fontId="14" fillId="0" borderId="12"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14" xfId="1" applyNumberFormat="1" applyFont="1" applyFill="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0" fontId="46" fillId="0" borderId="1" xfId="1" applyNumberFormat="1" applyFont="1" applyFill="1" applyBorder="1" applyAlignment="1" applyProtection="1">
      <alignment horizontal="center"/>
      <protection locked="0"/>
    </xf>
    <xf numFmtId="0" fontId="46" fillId="0" borderId="14" xfId="1" applyNumberFormat="1" applyFont="1" applyFill="1" applyBorder="1" applyAlignment="1" applyProtection="1">
      <alignment horizontal="center"/>
      <protection locked="0"/>
    </xf>
    <xf numFmtId="0" fontId="46" fillId="0" borderId="15" xfId="1" applyNumberFormat="1" applyFont="1" applyFill="1" applyBorder="1" applyAlignment="1" applyProtection="1">
      <alignment horizontal="center"/>
      <protection locked="0"/>
    </xf>
    <xf numFmtId="0" fontId="46" fillId="0" borderId="11" xfId="1" applyNumberFormat="1" applyFont="1" applyFill="1" applyBorder="1" applyAlignment="1" applyProtection="1">
      <alignment horizontal="center"/>
      <protection locked="0"/>
    </xf>
    <xf numFmtId="0" fontId="46" fillId="0" borderId="12" xfId="1" applyNumberFormat="1" applyFont="1" applyFill="1" applyBorder="1" applyAlignment="1" applyProtection="1">
      <alignment horizontal="center"/>
      <protection locked="0"/>
    </xf>
    <xf numFmtId="0" fontId="46" fillId="0" borderId="5" xfId="1" applyNumberFormat="1" applyFont="1" applyFill="1" applyBorder="1" applyAlignment="1" applyProtection="1">
      <alignment horizontal="center"/>
      <protection locked="0"/>
    </xf>
    <xf numFmtId="0" fontId="46" fillId="0" borderId="11" xfId="1" applyFont="1" applyFill="1" applyBorder="1" applyAlignment="1" applyProtection="1">
      <alignment horizontal="center"/>
      <protection locked="0"/>
    </xf>
    <xf numFmtId="0" fontId="46" fillId="0" borderId="12" xfId="1" applyFont="1" applyFill="1" applyBorder="1" applyAlignment="1" applyProtection="1">
      <alignment horizontal="center"/>
      <protection locked="0"/>
    </xf>
    <xf numFmtId="0" fontId="46" fillId="0" borderId="5" xfId="1" applyFont="1" applyFill="1" applyBorder="1" applyAlignment="1" applyProtection="1">
      <alignment horizontal="center"/>
      <protection locked="0"/>
    </xf>
    <xf numFmtId="0" fontId="46" fillId="0" borderId="1" xfId="1" applyFont="1" applyFill="1" applyBorder="1" applyAlignment="1" applyProtection="1">
      <alignment horizontal="center"/>
      <protection locked="0"/>
    </xf>
    <xf numFmtId="0" fontId="46" fillId="0" borderId="14" xfId="1" applyFont="1" applyFill="1" applyBorder="1" applyAlignment="1" applyProtection="1">
      <alignment horizontal="center"/>
      <protection locked="0"/>
    </xf>
    <xf numFmtId="0" fontId="46" fillId="0" borderId="15" xfId="1" applyFont="1" applyFill="1" applyBorder="1" applyAlignment="1" applyProtection="1">
      <alignment horizontal="center"/>
      <protection locked="0"/>
    </xf>
    <xf numFmtId="0" fontId="46" fillId="0" borderId="11" xfId="0" applyFont="1" applyBorder="1" applyAlignment="1" applyProtection="1">
      <alignment horizontal="center"/>
      <protection locked="0"/>
    </xf>
    <xf numFmtId="0" fontId="46" fillId="0" borderId="12" xfId="0" applyFont="1" applyBorder="1" applyAlignment="1" applyProtection="1">
      <alignment horizontal="center"/>
      <protection locked="0"/>
    </xf>
    <xf numFmtId="0" fontId="46" fillId="0" borderId="5" xfId="0" applyFont="1" applyBorder="1" applyAlignment="1" applyProtection="1">
      <alignment horizontal="center"/>
      <protection locked="0"/>
    </xf>
    <xf numFmtId="0" fontId="46" fillId="0" borderId="1" xfId="0" applyFont="1" applyBorder="1" applyAlignment="1" applyProtection="1">
      <alignment horizontal="center"/>
      <protection locked="0"/>
    </xf>
    <xf numFmtId="0" fontId="46" fillId="0" borderId="14" xfId="0" applyFont="1" applyBorder="1" applyAlignment="1" applyProtection="1">
      <alignment horizontal="center"/>
      <protection locked="0"/>
    </xf>
    <xf numFmtId="0" fontId="46" fillId="0" borderId="15" xfId="0" applyFont="1" applyBorder="1" applyAlignment="1" applyProtection="1">
      <alignment horizontal="center"/>
      <protection locked="0"/>
    </xf>
    <xf numFmtId="0" fontId="46" fillId="0" borderId="1" xfId="0" applyNumberFormat="1" applyFont="1" applyFill="1" applyBorder="1" applyAlignment="1" applyProtection="1">
      <alignment horizontal="center"/>
      <protection locked="0"/>
    </xf>
    <xf numFmtId="0" fontId="46" fillId="0" borderId="14" xfId="0" applyNumberFormat="1" applyFont="1" applyFill="1" applyBorder="1" applyAlignment="1" applyProtection="1">
      <alignment horizontal="center"/>
      <protection locked="0"/>
    </xf>
    <xf numFmtId="0" fontId="46" fillId="0" borderId="15" xfId="0" applyNumberFormat="1" applyFont="1" applyFill="1" applyBorder="1" applyAlignment="1" applyProtection="1">
      <alignment horizontal="center"/>
      <protection locked="0"/>
    </xf>
    <xf numFmtId="0" fontId="46" fillId="0" borderId="11" xfId="0" applyNumberFormat="1" applyFont="1" applyFill="1" applyBorder="1" applyAlignment="1" applyProtection="1">
      <alignment horizontal="center"/>
      <protection locked="0"/>
    </xf>
    <xf numFmtId="0" fontId="46" fillId="0" borderId="12" xfId="0" applyNumberFormat="1" applyFont="1" applyFill="1" applyBorder="1" applyAlignment="1" applyProtection="1">
      <alignment horizontal="center"/>
      <protection locked="0"/>
    </xf>
    <xf numFmtId="0" fontId="46" fillId="0" borderId="5" xfId="0" applyNumberFormat="1" applyFont="1" applyFill="1" applyBorder="1" applyAlignment="1" applyProtection="1">
      <alignment horizontal="center"/>
      <protection locked="0"/>
    </xf>
    <xf numFmtId="0" fontId="46" fillId="4" borderId="0" xfId="0" applyNumberFormat="1" applyFont="1" applyFill="1" applyBorder="1" applyAlignment="1" applyProtection="1">
      <alignment horizontal="center"/>
      <protection locked="0"/>
    </xf>
    <xf numFmtId="0" fontId="46" fillId="0" borderId="1" xfId="7" applyFont="1" applyBorder="1" applyAlignment="1" applyProtection="1">
      <alignment horizontal="center"/>
      <protection locked="0"/>
    </xf>
    <xf numFmtId="0" fontId="46" fillId="0" borderId="14" xfId="7" applyFont="1" applyBorder="1" applyAlignment="1" applyProtection="1">
      <alignment horizontal="center"/>
      <protection locked="0"/>
    </xf>
    <xf numFmtId="0" fontId="46" fillId="0" borderId="15" xfId="7" applyFont="1" applyBorder="1" applyAlignment="1" applyProtection="1">
      <alignment horizontal="center"/>
      <protection locked="0"/>
    </xf>
    <xf numFmtId="0" fontId="46" fillId="0" borderId="11" xfId="7" applyFont="1" applyBorder="1" applyAlignment="1" applyProtection="1">
      <alignment horizontal="center"/>
      <protection locked="0"/>
    </xf>
    <xf numFmtId="0" fontId="46" fillId="0" borderId="12" xfId="7" applyFont="1" applyBorder="1" applyAlignment="1" applyProtection="1">
      <alignment horizontal="center"/>
      <protection locked="0"/>
    </xf>
    <xf numFmtId="0" fontId="46" fillId="0" borderId="5" xfId="7" applyFont="1" applyBorder="1" applyAlignment="1" applyProtection="1">
      <alignment horizontal="center"/>
      <protection locked="0"/>
    </xf>
    <xf numFmtId="0" fontId="46" fillId="0" borderId="11" xfId="7" applyFont="1" applyFill="1" applyBorder="1" applyAlignment="1" applyProtection="1">
      <alignment horizontal="center"/>
      <protection locked="0"/>
    </xf>
    <xf numFmtId="0" fontId="46" fillId="0" borderId="12" xfId="7" applyFont="1" applyFill="1" applyBorder="1" applyAlignment="1" applyProtection="1">
      <alignment horizontal="center"/>
      <protection locked="0"/>
    </xf>
    <xf numFmtId="0" fontId="46" fillId="0" borderId="5" xfId="7" applyFont="1" applyFill="1" applyBorder="1" applyAlignment="1" applyProtection="1">
      <alignment horizontal="center"/>
      <protection locked="0"/>
    </xf>
    <xf numFmtId="0" fontId="46" fillId="0" borderId="1" xfId="7" applyFont="1" applyFill="1" applyBorder="1" applyAlignment="1" applyProtection="1">
      <alignment horizontal="center"/>
      <protection locked="0"/>
    </xf>
    <xf numFmtId="0" fontId="46" fillId="0" borderId="14" xfId="7" applyFont="1" applyFill="1" applyBorder="1" applyAlignment="1" applyProtection="1">
      <alignment horizontal="center"/>
      <protection locked="0"/>
    </xf>
    <xf numFmtId="0" fontId="46" fillId="0" borderId="15" xfId="7" applyFont="1" applyFill="1" applyBorder="1" applyAlignment="1" applyProtection="1">
      <alignment horizontal="center"/>
      <protection locked="0"/>
    </xf>
    <xf numFmtId="0" fontId="46" fillId="4" borderId="0" xfId="7" applyFont="1" applyFill="1" applyAlignment="1" applyProtection="1">
      <alignment horizontal="center"/>
      <protection locked="0"/>
    </xf>
  </cellXfs>
  <cellStyles count="851">
    <cellStyle name="20 % – uthevingsfarge 2" xfId="844" builtinId="34"/>
    <cellStyle name="40% - uthevingsfarge 4 2" xfId="38" xr:uid="{00000000-0005-0000-0000-000001000000}"/>
    <cellStyle name="40% - uthevingsfarge 4 2 10" xfId="771" xr:uid="{00000000-0005-0000-0000-000002000000}"/>
    <cellStyle name="40% - uthevingsfarge 4 2 2" xfId="80" xr:uid="{00000000-0005-0000-0000-000003000000}"/>
    <cellStyle name="40% - uthevingsfarge 4 2 2 2" xfId="173" xr:uid="{00000000-0005-0000-0000-000004000000}"/>
    <cellStyle name="40% - uthevingsfarge 4 2 2 3" xfId="263" xr:uid="{00000000-0005-0000-0000-000005000000}"/>
    <cellStyle name="40% - uthevingsfarge 4 2 2 4" xfId="353" xr:uid="{00000000-0005-0000-0000-000006000000}"/>
    <cellStyle name="40% - uthevingsfarge 4 2 2 5" xfId="443" xr:uid="{00000000-0005-0000-0000-000007000000}"/>
    <cellStyle name="40% - uthevingsfarge 4 2 2 6" xfId="533" xr:uid="{00000000-0005-0000-0000-000008000000}"/>
    <cellStyle name="40% - uthevingsfarge 4 2 2 7" xfId="623" xr:uid="{00000000-0005-0000-0000-000009000000}"/>
    <cellStyle name="40% - uthevingsfarge 4 2 2 8" xfId="713" xr:uid="{00000000-0005-0000-0000-00000A000000}"/>
    <cellStyle name="40% - uthevingsfarge 4 2 2 9" xfId="810" xr:uid="{00000000-0005-0000-0000-00000B000000}"/>
    <cellStyle name="40% - uthevingsfarge 4 2 3" xfId="136" xr:uid="{00000000-0005-0000-0000-00000C000000}"/>
    <cellStyle name="40% - uthevingsfarge 4 2 4" xfId="226" xr:uid="{00000000-0005-0000-0000-00000D000000}"/>
    <cellStyle name="40% - uthevingsfarge 4 2 5" xfId="316" xr:uid="{00000000-0005-0000-0000-00000E000000}"/>
    <cellStyle name="40% - uthevingsfarge 4 2 6" xfId="406" xr:uid="{00000000-0005-0000-0000-00000F000000}"/>
    <cellStyle name="40% - uthevingsfarge 4 2 7" xfId="496" xr:uid="{00000000-0005-0000-0000-000010000000}"/>
    <cellStyle name="40% - uthevingsfarge 4 2 8" xfId="586" xr:uid="{00000000-0005-0000-0000-000011000000}"/>
    <cellStyle name="40% - uthevingsfarge 4 2 9" xfId="676" xr:uid="{00000000-0005-0000-0000-000012000000}"/>
    <cellStyle name="Hyperkobling" xfId="3" builtinId="8"/>
    <cellStyle name="Komma" xfId="2" builtinId="3"/>
    <cellStyle name="Komma 2" xfId="847" xr:uid="{00000000-0005-0000-0000-000015000000}"/>
    <cellStyle name="Komma 2 3" xfId="849" xr:uid="{0D7BB789-C0BC-4F58-B366-11FD845789ED}"/>
    <cellStyle name="Merknad 2" xfId="94" xr:uid="{00000000-0005-0000-0000-000016000000}"/>
    <cellStyle name="Normal" xfId="0" builtinId="0"/>
    <cellStyle name="Normal 10" xfId="31" xr:uid="{00000000-0005-0000-0000-000018000000}"/>
    <cellStyle name="Normal 10 10" xfId="670" xr:uid="{00000000-0005-0000-0000-000019000000}"/>
    <cellStyle name="Normal 10 11" xfId="765" xr:uid="{00000000-0005-0000-0000-00001A000000}"/>
    <cellStyle name="Normal 10 2" xfId="53" xr:uid="{00000000-0005-0000-0000-00001B000000}"/>
    <cellStyle name="Normal 10 2 10" xfId="785" xr:uid="{00000000-0005-0000-0000-00001C000000}"/>
    <cellStyle name="Normal 10 2 2" xfId="93" xr:uid="{00000000-0005-0000-0000-00001D000000}"/>
    <cellStyle name="Normal 10 2 2 10" xfId="823" xr:uid="{00000000-0005-0000-0000-00001E000000}"/>
    <cellStyle name="Normal 10 2 2 2" xfId="6" xr:uid="{00000000-0005-0000-0000-00001F000000}"/>
    <cellStyle name="Normal 10 2 2 2 2" xfId="116" xr:uid="{00000000-0005-0000-0000-000020000000}"/>
    <cellStyle name="Normal 10 2 2 3" xfId="186" xr:uid="{00000000-0005-0000-0000-000021000000}"/>
    <cellStyle name="Normal 10 2 2 4" xfId="276" xr:uid="{00000000-0005-0000-0000-000022000000}"/>
    <cellStyle name="Normal 10 2 2 5" xfId="366" xr:uid="{00000000-0005-0000-0000-000023000000}"/>
    <cellStyle name="Normal 10 2 2 6" xfId="456" xr:uid="{00000000-0005-0000-0000-000024000000}"/>
    <cellStyle name="Normal 10 2 2 7" xfId="546" xr:uid="{00000000-0005-0000-0000-000025000000}"/>
    <cellStyle name="Normal 10 2 2 8" xfId="636" xr:uid="{00000000-0005-0000-0000-000026000000}"/>
    <cellStyle name="Normal 10 2 2 9" xfId="726" xr:uid="{00000000-0005-0000-0000-000027000000}"/>
    <cellStyle name="Normal 10 2 3" xfId="149" xr:uid="{00000000-0005-0000-0000-000028000000}"/>
    <cellStyle name="Normal 10 2 4" xfId="239" xr:uid="{00000000-0005-0000-0000-000029000000}"/>
    <cellStyle name="Normal 10 2 5" xfId="329" xr:uid="{00000000-0005-0000-0000-00002A000000}"/>
    <cellStyle name="Normal 10 2 6" xfId="419" xr:uid="{00000000-0005-0000-0000-00002B000000}"/>
    <cellStyle name="Normal 10 2 7" xfId="509" xr:uid="{00000000-0005-0000-0000-00002C000000}"/>
    <cellStyle name="Normal 10 2 8" xfId="599" xr:uid="{00000000-0005-0000-0000-00002D000000}"/>
    <cellStyle name="Normal 10 2 9" xfId="689" xr:uid="{00000000-0005-0000-0000-00002E000000}"/>
    <cellStyle name="Normal 10 3" xfId="74" xr:uid="{00000000-0005-0000-0000-00002F000000}"/>
    <cellStyle name="Normal 10 3 2" xfId="167" xr:uid="{00000000-0005-0000-0000-000030000000}"/>
    <cellStyle name="Normal 10 3 3" xfId="257" xr:uid="{00000000-0005-0000-0000-000031000000}"/>
    <cellStyle name="Normal 10 3 4" xfId="347" xr:uid="{00000000-0005-0000-0000-000032000000}"/>
    <cellStyle name="Normal 10 3 5" xfId="437" xr:uid="{00000000-0005-0000-0000-000033000000}"/>
    <cellStyle name="Normal 10 3 6" xfId="527" xr:uid="{00000000-0005-0000-0000-000034000000}"/>
    <cellStyle name="Normal 10 3 7" xfId="617" xr:uid="{00000000-0005-0000-0000-000035000000}"/>
    <cellStyle name="Normal 10 3 8" xfId="707" xr:uid="{00000000-0005-0000-0000-000036000000}"/>
    <cellStyle name="Normal 10 3 9" xfId="804" xr:uid="{00000000-0005-0000-0000-000037000000}"/>
    <cellStyle name="Normal 10 4" xfId="130" xr:uid="{00000000-0005-0000-0000-000038000000}"/>
    <cellStyle name="Normal 10 5" xfId="220" xr:uid="{00000000-0005-0000-0000-000039000000}"/>
    <cellStyle name="Normal 10 6" xfId="310" xr:uid="{00000000-0005-0000-0000-00003A000000}"/>
    <cellStyle name="Normal 10 7" xfId="400" xr:uid="{00000000-0005-0000-0000-00003B000000}"/>
    <cellStyle name="Normal 10 8" xfId="490" xr:uid="{00000000-0005-0000-0000-00003C000000}"/>
    <cellStyle name="Normal 10 9" xfId="580" xr:uid="{00000000-0005-0000-0000-00003D000000}"/>
    <cellStyle name="Normal 11" xfId="35" xr:uid="{00000000-0005-0000-0000-00003E000000}"/>
    <cellStyle name="Normal 11 10" xfId="673" xr:uid="{00000000-0005-0000-0000-00003F000000}"/>
    <cellStyle name="Normal 11 11" xfId="768" xr:uid="{00000000-0005-0000-0000-000040000000}"/>
    <cellStyle name="Normal 11 2" xfId="57" xr:uid="{00000000-0005-0000-0000-000041000000}"/>
    <cellStyle name="Normal 11 2 10" xfId="788" xr:uid="{00000000-0005-0000-0000-000042000000}"/>
    <cellStyle name="Normal 11 2 2" xfId="97" xr:uid="{00000000-0005-0000-0000-000043000000}"/>
    <cellStyle name="Normal 11 2 2 2" xfId="189" xr:uid="{00000000-0005-0000-0000-000044000000}"/>
    <cellStyle name="Normal 11 2 2 3" xfId="279" xr:uid="{00000000-0005-0000-0000-000045000000}"/>
    <cellStyle name="Normal 11 2 2 4" xfId="369" xr:uid="{00000000-0005-0000-0000-000046000000}"/>
    <cellStyle name="Normal 11 2 2 5" xfId="459" xr:uid="{00000000-0005-0000-0000-000047000000}"/>
    <cellStyle name="Normal 11 2 2 6" xfId="549" xr:uid="{00000000-0005-0000-0000-000048000000}"/>
    <cellStyle name="Normal 11 2 2 7" xfId="639" xr:uid="{00000000-0005-0000-0000-000049000000}"/>
    <cellStyle name="Normal 11 2 2 8" xfId="729" xr:uid="{00000000-0005-0000-0000-00004A000000}"/>
    <cellStyle name="Normal 11 2 2 9" xfId="826" xr:uid="{00000000-0005-0000-0000-00004B000000}"/>
    <cellStyle name="Normal 11 2 3" xfId="152" xr:uid="{00000000-0005-0000-0000-00004C000000}"/>
    <cellStyle name="Normal 11 2 4" xfId="242" xr:uid="{00000000-0005-0000-0000-00004D000000}"/>
    <cellStyle name="Normal 11 2 5" xfId="332" xr:uid="{00000000-0005-0000-0000-00004E000000}"/>
    <cellStyle name="Normal 11 2 6" xfId="422" xr:uid="{00000000-0005-0000-0000-00004F000000}"/>
    <cellStyle name="Normal 11 2 7" xfId="512" xr:uid="{00000000-0005-0000-0000-000050000000}"/>
    <cellStyle name="Normal 11 2 8" xfId="602" xr:uid="{00000000-0005-0000-0000-000051000000}"/>
    <cellStyle name="Normal 11 2 9" xfId="692" xr:uid="{00000000-0005-0000-0000-000052000000}"/>
    <cellStyle name="Normal 11 3" xfId="77" xr:uid="{00000000-0005-0000-0000-000053000000}"/>
    <cellStyle name="Normal 11 3 2" xfId="170" xr:uid="{00000000-0005-0000-0000-000054000000}"/>
    <cellStyle name="Normal 11 3 3" xfId="260" xr:uid="{00000000-0005-0000-0000-000055000000}"/>
    <cellStyle name="Normal 11 3 4" xfId="350" xr:uid="{00000000-0005-0000-0000-000056000000}"/>
    <cellStyle name="Normal 11 3 5" xfId="440" xr:uid="{00000000-0005-0000-0000-000057000000}"/>
    <cellStyle name="Normal 11 3 6" xfId="530" xr:uid="{00000000-0005-0000-0000-000058000000}"/>
    <cellStyle name="Normal 11 3 7" xfId="620" xr:uid="{00000000-0005-0000-0000-000059000000}"/>
    <cellStyle name="Normal 11 3 8" xfId="710" xr:uid="{00000000-0005-0000-0000-00005A000000}"/>
    <cellStyle name="Normal 11 3 9" xfId="807" xr:uid="{00000000-0005-0000-0000-00005B000000}"/>
    <cellStyle name="Normal 11 4" xfId="133" xr:uid="{00000000-0005-0000-0000-00005C000000}"/>
    <cellStyle name="Normal 11 5" xfId="223" xr:uid="{00000000-0005-0000-0000-00005D000000}"/>
    <cellStyle name="Normal 11 6" xfId="313" xr:uid="{00000000-0005-0000-0000-00005E000000}"/>
    <cellStyle name="Normal 11 7" xfId="403" xr:uid="{00000000-0005-0000-0000-00005F000000}"/>
    <cellStyle name="Normal 11 8" xfId="493" xr:uid="{00000000-0005-0000-0000-000060000000}"/>
    <cellStyle name="Normal 11 9" xfId="583" xr:uid="{00000000-0005-0000-0000-000061000000}"/>
    <cellStyle name="Normal 12" xfId="100" xr:uid="{00000000-0005-0000-0000-000062000000}"/>
    <cellStyle name="Normal 12 2" xfId="192" xr:uid="{00000000-0005-0000-0000-000063000000}"/>
    <cellStyle name="Normal 12 3" xfId="282" xr:uid="{00000000-0005-0000-0000-000064000000}"/>
    <cellStyle name="Normal 12 4" xfId="372" xr:uid="{00000000-0005-0000-0000-000065000000}"/>
    <cellStyle name="Normal 12 5" xfId="462" xr:uid="{00000000-0005-0000-0000-000066000000}"/>
    <cellStyle name="Normal 12 6" xfId="552" xr:uid="{00000000-0005-0000-0000-000067000000}"/>
    <cellStyle name="Normal 12 7" xfId="642" xr:uid="{00000000-0005-0000-0000-000068000000}"/>
    <cellStyle name="Normal 12 8" xfId="732" xr:uid="{00000000-0005-0000-0000-000069000000}"/>
    <cellStyle name="Normal 12 9" xfId="829" xr:uid="{00000000-0005-0000-0000-00006A000000}"/>
    <cellStyle name="Normal 13" xfId="103" xr:uid="{00000000-0005-0000-0000-00006B000000}"/>
    <cellStyle name="Normal 13 2" xfId="195" xr:uid="{00000000-0005-0000-0000-00006C000000}"/>
    <cellStyle name="Normal 13 3" xfId="285" xr:uid="{00000000-0005-0000-0000-00006D000000}"/>
    <cellStyle name="Normal 13 4" xfId="375" xr:uid="{00000000-0005-0000-0000-00006E000000}"/>
    <cellStyle name="Normal 13 5" xfId="465" xr:uid="{00000000-0005-0000-0000-00006F000000}"/>
    <cellStyle name="Normal 13 6" xfId="555" xr:uid="{00000000-0005-0000-0000-000070000000}"/>
    <cellStyle name="Normal 13 7" xfId="645" xr:uid="{00000000-0005-0000-0000-000071000000}"/>
    <cellStyle name="Normal 13 8" xfId="735" xr:uid="{00000000-0005-0000-0000-000072000000}"/>
    <cellStyle name="Normal 13 9" xfId="832" xr:uid="{00000000-0005-0000-0000-000073000000}"/>
    <cellStyle name="Normal 14" xfId="106" xr:uid="{00000000-0005-0000-0000-000074000000}"/>
    <cellStyle name="Normal 14 2" xfId="198" xr:uid="{00000000-0005-0000-0000-000075000000}"/>
    <cellStyle name="Normal 14 3" xfId="288" xr:uid="{00000000-0005-0000-0000-000076000000}"/>
    <cellStyle name="Normal 14 4" xfId="378" xr:uid="{00000000-0005-0000-0000-000077000000}"/>
    <cellStyle name="Normal 14 5" xfId="468" xr:uid="{00000000-0005-0000-0000-000078000000}"/>
    <cellStyle name="Normal 14 6" xfId="558" xr:uid="{00000000-0005-0000-0000-000079000000}"/>
    <cellStyle name="Normal 14 7" xfId="648" xr:uid="{00000000-0005-0000-0000-00007A000000}"/>
    <cellStyle name="Normal 14 8" xfId="738" xr:uid="{00000000-0005-0000-0000-00007B000000}"/>
    <cellStyle name="Normal 14 9" xfId="835" xr:uid="{00000000-0005-0000-0000-00007C000000}"/>
    <cellStyle name="Normal 15" xfId="109" xr:uid="{00000000-0005-0000-0000-00007D000000}"/>
    <cellStyle name="Normal 15 2" xfId="201" xr:uid="{00000000-0005-0000-0000-00007E000000}"/>
    <cellStyle name="Normal 15 3" xfId="291" xr:uid="{00000000-0005-0000-0000-00007F000000}"/>
    <cellStyle name="Normal 15 4" xfId="381" xr:uid="{00000000-0005-0000-0000-000080000000}"/>
    <cellStyle name="Normal 15 5" xfId="471" xr:uid="{00000000-0005-0000-0000-000081000000}"/>
    <cellStyle name="Normal 15 6" xfId="561" xr:uid="{00000000-0005-0000-0000-000082000000}"/>
    <cellStyle name="Normal 15 7" xfId="651" xr:uid="{00000000-0005-0000-0000-000083000000}"/>
    <cellStyle name="Normal 15 8" xfId="741" xr:uid="{00000000-0005-0000-0000-000084000000}"/>
    <cellStyle name="Normal 15 9" xfId="838" xr:uid="{00000000-0005-0000-0000-000085000000}"/>
    <cellStyle name="Normal 16" xfId="112" xr:uid="{00000000-0005-0000-0000-000086000000}"/>
    <cellStyle name="Normal 16 2" xfId="204" xr:uid="{00000000-0005-0000-0000-000087000000}"/>
    <cellStyle name="Normal 16 3" xfId="294" xr:uid="{00000000-0005-0000-0000-000088000000}"/>
    <cellStyle name="Normal 16 4" xfId="384" xr:uid="{00000000-0005-0000-0000-000089000000}"/>
    <cellStyle name="Normal 16 5" xfId="474" xr:uid="{00000000-0005-0000-0000-00008A000000}"/>
    <cellStyle name="Normal 16 6" xfId="564" xr:uid="{00000000-0005-0000-0000-00008B000000}"/>
    <cellStyle name="Normal 16 7" xfId="654" xr:uid="{00000000-0005-0000-0000-00008C000000}"/>
    <cellStyle name="Normal 16 8" xfId="744" xr:uid="{00000000-0005-0000-0000-00008D000000}"/>
    <cellStyle name="Normal 16 9" xfId="841" xr:uid="{00000000-0005-0000-0000-00008E000000}"/>
    <cellStyle name="Normal 17" xfId="8" xr:uid="{00000000-0005-0000-0000-00008F000000}"/>
    <cellStyle name="Normal 18" xfId="10" xr:uid="{00000000-0005-0000-0000-000090000000}"/>
    <cellStyle name="Normal 19" xfId="117" xr:uid="{00000000-0005-0000-0000-000091000000}"/>
    <cellStyle name="Normal 2" xfId="1" xr:uid="{00000000-0005-0000-0000-000092000000}"/>
    <cellStyle name="Normal 2 2" xfId="7" xr:uid="{00000000-0005-0000-0000-000093000000}"/>
    <cellStyle name="Normal 2 3" xfId="20" xr:uid="{00000000-0005-0000-0000-000094000000}"/>
    <cellStyle name="Normal 2 4" xfId="39" xr:uid="{00000000-0005-0000-0000-000095000000}"/>
    <cellStyle name="Normal 2 5" xfId="60" xr:uid="{00000000-0005-0000-0000-000096000000}"/>
    <cellStyle name="Normal 20" xfId="207" xr:uid="{00000000-0005-0000-0000-000097000000}"/>
    <cellStyle name="Normal 21" xfId="297" xr:uid="{00000000-0005-0000-0000-000098000000}"/>
    <cellStyle name="Normal 22" xfId="387" xr:uid="{00000000-0005-0000-0000-000099000000}"/>
    <cellStyle name="Normal 23" xfId="477" xr:uid="{00000000-0005-0000-0000-00009A000000}"/>
    <cellStyle name="Normal 24" xfId="567" xr:uid="{00000000-0005-0000-0000-00009B000000}"/>
    <cellStyle name="Normal 25" xfId="657" xr:uid="{00000000-0005-0000-0000-00009C000000}"/>
    <cellStyle name="Normal 26" xfId="747" xr:uid="{00000000-0005-0000-0000-00009D000000}"/>
    <cellStyle name="Normal 27" xfId="850" xr:uid="{ED50C316-25E5-4ED7-8355-A3104735F1B2}"/>
    <cellStyle name="Normal 3" xfId="4" xr:uid="{00000000-0005-0000-0000-00009E000000}"/>
    <cellStyle name="Normal 3 10" xfId="104" xr:uid="{00000000-0005-0000-0000-00009F000000}"/>
    <cellStyle name="Normal 3 10 2" xfId="196" xr:uid="{00000000-0005-0000-0000-0000A0000000}"/>
    <cellStyle name="Normal 3 10 3" xfId="286" xr:uid="{00000000-0005-0000-0000-0000A1000000}"/>
    <cellStyle name="Normal 3 10 4" xfId="376" xr:uid="{00000000-0005-0000-0000-0000A2000000}"/>
    <cellStyle name="Normal 3 10 5" xfId="466" xr:uid="{00000000-0005-0000-0000-0000A3000000}"/>
    <cellStyle name="Normal 3 10 6" xfId="556" xr:uid="{00000000-0005-0000-0000-0000A4000000}"/>
    <cellStyle name="Normal 3 10 7" xfId="646" xr:uid="{00000000-0005-0000-0000-0000A5000000}"/>
    <cellStyle name="Normal 3 10 8" xfId="736" xr:uid="{00000000-0005-0000-0000-0000A6000000}"/>
    <cellStyle name="Normal 3 10 9" xfId="833" xr:uid="{00000000-0005-0000-0000-0000A7000000}"/>
    <cellStyle name="Normal 3 11" xfId="107" xr:uid="{00000000-0005-0000-0000-0000A8000000}"/>
    <cellStyle name="Normal 3 11 2" xfId="199" xr:uid="{00000000-0005-0000-0000-0000A9000000}"/>
    <cellStyle name="Normal 3 11 3" xfId="289" xr:uid="{00000000-0005-0000-0000-0000AA000000}"/>
    <cellStyle name="Normal 3 11 4" xfId="379" xr:uid="{00000000-0005-0000-0000-0000AB000000}"/>
    <cellStyle name="Normal 3 11 5" xfId="469" xr:uid="{00000000-0005-0000-0000-0000AC000000}"/>
    <cellStyle name="Normal 3 11 6" xfId="559" xr:uid="{00000000-0005-0000-0000-0000AD000000}"/>
    <cellStyle name="Normal 3 11 7" xfId="649" xr:uid="{00000000-0005-0000-0000-0000AE000000}"/>
    <cellStyle name="Normal 3 11 8" xfId="739" xr:uid="{00000000-0005-0000-0000-0000AF000000}"/>
    <cellStyle name="Normal 3 11 9" xfId="836" xr:uid="{00000000-0005-0000-0000-0000B0000000}"/>
    <cellStyle name="Normal 3 12" xfId="110" xr:uid="{00000000-0005-0000-0000-0000B1000000}"/>
    <cellStyle name="Normal 3 12 2" xfId="202" xr:uid="{00000000-0005-0000-0000-0000B2000000}"/>
    <cellStyle name="Normal 3 12 3" xfId="292" xr:uid="{00000000-0005-0000-0000-0000B3000000}"/>
    <cellStyle name="Normal 3 12 4" xfId="382" xr:uid="{00000000-0005-0000-0000-0000B4000000}"/>
    <cellStyle name="Normal 3 12 5" xfId="472" xr:uid="{00000000-0005-0000-0000-0000B5000000}"/>
    <cellStyle name="Normal 3 12 6" xfId="562" xr:uid="{00000000-0005-0000-0000-0000B6000000}"/>
    <cellStyle name="Normal 3 12 7" xfId="652" xr:uid="{00000000-0005-0000-0000-0000B7000000}"/>
    <cellStyle name="Normal 3 12 8" xfId="742" xr:uid="{00000000-0005-0000-0000-0000B8000000}"/>
    <cellStyle name="Normal 3 12 9" xfId="839" xr:uid="{00000000-0005-0000-0000-0000B9000000}"/>
    <cellStyle name="Normal 3 13" xfId="113" xr:uid="{00000000-0005-0000-0000-0000BA000000}"/>
    <cellStyle name="Normal 3 13 2" xfId="205" xr:uid="{00000000-0005-0000-0000-0000BB000000}"/>
    <cellStyle name="Normal 3 13 3" xfId="295" xr:uid="{00000000-0005-0000-0000-0000BC000000}"/>
    <cellStyle name="Normal 3 13 4" xfId="385" xr:uid="{00000000-0005-0000-0000-0000BD000000}"/>
    <cellStyle name="Normal 3 13 5" xfId="475" xr:uid="{00000000-0005-0000-0000-0000BE000000}"/>
    <cellStyle name="Normal 3 13 6" xfId="565" xr:uid="{00000000-0005-0000-0000-0000BF000000}"/>
    <cellStyle name="Normal 3 13 7" xfId="655" xr:uid="{00000000-0005-0000-0000-0000C0000000}"/>
    <cellStyle name="Normal 3 13 8" xfId="745" xr:uid="{00000000-0005-0000-0000-0000C1000000}"/>
    <cellStyle name="Normal 3 13 9" xfId="842" xr:uid="{00000000-0005-0000-0000-0000C2000000}"/>
    <cellStyle name="Normal 3 14" xfId="11" xr:uid="{00000000-0005-0000-0000-0000C3000000}"/>
    <cellStyle name="Normal 3 15" xfId="118" xr:uid="{00000000-0005-0000-0000-0000C4000000}"/>
    <cellStyle name="Normal 3 16" xfId="208" xr:uid="{00000000-0005-0000-0000-0000C5000000}"/>
    <cellStyle name="Normal 3 17" xfId="298" xr:uid="{00000000-0005-0000-0000-0000C6000000}"/>
    <cellStyle name="Normal 3 18" xfId="388" xr:uid="{00000000-0005-0000-0000-0000C7000000}"/>
    <cellStyle name="Normal 3 19" xfId="478" xr:uid="{00000000-0005-0000-0000-0000C8000000}"/>
    <cellStyle name="Normal 3 2" xfId="23" xr:uid="{00000000-0005-0000-0000-0000C9000000}"/>
    <cellStyle name="Normal 3 2 10" xfId="662" xr:uid="{00000000-0005-0000-0000-0000CA000000}"/>
    <cellStyle name="Normal 3 2 11" xfId="757" xr:uid="{00000000-0005-0000-0000-0000CB000000}"/>
    <cellStyle name="Normal 3 2 2" xfId="45" xr:uid="{00000000-0005-0000-0000-0000CC000000}"/>
    <cellStyle name="Normal 3 2 2 10" xfId="777" xr:uid="{00000000-0005-0000-0000-0000CD000000}"/>
    <cellStyle name="Normal 3 2 2 2" xfId="85" xr:uid="{00000000-0005-0000-0000-0000CE000000}"/>
    <cellStyle name="Normal 3 2 2 2 2" xfId="178" xr:uid="{00000000-0005-0000-0000-0000CF000000}"/>
    <cellStyle name="Normal 3 2 2 2 3" xfId="268" xr:uid="{00000000-0005-0000-0000-0000D0000000}"/>
    <cellStyle name="Normal 3 2 2 2 4" xfId="358" xr:uid="{00000000-0005-0000-0000-0000D1000000}"/>
    <cellStyle name="Normal 3 2 2 2 5" xfId="448" xr:uid="{00000000-0005-0000-0000-0000D2000000}"/>
    <cellStyle name="Normal 3 2 2 2 6" xfId="538" xr:uid="{00000000-0005-0000-0000-0000D3000000}"/>
    <cellStyle name="Normal 3 2 2 2 7" xfId="628" xr:uid="{00000000-0005-0000-0000-0000D4000000}"/>
    <cellStyle name="Normal 3 2 2 2 8" xfId="718" xr:uid="{00000000-0005-0000-0000-0000D5000000}"/>
    <cellStyle name="Normal 3 2 2 2 9" xfId="815" xr:uid="{00000000-0005-0000-0000-0000D6000000}"/>
    <cellStyle name="Normal 3 2 2 3" xfId="141" xr:uid="{00000000-0005-0000-0000-0000D7000000}"/>
    <cellStyle name="Normal 3 2 2 4" xfId="231" xr:uid="{00000000-0005-0000-0000-0000D8000000}"/>
    <cellStyle name="Normal 3 2 2 5" xfId="321" xr:uid="{00000000-0005-0000-0000-0000D9000000}"/>
    <cellStyle name="Normal 3 2 2 6" xfId="411" xr:uid="{00000000-0005-0000-0000-0000DA000000}"/>
    <cellStyle name="Normal 3 2 2 7" xfId="501" xr:uid="{00000000-0005-0000-0000-0000DB000000}"/>
    <cellStyle name="Normal 3 2 2 8" xfId="591" xr:uid="{00000000-0005-0000-0000-0000DC000000}"/>
    <cellStyle name="Normal 3 2 2 9" xfId="681" xr:uid="{00000000-0005-0000-0000-0000DD000000}"/>
    <cellStyle name="Normal 3 2 3" xfId="66" xr:uid="{00000000-0005-0000-0000-0000DE000000}"/>
    <cellStyle name="Normal 3 2 3 2" xfId="159" xr:uid="{00000000-0005-0000-0000-0000DF000000}"/>
    <cellStyle name="Normal 3 2 3 3" xfId="249" xr:uid="{00000000-0005-0000-0000-0000E0000000}"/>
    <cellStyle name="Normal 3 2 3 4" xfId="339" xr:uid="{00000000-0005-0000-0000-0000E1000000}"/>
    <cellStyle name="Normal 3 2 3 5" xfId="429" xr:uid="{00000000-0005-0000-0000-0000E2000000}"/>
    <cellStyle name="Normal 3 2 3 6" xfId="519" xr:uid="{00000000-0005-0000-0000-0000E3000000}"/>
    <cellStyle name="Normal 3 2 3 7" xfId="609" xr:uid="{00000000-0005-0000-0000-0000E4000000}"/>
    <cellStyle name="Normal 3 2 3 8" xfId="699" xr:uid="{00000000-0005-0000-0000-0000E5000000}"/>
    <cellStyle name="Normal 3 2 3 9" xfId="796" xr:uid="{00000000-0005-0000-0000-0000E6000000}"/>
    <cellStyle name="Normal 3 2 4" xfId="122" xr:uid="{00000000-0005-0000-0000-0000E7000000}"/>
    <cellStyle name="Normal 3 2 5" xfId="212" xr:uid="{00000000-0005-0000-0000-0000E8000000}"/>
    <cellStyle name="Normal 3 2 6" xfId="302" xr:uid="{00000000-0005-0000-0000-0000E9000000}"/>
    <cellStyle name="Normal 3 2 7" xfId="392" xr:uid="{00000000-0005-0000-0000-0000EA000000}"/>
    <cellStyle name="Normal 3 2 8" xfId="482" xr:uid="{00000000-0005-0000-0000-0000EB000000}"/>
    <cellStyle name="Normal 3 2 9" xfId="572" xr:uid="{00000000-0005-0000-0000-0000EC000000}"/>
    <cellStyle name="Normal 3 20" xfId="568" xr:uid="{00000000-0005-0000-0000-0000ED000000}"/>
    <cellStyle name="Normal 3 21" xfId="658" xr:uid="{00000000-0005-0000-0000-0000EE000000}"/>
    <cellStyle name="Normal 3 22" xfId="748" xr:uid="{00000000-0005-0000-0000-0000EF000000}"/>
    <cellStyle name="Normal 3 3" xfId="26" xr:uid="{00000000-0005-0000-0000-0000F0000000}"/>
    <cellStyle name="Normal 3 3 10" xfId="665" xr:uid="{00000000-0005-0000-0000-0000F1000000}"/>
    <cellStyle name="Normal 3 3 11" xfId="760" xr:uid="{00000000-0005-0000-0000-0000F2000000}"/>
    <cellStyle name="Normal 3 3 2" xfId="48" xr:uid="{00000000-0005-0000-0000-0000F3000000}"/>
    <cellStyle name="Normal 3 3 2 10" xfId="780" xr:uid="{00000000-0005-0000-0000-0000F4000000}"/>
    <cellStyle name="Normal 3 3 2 2" xfId="88" xr:uid="{00000000-0005-0000-0000-0000F5000000}"/>
    <cellStyle name="Normal 3 3 2 2 2" xfId="181" xr:uid="{00000000-0005-0000-0000-0000F6000000}"/>
    <cellStyle name="Normal 3 3 2 2 3" xfId="271" xr:uid="{00000000-0005-0000-0000-0000F7000000}"/>
    <cellStyle name="Normal 3 3 2 2 4" xfId="361" xr:uid="{00000000-0005-0000-0000-0000F8000000}"/>
    <cellStyle name="Normal 3 3 2 2 5" xfId="451" xr:uid="{00000000-0005-0000-0000-0000F9000000}"/>
    <cellStyle name="Normal 3 3 2 2 6" xfId="541" xr:uid="{00000000-0005-0000-0000-0000FA000000}"/>
    <cellStyle name="Normal 3 3 2 2 7" xfId="631" xr:uid="{00000000-0005-0000-0000-0000FB000000}"/>
    <cellStyle name="Normal 3 3 2 2 8" xfId="721" xr:uid="{00000000-0005-0000-0000-0000FC000000}"/>
    <cellStyle name="Normal 3 3 2 2 9" xfId="818" xr:uid="{00000000-0005-0000-0000-0000FD000000}"/>
    <cellStyle name="Normal 3 3 2 3" xfId="144" xr:uid="{00000000-0005-0000-0000-0000FE000000}"/>
    <cellStyle name="Normal 3 3 2 4" xfId="234" xr:uid="{00000000-0005-0000-0000-0000FF000000}"/>
    <cellStyle name="Normal 3 3 2 5" xfId="324" xr:uid="{00000000-0005-0000-0000-000000010000}"/>
    <cellStyle name="Normal 3 3 2 6" xfId="414" xr:uid="{00000000-0005-0000-0000-000001010000}"/>
    <cellStyle name="Normal 3 3 2 7" xfId="504" xr:uid="{00000000-0005-0000-0000-000002010000}"/>
    <cellStyle name="Normal 3 3 2 8" xfId="594" xr:uid="{00000000-0005-0000-0000-000003010000}"/>
    <cellStyle name="Normal 3 3 2 9" xfId="684" xr:uid="{00000000-0005-0000-0000-000004010000}"/>
    <cellStyle name="Normal 3 3 3" xfId="69" xr:uid="{00000000-0005-0000-0000-000005010000}"/>
    <cellStyle name="Normal 3 3 3 2" xfId="162" xr:uid="{00000000-0005-0000-0000-000006010000}"/>
    <cellStyle name="Normal 3 3 3 3" xfId="252" xr:uid="{00000000-0005-0000-0000-000007010000}"/>
    <cellStyle name="Normal 3 3 3 4" xfId="342" xr:uid="{00000000-0005-0000-0000-000008010000}"/>
    <cellStyle name="Normal 3 3 3 5" xfId="432" xr:uid="{00000000-0005-0000-0000-000009010000}"/>
    <cellStyle name="Normal 3 3 3 6" xfId="522" xr:uid="{00000000-0005-0000-0000-00000A010000}"/>
    <cellStyle name="Normal 3 3 3 7" xfId="612" xr:uid="{00000000-0005-0000-0000-00000B010000}"/>
    <cellStyle name="Normal 3 3 3 8" xfId="702" xr:uid="{00000000-0005-0000-0000-00000C010000}"/>
    <cellStyle name="Normal 3 3 3 9" xfId="799" xr:uid="{00000000-0005-0000-0000-00000D010000}"/>
    <cellStyle name="Normal 3 3 4" xfId="125" xr:uid="{00000000-0005-0000-0000-00000E010000}"/>
    <cellStyle name="Normal 3 3 5" xfId="215" xr:uid="{00000000-0005-0000-0000-00000F010000}"/>
    <cellStyle name="Normal 3 3 6" xfId="305" xr:uid="{00000000-0005-0000-0000-000010010000}"/>
    <cellStyle name="Normal 3 3 7" xfId="395" xr:uid="{00000000-0005-0000-0000-000011010000}"/>
    <cellStyle name="Normal 3 3 8" xfId="485" xr:uid="{00000000-0005-0000-0000-000012010000}"/>
    <cellStyle name="Normal 3 3 9" xfId="575" xr:uid="{00000000-0005-0000-0000-000013010000}"/>
    <cellStyle name="Normal 3 4" xfId="29" xr:uid="{00000000-0005-0000-0000-000014010000}"/>
    <cellStyle name="Normal 3 4 10" xfId="668" xr:uid="{00000000-0005-0000-0000-000015010000}"/>
    <cellStyle name="Normal 3 4 11" xfId="763" xr:uid="{00000000-0005-0000-0000-000016010000}"/>
    <cellStyle name="Normal 3 4 2" xfId="51" xr:uid="{00000000-0005-0000-0000-000017010000}"/>
    <cellStyle name="Normal 3 4 2 10" xfId="783" xr:uid="{00000000-0005-0000-0000-000018010000}"/>
    <cellStyle name="Normal 3 4 2 2" xfId="91" xr:uid="{00000000-0005-0000-0000-000019010000}"/>
    <cellStyle name="Normal 3 4 2 2 2" xfId="184" xr:uid="{00000000-0005-0000-0000-00001A010000}"/>
    <cellStyle name="Normal 3 4 2 2 3" xfId="274" xr:uid="{00000000-0005-0000-0000-00001B010000}"/>
    <cellStyle name="Normal 3 4 2 2 4" xfId="364" xr:uid="{00000000-0005-0000-0000-00001C010000}"/>
    <cellStyle name="Normal 3 4 2 2 5" xfId="454" xr:uid="{00000000-0005-0000-0000-00001D010000}"/>
    <cellStyle name="Normal 3 4 2 2 6" xfId="544" xr:uid="{00000000-0005-0000-0000-00001E010000}"/>
    <cellStyle name="Normal 3 4 2 2 7" xfId="634" xr:uid="{00000000-0005-0000-0000-00001F010000}"/>
    <cellStyle name="Normal 3 4 2 2 8" xfId="724" xr:uid="{00000000-0005-0000-0000-000020010000}"/>
    <cellStyle name="Normal 3 4 2 2 9" xfId="821" xr:uid="{00000000-0005-0000-0000-000021010000}"/>
    <cellStyle name="Normal 3 4 2 3" xfId="147" xr:uid="{00000000-0005-0000-0000-000022010000}"/>
    <cellStyle name="Normal 3 4 2 4" xfId="237" xr:uid="{00000000-0005-0000-0000-000023010000}"/>
    <cellStyle name="Normal 3 4 2 5" xfId="327" xr:uid="{00000000-0005-0000-0000-000024010000}"/>
    <cellStyle name="Normal 3 4 2 6" xfId="417" xr:uid="{00000000-0005-0000-0000-000025010000}"/>
    <cellStyle name="Normal 3 4 2 7" xfId="507" xr:uid="{00000000-0005-0000-0000-000026010000}"/>
    <cellStyle name="Normal 3 4 2 8" xfId="597" xr:uid="{00000000-0005-0000-0000-000027010000}"/>
    <cellStyle name="Normal 3 4 2 9" xfId="687" xr:uid="{00000000-0005-0000-0000-000028010000}"/>
    <cellStyle name="Normal 3 4 3" xfId="72" xr:uid="{00000000-0005-0000-0000-000029010000}"/>
    <cellStyle name="Normal 3 4 3 2" xfId="165" xr:uid="{00000000-0005-0000-0000-00002A010000}"/>
    <cellStyle name="Normal 3 4 3 3" xfId="255" xr:uid="{00000000-0005-0000-0000-00002B010000}"/>
    <cellStyle name="Normal 3 4 3 4" xfId="345" xr:uid="{00000000-0005-0000-0000-00002C010000}"/>
    <cellStyle name="Normal 3 4 3 5" xfId="435" xr:uid="{00000000-0005-0000-0000-00002D010000}"/>
    <cellStyle name="Normal 3 4 3 6" xfId="525" xr:uid="{00000000-0005-0000-0000-00002E010000}"/>
    <cellStyle name="Normal 3 4 3 7" xfId="615" xr:uid="{00000000-0005-0000-0000-00002F010000}"/>
    <cellStyle name="Normal 3 4 3 8" xfId="705" xr:uid="{00000000-0005-0000-0000-000030010000}"/>
    <cellStyle name="Normal 3 4 3 9" xfId="802" xr:uid="{00000000-0005-0000-0000-000031010000}"/>
    <cellStyle name="Normal 3 4 4" xfId="128" xr:uid="{00000000-0005-0000-0000-000032010000}"/>
    <cellStyle name="Normal 3 4 5" xfId="218" xr:uid="{00000000-0005-0000-0000-000033010000}"/>
    <cellStyle name="Normal 3 4 6" xfId="308" xr:uid="{00000000-0005-0000-0000-000034010000}"/>
    <cellStyle name="Normal 3 4 7" xfId="398" xr:uid="{00000000-0005-0000-0000-000035010000}"/>
    <cellStyle name="Normal 3 4 8" xfId="488" xr:uid="{00000000-0005-0000-0000-000036010000}"/>
    <cellStyle name="Normal 3 4 9" xfId="578" xr:uid="{00000000-0005-0000-0000-000037010000}"/>
    <cellStyle name="Normal 3 5" xfId="33" xr:uid="{00000000-0005-0000-0000-000038010000}"/>
    <cellStyle name="Normal 3 5 10" xfId="671" xr:uid="{00000000-0005-0000-0000-000039010000}"/>
    <cellStyle name="Normal 3 5 11" xfId="766" xr:uid="{00000000-0005-0000-0000-00003A010000}"/>
    <cellStyle name="Normal 3 5 2" xfId="55" xr:uid="{00000000-0005-0000-0000-00003B010000}"/>
    <cellStyle name="Normal 3 5 2 10" xfId="786" xr:uid="{00000000-0005-0000-0000-00003C010000}"/>
    <cellStyle name="Normal 3 5 2 2" xfId="95" xr:uid="{00000000-0005-0000-0000-00003D010000}"/>
    <cellStyle name="Normal 3 5 2 2 2" xfId="187" xr:uid="{00000000-0005-0000-0000-00003E010000}"/>
    <cellStyle name="Normal 3 5 2 2 3" xfId="277" xr:uid="{00000000-0005-0000-0000-00003F010000}"/>
    <cellStyle name="Normal 3 5 2 2 4" xfId="367" xr:uid="{00000000-0005-0000-0000-000040010000}"/>
    <cellStyle name="Normal 3 5 2 2 5" xfId="457" xr:uid="{00000000-0005-0000-0000-000041010000}"/>
    <cellStyle name="Normal 3 5 2 2 6" xfId="547" xr:uid="{00000000-0005-0000-0000-000042010000}"/>
    <cellStyle name="Normal 3 5 2 2 7" xfId="637" xr:uid="{00000000-0005-0000-0000-000043010000}"/>
    <cellStyle name="Normal 3 5 2 2 8" xfId="727" xr:uid="{00000000-0005-0000-0000-000044010000}"/>
    <cellStyle name="Normal 3 5 2 2 9" xfId="824" xr:uid="{00000000-0005-0000-0000-000045010000}"/>
    <cellStyle name="Normal 3 5 2 3" xfId="150" xr:uid="{00000000-0005-0000-0000-000046010000}"/>
    <cellStyle name="Normal 3 5 2 4" xfId="240" xr:uid="{00000000-0005-0000-0000-000047010000}"/>
    <cellStyle name="Normal 3 5 2 5" xfId="330" xr:uid="{00000000-0005-0000-0000-000048010000}"/>
    <cellStyle name="Normal 3 5 2 6" xfId="420" xr:uid="{00000000-0005-0000-0000-000049010000}"/>
    <cellStyle name="Normal 3 5 2 7" xfId="510" xr:uid="{00000000-0005-0000-0000-00004A010000}"/>
    <cellStyle name="Normal 3 5 2 8" xfId="600" xr:uid="{00000000-0005-0000-0000-00004B010000}"/>
    <cellStyle name="Normal 3 5 2 9" xfId="690" xr:uid="{00000000-0005-0000-0000-00004C010000}"/>
    <cellStyle name="Normal 3 5 3" xfId="75" xr:uid="{00000000-0005-0000-0000-00004D010000}"/>
    <cellStyle name="Normal 3 5 3 2" xfId="168" xr:uid="{00000000-0005-0000-0000-00004E010000}"/>
    <cellStyle name="Normal 3 5 3 3" xfId="258" xr:uid="{00000000-0005-0000-0000-00004F010000}"/>
    <cellStyle name="Normal 3 5 3 4" xfId="348" xr:uid="{00000000-0005-0000-0000-000050010000}"/>
    <cellStyle name="Normal 3 5 3 5" xfId="438" xr:uid="{00000000-0005-0000-0000-000051010000}"/>
    <cellStyle name="Normal 3 5 3 6" xfId="528" xr:uid="{00000000-0005-0000-0000-000052010000}"/>
    <cellStyle name="Normal 3 5 3 7" xfId="618" xr:uid="{00000000-0005-0000-0000-000053010000}"/>
    <cellStyle name="Normal 3 5 3 8" xfId="708" xr:uid="{00000000-0005-0000-0000-000054010000}"/>
    <cellStyle name="Normal 3 5 3 9" xfId="805" xr:uid="{00000000-0005-0000-0000-000055010000}"/>
    <cellStyle name="Normal 3 5 4" xfId="131" xr:uid="{00000000-0005-0000-0000-000056010000}"/>
    <cellStyle name="Normal 3 5 5" xfId="221" xr:uid="{00000000-0005-0000-0000-000057010000}"/>
    <cellStyle name="Normal 3 5 6" xfId="311" xr:uid="{00000000-0005-0000-0000-000058010000}"/>
    <cellStyle name="Normal 3 5 7" xfId="401" xr:uid="{00000000-0005-0000-0000-000059010000}"/>
    <cellStyle name="Normal 3 5 8" xfId="491" xr:uid="{00000000-0005-0000-0000-00005A010000}"/>
    <cellStyle name="Normal 3 5 9" xfId="581" xr:uid="{00000000-0005-0000-0000-00005B010000}"/>
    <cellStyle name="Normal 3 6" xfId="36" xr:uid="{00000000-0005-0000-0000-00005C010000}"/>
    <cellStyle name="Normal 3 6 10" xfId="674" xr:uid="{00000000-0005-0000-0000-00005D010000}"/>
    <cellStyle name="Normal 3 6 11" xfId="769" xr:uid="{00000000-0005-0000-0000-00005E010000}"/>
    <cellStyle name="Normal 3 6 2" xfId="58" xr:uid="{00000000-0005-0000-0000-00005F010000}"/>
    <cellStyle name="Normal 3 6 2 10" xfId="789" xr:uid="{00000000-0005-0000-0000-000060010000}"/>
    <cellStyle name="Normal 3 6 2 2" xfId="98" xr:uid="{00000000-0005-0000-0000-000061010000}"/>
    <cellStyle name="Normal 3 6 2 2 2" xfId="190" xr:uid="{00000000-0005-0000-0000-000062010000}"/>
    <cellStyle name="Normal 3 6 2 2 3" xfId="280" xr:uid="{00000000-0005-0000-0000-000063010000}"/>
    <cellStyle name="Normal 3 6 2 2 4" xfId="370" xr:uid="{00000000-0005-0000-0000-000064010000}"/>
    <cellStyle name="Normal 3 6 2 2 5" xfId="460" xr:uid="{00000000-0005-0000-0000-000065010000}"/>
    <cellStyle name="Normal 3 6 2 2 6" xfId="550" xr:uid="{00000000-0005-0000-0000-000066010000}"/>
    <cellStyle name="Normal 3 6 2 2 7" xfId="640" xr:uid="{00000000-0005-0000-0000-000067010000}"/>
    <cellStyle name="Normal 3 6 2 2 8" xfId="730" xr:uid="{00000000-0005-0000-0000-000068010000}"/>
    <cellStyle name="Normal 3 6 2 2 9" xfId="827" xr:uid="{00000000-0005-0000-0000-000069010000}"/>
    <cellStyle name="Normal 3 6 2 3" xfId="153" xr:uid="{00000000-0005-0000-0000-00006A010000}"/>
    <cellStyle name="Normal 3 6 2 4" xfId="243" xr:uid="{00000000-0005-0000-0000-00006B010000}"/>
    <cellStyle name="Normal 3 6 2 5" xfId="333" xr:uid="{00000000-0005-0000-0000-00006C010000}"/>
    <cellStyle name="Normal 3 6 2 6" xfId="423" xr:uid="{00000000-0005-0000-0000-00006D010000}"/>
    <cellStyle name="Normal 3 6 2 7" xfId="513" xr:uid="{00000000-0005-0000-0000-00006E010000}"/>
    <cellStyle name="Normal 3 6 2 8" xfId="603" xr:uid="{00000000-0005-0000-0000-00006F010000}"/>
    <cellStyle name="Normal 3 6 2 9" xfId="693" xr:uid="{00000000-0005-0000-0000-000070010000}"/>
    <cellStyle name="Normal 3 6 3" xfId="78" xr:uid="{00000000-0005-0000-0000-000071010000}"/>
    <cellStyle name="Normal 3 6 3 2" xfId="171" xr:uid="{00000000-0005-0000-0000-000072010000}"/>
    <cellStyle name="Normal 3 6 3 3" xfId="261" xr:uid="{00000000-0005-0000-0000-000073010000}"/>
    <cellStyle name="Normal 3 6 3 4" xfId="351" xr:uid="{00000000-0005-0000-0000-000074010000}"/>
    <cellStyle name="Normal 3 6 3 5" xfId="441" xr:uid="{00000000-0005-0000-0000-000075010000}"/>
    <cellStyle name="Normal 3 6 3 6" xfId="531" xr:uid="{00000000-0005-0000-0000-000076010000}"/>
    <cellStyle name="Normal 3 6 3 7" xfId="621" xr:uid="{00000000-0005-0000-0000-000077010000}"/>
    <cellStyle name="Normal 3 6 3 8" xfId="711" xr:uid="{00000000-0005-0000-0000-000078010000}"/>
    <cellStyle name="Normal 3 6 3 9" xfId="808" xr:uid="{00000000-0005-0000-0000-000079010000}"/>
    <cellStyle name="Normal 3 6 4" xfId="134" xr:uid="{00000000-0005-0000-0000-00007A010000}"/>
    <cellStyle name="Normal 3 6 5" xfId="224" xr:uid="{00000000-0005-0000-0000-00007B010000}"/>
    <cellStyle name="Normal 3 6 6" xfId="314" xr:uid="{00000000-0005-0000-0000-00007C010000}"/>
    <cellStyle name="Normal 3 6 7" xfId="404" xr:uid="{00000000-0005-0000-0000-00007D010000}"/>
    <cellStyle name="Normal 3 6 8" xfId="494" xr:uid="{00000000-0005-0000-0000-00007E010000}"/>
    <cellStyle name="Normal 3 6 9" xfId="584" xr:uid="{00000000-0005-0000-0000-00007F010000}"/>
    <cellStyle name="Normal 3 7" xfId="42" xr:uid="{00000000-0005-0000-0000-000080010000}"/>
    <cellStyle name="Normal 3 7 10" xfId="774" xr:uid="{00000000-0005-0000-0000-000081010000}"/>
    <cellStyle name="Normal 3 7 2" xfId="82" xr:uid="{00000000-0005-0000-0000-000082010000}"/>
    <cellStyle name="Normal 3 7 2 2" xfId="175" xr:uid="{00000000-0005-0000-0000-000083010000}"/>
    <cellStyle name="Normal 3 7 2 3" xfId="265" xr:uid="{00000000-0005-0000-0000-000084010000}"/>
    <cellStyle name="Normal 3 7 2 4" xfId="355" xr:uid="{00000000-0005-0000-0000-000085010000}"/>
    <cellStyle name="Normal 3 7 2 5" xfId="445" xr:uid="{00000000-0005-0000-0000-000086010000}"/>
    <cellStyle name="Normal 3 7 2 6" xfId="535" xr:uid="{00000000-0005-0000-0000-000087010000}"/>
    <cellStyle name="Normal 3 7 2 7" xfId="625" xr:uid="{00000000-0005-0000-0000-000088010000}"/>
    <cellStyle name="Normal 3 7 2 8" xfId="715" xr:uid="{00000000-0005-0000-0000-000089010000}"/>
    <cellStyle name="Normal 3 7 2 9" xfId="812" xr:uid="{00000000-0005-0000-0000-00008A010000}"/>
    <cellStyle name="Normal 3 7 3" xfId="138" xr:uid="{00000000-0005-0000-0000-00008B010000}"/>
    <cellStyle name="Normal 3 7 4" xfId="228" xr:uid="{00000000-0005-0000-0000-00008C010000}"/>
    <cellStyle name="Normal 3 7 5" xfId="318" xr:uid="{00000000-0005-0000-0000-00008D010000}"/>
    <cellStyle name="Normal 3 7 6" xfId="408" xr:uid="{00000000-0005-0000-0000-00008E010000}"/>
    <cellStyle name="Normal 3 7 7" xfId="498" xr:uid="{00000000-0005-0000-0000-00008F010000}"/>
    <cellStyle name="Normal 3 7 8" xfId="588" xr:uid="{00000000-0005-0000-0000-000090010000}"/>
    <cellStyle name="Normal 3 7 9" xfId="678" xr:uid="{00000000-0005-0000-0000-000091010000}"/>
    <cellStyle name="Normal 3 8" xfId="63" xr:uid="{00000000-0005-0000-0000-000092010000}"/>
    <cellStyle name="Normal 3 8 2" xfId="156" xr:uid="{00000000-0005-0000-0000-000093010000}"/>
    <cellStyle name="Normal 3 8 3" xfId="246" xr:uid="{00000000-0005-0000-0000-000094010000}"/>
    <cellStyle name="Normal 3 8 4" xfId="336" xr:uid="{00000000-0005-0000-0000-000095010000}"/>
    <cellStyle name="Normal 3 8 5" xfId="426" xr:uid="{00000000-0005-0000-0000-000096010000}"/>
    <cellStyle name="Normal 3 8 6" xfId="516" xr:uid="{00000000-0005-0000-0000-000097010000}"/>
    <cellStyle name="Normal 3 8 7" xfId="606" xr:uid="{00000000-0005-0000-0000-000098010000}"/>
    <cellStyle name="Normal 3 8 8" xfId="696" xr:uid="{00000000-0005-0000-0000-000099010000}"/>
    <cellStyle name="Normal 3 8 9" xfId="793" xr:uid="{00000000-0005-0000-0000-00009A010000}"/>
    <cellStyle name="Normal 3 9" xfId="101" xr:uid="{00000000-0005-0000-0000-00009B010000}"/>
    <cellStyle name="Normal 3 9 2" xfId="193" xr:uid="{00000000-0005-0000-0000-00009C010000}"/>
    <cellStyle name="Normal 3 9 3" xfId="283" xr:uid="{00000000-0005-0000-0000-00009D010000}"/>
    <cellStyle name="Normal 3 9 4" xfId="373" xr:uid="{00000000-0005-0000-0000-00009E010000}"/>
    <cellStyle name="Normal 3 9 5" xfId="463" xr:uid="{00000000-0005-0000-0000-00009F010000}"/>
    <cellStyle name="Normal 3 9 6" xfId="553" xr:uid="{00000000-0005-0000-0000-0000A0010000}"/>
    <cellStyle name="Normal 3 9 7" xfId="643" xr:uid="{00000000-0005-0000-0000-0000A1010000}"/>
    <cellStyle name="Normal 3 9 8" xfId="733" xr:uid="{00000000-0005-0000-0000-0000A2010000}"/>
    <cellStyle name="Normal 3 9 9" xfId="830" xr:uid="{00000000-0005-0000-0000-0000A3010000}"/>
    <cellStyle name="Normal 4" xfId="12" xr:uid="{00000000-0005-0000-0000-0000A4010000}"/>
    <cellStyle name="Normal 5" xfId="9" xr:uid="{00000000-0005-0000-0000-0000A5010000}"/>
    <cellStyle name="Normal 5 2" xfId="5" xr:uid="{00000000-0005-0000-0000-0000A6010000}"/>
    <cellStyle name="Normal 5 3" xfId="32" xr:uid="{00000000-0005-0000-0000-0000A7010000}"/>
    <cellStyle name="Normal 5 3 2" xfId="54" xr:uid="{00000000-0005-0000-0000-0000A8010000}"/>
    <cellStyle name="Normal 5 4" xfId="19" xr:uid="{00000000-0005-0000-0000-0000A9010000}"/>
    <cellStyle name="Normal 6" xfId="18" xr:uid="{00000000-0005-0000-0000-0000AA010000}"/>
    <cellStyle name="Normal 6 10" xfId="660" xr:uid="{00000000-0005-0000-0000-0000AB010000}"/>
    <cellStyle name="Normal 6 11" xfId="754" xr:uid="{00000000-0005-0000-0000-0000AC010000}"/>
    <cellStyle name="Normal 6 2" xfId="41" xr:uid="{00000000-0005-0000-0000-0000AD010000}"/>
    <cellStyle name="Normal 6 2 10" xfId="773" xr:uid="{00000000-0005-0000-0000-0000AE010000}"/>
    <cellStyle name="Normal 6 2 2" xfId="81" xr:uid="{00000000-0005-0000-0000-0000AF010000}"/>
    <cellStyle name="Normal 6 2 2 2" xfId="174" xr:uid="{00000000-0005-0000-0000-0000B0010000}"/>
    <cellStyle name="Normal 6 2 2 3" xfId="264" xr:uid="{00000000-0005-0000-0000-0000B1010000}"/>
    <cellStyle name="Normal 6 2 2 4" xfId="354" xr:uid="{00000000-0005-0000-0000-0000B2010000}"/>
    <cellStyle name="Normal 6 2 2 5" xfId="444" xr:uid="{00000000-0005-0000-0000-0000B3010000}"/>
    <cellStyle name="Normal 6 2 2 6" xfId="534" xr:uid="{00000000-0005-0000-0000-0000B4010000}"/>
    <cellStyle name="Normal 6 2 2 7" xfId="624" xr:uid="{00000000-0005-0000-0000-0000B5010000}"/>
    <cellStyle name="Normal 6 2 2 8" xfId="714" xr:uid="{00000000-0005-0000-0000-0000B6010000}"/>
    <cellStyle name="Normal 6 2 2 9" xfId="811" xr:uid="{00000000-0005-0000-0000-0000B7010000}"/>
    <cellStyle name="Normal 6 2 3" xfId="137" xr:uid="{00000000-0005-0000-0000-0000B8010000}"/>
    <cellStyle name="Normal 6 2 4" xfId="227" xr:uid="{00000000-0005-0000-0000-0000B9010000}"/>
    <cellStyle name="Normal 6 2 5" xfId="317" xr:uid="{00000000-0005-0000-0000-0000BA010000}"/>
    <cellStyle name="Normal 6 2 6" xfId="407" xr:uid="{00000000-0005-0000-0000-0000BB010000}"/>
    <cellStyle name="Normal 6 2 7" xfId="497" xr:uid="{00000000-0005-0000-0000-0000BC010000}"/>
    <cellStyle name="Normal 6 2 8" xfId="587" xr:uid="{00000000-0005-0000-0000-0000BD010000}"/>
    <cellStyle name="Normal 6 2 9" xfId="677" xr:uid="{00000000-0005-0000-0000-0000BE010000}"/>
    <cellStyle name="Normal 6 3" xfId="62" xr:uid="{00000000-0005-0000-0000-0000BF010000}"/>
    <cellStyle name="Normal 6 3 2" xfId="155" xr:uid="{00000000-0005-0000-0000-0000C0010000}"/>
    <cellStyle name="Normal 6 3 3" xfId="245" xr:uid="{00000000-0005-0000-0000-0000C1010000}"/>
    <cellStyle name="Normal 6 3 4" xfId="335" xr:uid="{00000000-0005-0000-0000-0000C2010000}"/>
    <cellStyle name="Normal 6 3 5" xfId="425" xr:uid="{00000000-0005-0000-0000-0000C3010000}"/>
    <cellStyle name="Normal 6 3 6" xfId="515" xr:uid="{00000000-0005-0000-0000-0000C4010000}"/>
    <cellStyle name="Normal 6 3 7" xfId="605" xr:uid="{00000000-0005-0000-0000-0000C5010000}"/>
    <cellStyle name="Normal 6 3 8" xfId="695" xr:uid="{00000000-0005-0000-0000-0000C6010000}"/>
    <cellStyle name="Normal 6 3 9" xfId="792" xr:uid="{00000000-0005-0000-0000-0000C7010000}"/>
    <cellStyle name="Normal 6 4" xfId="120" xr:uid="{00000000-0005-0000-0000-0000C8010000}"/>
    <cellStyle name="Normal 6 5" xfId="210" xr:uid="{00000000-0005-0000-0000-0000C9010000}"/>
    <cellStyle name="Normal 6 6" xfId="300" xr:uid="{00000000-0005-0000-0000-0000CA010000}"/>
    <cellStyle name="Normal 6 7" xfId="390" xr:uid="{00000000-0005-0000-0000-0000CB010000}"/>
    <cellStyle name="Normal 6 8" xfId="480" xr:uid="{00000000-0005-0000-0000-0000CC010000}"/>
    <cellStyle name="Normal 6 9" xfId="570" xr:uid="{00000000-0005-0000-0000-0000CD010000}"/>
    <cellStyle name="Normal 7" xfId="22" xr:uid="{00000000-0005-0000-0000-0000CE010000}"/>
    <cellStyle name="Normal 7 10" xfId="661" xr:uid="{00000000-0005-0000-0000-0000CF010000}"/>
    <cellStyle name="Normal 7 11" xfId="756" xr:uid="{00000000-0005-0000-0000-0000D0010000}"/>
    <cellStyle name="Normal 7 2" xfId="44" xr:uid="{00000000-0005-0000-0000-0000D1010000}"/>
    <cellStyle name="Normal 7 2 10" xfId="776" xr:uid="{00000000-0005-0000-0000-0000D2010000}"/>
    <cellStyle name="Normal 7 2 2" xfId="84" xr:uid="{00000000-0005-0000-0000-0000D3010000}"/>
    <cellStyle name="Normal 7 2 2 2" xfId="177" xr:uid="{00000000-0005-0000-0000-0000D4010000}"/>
    <cellStyle name="Normal 7 2 2 3" xfId="267" xr:uid="{00000000-0005-0000-0000-0000D5010000}"/>
    <cellStyle name="Normal 7 2 2 4" xfId="357" xr:uid="{00000000-0005-0000-0000-0000D6010000}"/>
    <cellStyle name="Normal 7 2 2 5" xfId="447" xr:uid="{00000000-0005-0000-0000-0000D7010000}"/>
    <cellStyle name="Normal 7 2 2 6" xfId="537" xr:uid="{00000000-0005-0000-0000-0000D8010000}"/>
    <cellStyle name="Normal 7 2 2 7" xfId="627" xr:uid="{00000000-0005-0000-0000-0000D9010000}"/>
    <cellStyle name="Normal 7 2 2 8" xfId="717" xr:uid="{00000000-0005-0000-0000-0000DA010000}"/>
    <cellStyle name="Normal 7 2 2 9" xfId="814" xr:uid="{00000000-0005-0000-0000-0000DB010000}"/>
    <cellStyle name="Normal 7 2 3" xfId="140" xr:uid="{00000000-0005-0000-0000-0000DC010000}"/>
    <cellStyle name="Normal 7 2 4" xfId="230" xr:uid="{00000000-0005-0000-0000-0000DD010000}"/>
    <cellStyle name="Normal 7 2 5" xfId="320" xr:uid="{00000000-0005-0000-0000-0000DE010000}"/>
    <cellStyle name="Normal 7 2 6" xfId="410" xr:uid="{00000000-0005-0000-0000-0000DF010000}"/>
    <cellStyle name="Normal 7 2 7" xfId="500" xr:uid="{00000000-0005-0000-0000-0000E0010000}"/>
    <cellStyle name="Normal 7 2 8" xfId="590" xr:uid="{00000000-0005-0000-0000-0000E1010000}"/>
    <cellStyle name="Normal 7 2 9" xfId="680" xr:uid="{00000000-0005-0000-0000-0000E2010000}"/>
    <cellStyle name="Normal 7 3" xfId="65" xr:uid="{00000000-0005-0000-0000-0000E3010000}"/>
    <cellStyle name="Normal 7 3 2" xfId="158" xr:uid="{00000000-0005-0000-0000-0000E4010000}"/>
    <cellStyle name="Normal 7 3 3" xfId="248" xr:uid="{00000000-0005-0000-0000-0000E5010000}"/>
    <cellStyle name="Normal 7 3 4" xfId="338" xr:uid="{00000000-0005-0000-0000-0000E6010000}"/>
    <cellStyle name="Normal 7 3 5" xfId="428" xr:uid="{00000000-0005-0000-0000-0000E7010000}"/>
    <cellStyle name="Normal 7 3 6" xfId="518" xr:uid="{00000000-0005-0000-0000-0000E8010000}"/>
    <cellStyle name="Normal 7 3 7" xfId="608" xr:uid="{00000000-0005-0000-0000-0000E9010000}"/>
    <cellStyle name="Normal 7 3 8" xfId="698" xr:uid="{00000000-0005-0000-0000-0000EA010000}"/>
    <cellStyle name="Normal 7 3 9" xfId="795" xr:uid="{00000000-0005-0000-0000-0000EB010000}"/>
    <cellStyle name="Normal 7 4" xfId="121" xr:uid="{00000000-0005-0000-0000-0000EC010000}"/>
    <cellStyle name="Normal 7 5" xfId="211" xr:uid="{00000000-0005-0000-0000-0000ED010000}"/>
    <cellStyle name="Normal 7 6" xfId="301" xr:uid="{00000000-0005-0000-0000-0000EE010000}"/>
    <cellStyle name="Normal 7 7" xfId="391" xr:uid="{00000000-0005-0000-0000-0000EF010000}"/>
    <cellStyle name="Normal 7 8" xfId="481" xr:uid="{00000000-0005-0000-0000-0000F0010000}"/>
    <cellStyle name="Normal 7 9" xfId="571" xr:uid="{00000000-0005-0000-0000-0000F1010000}"/>
    <cellStyle name="Normal 8" xfId="25" xr:uid="{00000000-0005-0000-0000-0000F2010000}"/>
    <cellStyle name="Normal 8 10" xfId="664" xr:uid="{00000000-0005-0000-0000-0000F3010000}"/>
    <cellStyle name="Normal 8 11" xfId="759" xr:uid="{00000000-0005-0000-0000-0000F4010000}"/>
    <cellStyle name="Normal 8 2" xfId="47" xr:uid="{00000000-0005-0000-0000-0000F5010000}"/>
    <cellStyle name="Normal 8 2 10" xfId="779" xr:uid="{00000000-0005-0000-0000-0000F6010000}"/>
    <cellStyle name="Normal 8 2 2" xfId="87" xr:uid="{00000000-0005-0000-0000-0000F7010000}"/>
    <cellStyle name="Normal 8 2 2 2" xfId="180" xr:uid="{00000000-0005-0000-0000-0000F8010000}"/>
    <cellStyle name="Normal 8 2 2 3" xfId="270" xr:uid="{00000000-0005-0000-0000-0000F9010000}"/>
    <cellStyle name="Normal 8 2 2 4" xfId="360" xr:uid="{00000000-0005-0000-0000-0000FA010000}"/>
    <cellStyle name="Normal 8 2 2 5" xfId="450" xr:uid="{00000000-0005-0000-0000-0000FB010000}"/>
    <cellStyle name="Normal 8 2 2 6" xfId="540" xr:uid="{00000000-0005-0000-0000-0000FC010000}"/>
    <cellStyle name="Normal 8 2 2 7" xfId="630" xr:uid="{00000000-0005-0000-0000-0000FD010000}"/>
    <cellStyle name="Normal 8 2 2 8" xfId="720" xr:uid="{00000000-0005-0000-0000-0000FE010000}"/>
    <cellStyle name="Normal 8 2 2 9" xfId="817" xr:uid="{00000000-0005-0000-0000-0000FF010000}"/>
    <cellStyle name="Normal 8 2 3" xfId="143" xr:uid="{00000000-0005-0000-0000-000000020000}"/>
    <cellStyle name="Normal 8 2 4" xfId="233" xr:uid="{00000000-0005-0000-0000-000001020000}"/>
    <cellStyle name="Normal 8 2 5" xfId="323" xr:uid="{00000000-0005-0000-0000-000002020000}"/>
    <cellStyle name="Normal 8 2 6" xfId="413" xr:uid="{00000000-0005-0000-0000-000003020000}"/>
    <cellStyle name="Normal 8 2 7" xfId="503" xr:uid="{00000000-0005-0000-0000-000004020000}"/>
    <cellStyle name="Normal 8 2 8" xfId="593" xr:uid="{00000000-0005-0000-0000-000005020000}"/>
    <cellStyle name="Normal 8 2 9" xfId="683" xr:uid="{00000000-0005-0000-0000-000006020000}"/>
    <cellStyle name="Normal 8 3" xfId="68" xr:uid="{00000000-0005-0000-0000-000007020000}"/>
    <cellStyle name="Normal 8 3 2" xfId="161" xr:uid="{00000000-0005-0000-0000-000008020000}"/>
    <cellStyle name="Normal 8 3 3" xfId="251" xr:uid="{00000000-0005-0000-0000-000009020000}"/>
    <cellStyle name="Normal 8 3 4" xfId="341" xr:uid="{00000000-0005-0000-0000-00000A020000}"/>
    <cellStyle name="Normal 8 3 5" xfId="431" xr:uid="{00000000-0005-0000-0000-00000B020000}"/>
    <cellStyle name="Normal 8 3 6" xfId="521" xr:uid="{00000000-0005-0000-0000-00000C020000}"/>
    <cellStyle name="Normal 8 3 7" xfId="611" xr:uid="{00000000-0005-0000-0000-00000D020000}"/>
    <cellStyle name="Normal 8 3 8" xfId="701" xr:uid="{00000000-0005-0000-0000-00000E020000}"/>
    <cellStyle name="Normal 8 3 9" xfId="798" xr:uid="{00000000-0005-0000-0000-00000F020000}"/>
    <cellStyle name="Normal 8 4" xfId="124" xr:uid="{00000000-0005-0000-0000-000010020000}"/>
    <cellStyle name="Normal 8 5" xfId="214" xr:uid="{00000000-0005-0000-0000-000011020000}"/>
    <cellStyle name="Normal 8 6" xfId="304" xr:uid="{00000000-0005-0000-0000-000012020000}"/>
    <cellStyle name="Normal 8 7" xfId="394" xr:uid="{00000000-0005-0000-0000-000013020000}"/>
    <cellStyle name="Normal 8 8" xfId="484" xr:uid="{00000000-0005-0000-0000-000014020000}"/>
    <cellStyle name="Normal 8 9" xfId="574" xr:uid="{00000000-0005-0000-0000-000015020000}"/>
    <cellStyle name="Normal 9" xfId="28" xr:uid="{00000000-0005-0000-0000-000016020000}"/>
    <cellStyle name="Normal 9 10" xfId="667" xr:uid="{00000000-0005-0000-0000-000017020000}"/>
    <cellStyle name="Normal 9 11" xfId="762" xr:uid="{00000000-0005-0000-0000-000018020000}"/>
    <cellStyle name="Normal 9 2" xfId="50" xr:uid="{00000000-0005-0000-0000-000019020000}"/>
    <cellStyle name="Normal 9 2 10" xfId="782" xr:uid="{00000000-0005-0000-0000-00001A020000}"/>
    <cellStyle name="Normal 9 2 2" xfId="90" xr:uid="{00000000-0005-0000-0000-00001B020000}"/>
    <cellStyle name="Normal 9 2 2 2" xfId="183" xr:uid="{00000000-0005-0000-0000-00001C020000}"/>
    <cellStyle name="Normal 9 2 2 3" xfId="273" xr:uid="{00000000-0005-0000-0000-00001D020000}"/>
    <cellStyle name="Normal 9 2 2 4" xfId="363" xr:uid="{00000000-0005-0000-0000-00001E020000}"/>
    <cellStyle name="Normal 9 2 2 5" xfId="453" xr:uid="{00000000-0005-0000-0000-00001F020000}"/>
    <cellStyle name="Normal 9 2 2 6" xfId="543" xr:uid="{00000000-0005-0000-0000-000020020000}"/>
    <cellStyle name="Normal 9 2 2 7" xfId="633" xr:uid="{00000000-0005-0000-0000-000021020000}"/>
    <cellStyle name="Normal 9 2 2 8" xfId="723" xr:uid="{00000000-0005-0000-0000-000022020000}"/>
    <cellStyle name="Normal 9 2 2 9" xfId="820" xr:uid="{00000000-0005-0000-0000-000023020000}"/>
    <cellStyle name="Normal 9 2 3" xfId="146" xr:uid="{00000000-0005-0000-0000-000024020000}"/>
    <cellStyle name="Normal 9 2 4" xfId="236" xr:uid="{00000000-0005-0000-0000-000025020000}"/>
    <cellStyle name="Normal 9 2 5" xfId="326" xr:uid="{00000000-0005-0000-0000-000026020000}"/>
    <cellStyle name="Normal 9 2 6" xfId="416" xr:uid="{00000000-0005-0000-0000-000027020000}"/>
    <cellStyle name="Normal 9 2 7" xfId="506" xr:uid="{00000000-0005-0000-0000-000028020000}"/>
    <cellStyle name="Normal 9 2 8" xfId="596" xr:uid="{00000000-0005-0000-0000-000029020000}"/>
    <cellStyle name="Normal 9 2 9" xfId="686" xr:uid="{00000000-0005-0000-0000-00002A020000}"/>
    <cellStyle name="Normal 9 3" xfId="71" xr:uid="{00000000-0005-0000-0000-00002B020000}"/>
    <cellStyle name="Normal 9 3 2" xfId="164" xr:uid="{00000000-0005-0000-0000-00002C020000}"/>
    <cellStyle name="Normal 9 3 3" xfId="254" xr:uid="{00000000-0005-0000-0000-00002D020000}"/>
    <cellStyle name="Normal 9 3 4" xfId="344" xr:uid="{00000000-0005-0000-0000-00002E020000}"/>
    <cellStyle name="Normal 9 3 5" xfId="434" xr:uid="{00000000-0005-0000-0000-00002F020000}"/>
    <cellStyle name="Normal 9 3 6" xfId="524" xr:uid="{00000000-0005-0000-0000-000030020000}"/>
    <cellStyle name="Normal 9 3 7" xfId="614" xr:uid="{00000000-0005-0000-0000-000031020000}"/>
    <cellStyle name="Normal 9 3 8" xfId="704" xr:uid="{00000000-0005-0000-0000-000032020000}"/>
    <cellStyle name="Normal 9 3 9" xfId="801" xr:uid="{00000000-0005-0000-0000-000033020000}"/>
    <cellStyle name="Normal 9 4" xfId="127" xr:uid="{00000000-0005-0000-0000-000034020000}"/>
    <cellStyle name="Normal 9 5" xfId="217" xr:uid="{00000000-0005-0000-0000-000035020000}"/>
    <cellStyle name="Normal 9 6" xfId="307" xr:uid="{00000000-0005-0000-0000-000036020000}"/>
    <cellStyle name="Normal 9 7" xfId="397" xr:uid="{00000000-0005-0000-0000-000037020000}"/>
    <cellStyle name="Normal 9 8" xfId="487" xr:uid="{00000000-0005-0000-0000-000038020000}"/>
    <cellStyle name="Normal 9 9" xfId="577" xr:uid="{00000000-0005-0000-0000-000039020000}"/>
    <cellStyle name="Normal_Forslag" xfId="845" xr:uid="{00000000-0005-0000-0000-00003A020000}"/>
    <cellStyle name="Tusenskille 2" xfId="14" xr:uid="{00000000-0005-0000-0000-00003C020000}"/>
    <cellStyle name="Tusenskille 2 2" xfId="15" xr:uid="{00000000-0005-0000-0000-00003D020000}"/>
    <cellStyle name="Tusenskille 2 2 2" xfId="751" xr:uid="{00000000-0005-0000-0000-00003E020000}"/>
    <cellStyle name="Tusenskille 2 2 3" xfId="848" xr:uid="{F77FA10F-B946-43D0-BDB2-55CEFCE8EA1F}"/>
    <cellStyle name="Tusenskille 2 3" xfId="21" xr:uid="{00000000-0005-0000-0000-00003F020000}"/>
    <cellStyle name="Tusenskille 2 3 2" xfId="755" xr:uid="{00000000-0005-0000-0000-000040020000}"/>
    <cellStyle name="Tusenskille 2 4" xfId="40" xr:uid="{00000000-0005-0000-0000-000041020000}"/>
    <cellStyle name="Tusenskille 2 4 2" xfId="772" xr:uid="{00000000-0005-0000-0000-000042020000}"/>
    <cellStyle name="Tusenskille 2 5" xfId="61" xr:uid="{00000000-0005-0000-0000-000043020000}"/>
    <cellStyle name="Tusenskille 2 5 2" xfId="791" xr:uid="{00000000-0005-0000-0000-000044020000}"/>
    <cellStyle name="Tusenskille 2 6" xfId="750" xr:uid="{00000000-0005-0000-0000-000045020000}"/>
    <cellStyle name="Tusenskille 3" xfId="16" xr:uid="{00000000-0005-0000-0000-000046020000}"/>
    <cellStyle name="Tusenskille 3 10" xfId="105" xr:uid="{00000000-0005-0000-0000-000047020000}"/>
    <cellStyle name="Tusenskille 3 10 2" xfId="197" xr:uid="{00000000-0005-0000-0000-000048020000}"/>
    <cellStyle name="Tusenskille 3 10 3" xfId="287" xr:uid="{00000000-0005-0000-0000-000049020000}"/>
    <cellStyle name="Tusenskille 3 10 4" xfId="377" xr:uid="{00000000-0005-0000-0000-00004A020000}"/>
    <cellStyle name="Tusenskille 3 10 5" xfId="467" xr:uid="{00000000-0005-0000-0000-00004B020000}"/>
    <cellStyle name="Tusenskille 3 10 6" xfId="557" xr:uid="{00000000-0005-0000-0000-00004C020000}"/>
    <cellStyle name="Tusenskille 3 10 7" xfId="647" xr:uid="{00000000-0005-0000-0000-00004D020000}"/>
    <cellStyle name="Tusenskille 3 10 8" xfId="737" xr:uid="{00000000-0005-0000-0000-00004E020000}"/>
    <cellStyle name="Tusenskille 3 10 9" xfId="834" xr:uid="{00000000-0005-0000-0000-00004F020000}"/>
    <cellStyle name="Tusenskille 3 11" xfId="108" xr:uid="{00000000-0005-0000-0000-000050020000}"/>
    <cellStyle name="Tusenskille 3 11 2" xfId="200" xr:uid="{00000000-0005-0000-0000-000051020000}"/>
    <cellStyle name="Tusenskille 3 11 3" xfId="290" xr:uid="{00000000-0005-0000-0000-000052020000}"/>
    <cellStyle name="Tusenskille 3 11 4" xfId="380" xr:uid="{00000000-0005-0000-0000-000053020000}"/>
    <cellStyle name="Tusenskille 3 11 5" xfId="470" xr:uid="{00000000-0005-0000-0000-000054020000}"/>
    <cellStyle name="Tusenskille 3 11 6" xfId="560" xr:uid="{00000000-0005-0000-0000-000055020000}"/>
    <cellStyle name="Tusenskille 3 11 7" xfId="650" xr:uid="{00000000-0005-0000-0000-000056020000}"/>
    <cellStyle name="Tusenskille 3 11 8" xfId="740" xr:uid="{00000000-0005-0000-0000-000057020000}"/>
    <cellStyle name="Tusenskille 3 11 9" xfId="837" xr:uid="{00000000-0005-0000-0000-000058020000}"/>
    <cellStyle name="Tusenskille 3 12" xfId="111" xr:uid="{00000000-0005-0000-0000-000059020000}"/>
    <cellStyle name="Tusenskille 3 12 2" xfId="203" xr:uid="{00000000-0005-0000-0000-00005A020000}"/>
    <cellStyle name="Tusenskille 3 12 3" xfId="293" xr:uid="{00000000-0005-0000-0000-00005B020000}"/>
    <cellStyle name="Tusenskille 3 12 4" xfId="383" xr:uid="{00000000-0005-0000-0000-00005C020000}"/>
    <cellStyle name="Tusenskille 3 12 5" xfId="473" xr:uid="{00000000-0005-0000-0000-00005D020000}"/>
    <cellStyle name="Tusenskille 3 12 6" xfId="563" xr:uid="{00000000-0005-0000-0000-00005E020000}"/>
    <cellStyle name="Tusenskille 3 12 7" xfId="653" xr:uid="{00000000-0005-0000-0000-00005F020000}"/>
    <cellStyle name="Tusenskille 3 12 8" xfId="743" xr:uid="{00000000-0005-0000-0000-000060020000}"/>
    <cellStyle name="Tusenskille 3 12 9" xfId="840" xr:uid="{00000000-0005-0000-0000-000061020000}"/>
    <cellStyle name="Tusenskille 3 13" xfId="114" xr:uid="{00000000-0005-0000-0000-000062020000}"/>
    <cellStyle name="Tusenskille 3 13 2" xfId="206" xr:uid="{00000000-0005-0000-0000-000063020000}"/>
    <cellStyle name="Tusenskille 3 13 3" xfId="296" xr:uid="{00000000-0005-0000-0000-000064020000}"/>
    <cellStyle name="Tusenskille 3 13 4" xfId="386" xr:uid="{00000000-0005-0000-0000-000065020000}"/>
    <cellStyle name="Tusenskille 3 13 5" xfId="476" xr:uid="{00000000-0005-0000-0000-000066020000}"/>
    <cellStyle name="Tusenskille 3 13 6" xfId="566" xr:uid="{00000000-0005-0000-0000-000067020000}"/>
    <cellStyle name="Tusenskille 3 13 7" xfId="656" xr:uid="{00000000-0005-0000-0000-000068020000}"/>
    <cellStyle name="Tusenskille 3 13 8" xfId="746" xr:uid="{00000000-0005-0000-0000-000069020000}"/>
    <cellStyle name="Tusenskille 3 13 9" xfId="843" xr:uid="{00000000-0005-0000-0000-00006A020000}"/>
    <cellStyle name="Tusenskille 3 14" xfId="119" xr:uid="{00000000-0005-0000-0000-00006B020000}"/>
    <cellStyle name="Tusenskille 3 15" xfId="209" xr:uid="{00000000-0005-0000-0000-00006C020000}"/>
    <cellStyle name="Tusenskille 3 16" xfId="299" xr:uid="{00000000-0005-0000-0000-00006D020000}"/>
    <cellStyle name="Tusenskille 3 17" xfId="389" xr:uid="{00000000-0005-0000-0000-00006E020000}"/>
    <cellStyle name="Tusenskille 3 18" xfId="479" xr:uid="{00000000-0005-0000-0000-00006F020000}"/>
    <cellStyle name="Tusenskille 3 19" xfId="569" xr:uid="{00000000-0005-0000-0000-000070020000}"/>
    <cellStyle name="Tusenskille 3 2" xfId="24" xr:uid="{00000000-0005-0000-0000-000071020000}"/>
    <cellStyle name="Tusenskille 3 2 10" xfId="663" xr:uid="{00000000-0005-0000-0000-000072020000}"/>
    <cellStyle name="Tusenskille 3 2 11" xfId="758" xr:uid="{00000000-0005-0000-0000-000073020000}"/>
    <cellStyle name="Tusenskille 3 2 2" xfId="46" xr:uid="{00000000-0005-0000-0000-000074020000}"/>
    <cellStyle name="Tusenskille 3 2 2 10" xfId="778" xr:uid="{00000000-0005-0000-0000-000075020000}"/>
    <cellStyle name="Tusenskille 3 2 2 2" xfId="86" xr:uid="{00000000-0005-0000-0000-000076020000}"/>
    <cellStyle name="Tusenskille 3 2 2 2 2" xfId="179" xr:uid="{00000000-0005-0000-0000-000077020000}"/>
    <cellStyle name="Tusenskille 3 2 2 2 3" xfId="269" xr:uid="{00000000-0005-0000-0000-000078020000}"/>
    <cellStyle name="Tusenskille 3 2 2 2 4" xfId="359" xr:uid="{00000000-0005-0000-0000-000079020000}"/>
    <cellStyle name="Tusenskille 3 2 2 2 5" xfId="449" xr:uid="{00000000-0005-0000-0000-00007A020000}"/>
    <cellStyle name="Tusenskille 3 2 2 2 6" xfId="539" xr:uid="{00000000-0005-0000-0000-00007B020000}"/>
    <cellStyle name="Tusenskille 3 2 2 2 7" xfId="629" xr:uid="{00000000-0005-0000-0000-00007C020000}"/>
    <cellStyle name="Tusenskille 3 2 2 2 8" xfId="719" xr:uid="{00000000-0005-0000-0000-00007D020000}"/>
    <cellStyle name="Tusenskille 3 2 2 2 9" xfId="816" xr:uid="{00000000-0005-0000-0000-00007E020000}"/>
    <cellStyle name="Tusenskille 3 2 2 3" xfId="142" xr:uid="{00000000-0005-0000-0000-00007F020000}"/>
    <cellStyle name="Tusenskille 3 2 2 4" xfId="232" xr:uid="{00000000-0005-0000-0000-000080020000}"/>
    <cellStyle name="Tusenskille 3 2 2 5" xfId="322" xr:uid="{00000000-0005-0000-0000-000081020000}"/>
    <cellStyle name="Tusenskille 3 2 2 6" xfId="412" xr:uid="{00000000-0005-0000-0000-000082020000}"/>
    <cellStyle name="Tusenskille 3 2 2 7" xfId="502" xr:uid="{00000000-0005-0000-0000-000083020000}"/>
    <cellStyle name="Tusenskille 3 2 2 8" xfId="592" xr:uid="{00000000-0005-0000-0000-000084020000}"/>
    <cellStyle name="Tusenskille 3 2 2 9" xfId="682" xr:uid="{00000000-0005-0000-0000-000085020000}"/>
    <cellStyle name="Tusenskille 3 2 3" xfId="67" xr:uid="{00000000-0005-0000-0000-000086020000}"/>
    <cellStyle name="Tusenskille 3 2 3 2" xfId="160" xr:uid="{00000000-0005-0000-0000-000087020000}"/>
    <cellStyle name="Tusenskille 3 2 3 3" xfId="250" xr:uid="{00000000-0005-0000-0000-000088020000}"/>
    <cellStyle name="Tusenskille 3 2 3 4" xfId="340" xr:uid="{00000000-0005-0000-0000-000089020000}"/>
    <cellStyle name="Tusenskille 3 2 3 5" xfId="430" xr:uid="{00000000-0005-0000-0000-00008A020000}"/>
    <cellStyle name="Tusenskille 3 2 3 6" xfId="520" xr:uid="{00000000-0005-0000-0000-00008B020000}"/>
    <cellStyle name="Tusenskille 3 2 3 7" xfId="610" xr:uid="{00000000-0005-0000-0000-00008C020000}"/>
    <cellStyle name="Tusenskille 3 2 3 8" xfId="700" xr:uid="{00000000-0005-0000-0000-00008D020000}"/>
    <cellStyle name="Tusenskille 3 2 3 9" xfId="797" xr:uid="{00000000-0005-0000-0000-00008E020000}"/>
    <cellStyle name="Tusenskille 3 2 4" xfId="123" xr:uid="{00000000-0005-0000-0000-00008F020000}"/>
    <cellStyle name="Tusenskille 3 2 5" xfId="213" xr:uid="{00000000-0005-0000-0000-000090020000}"/>
    <cellStyle name="Tusenskille 3 2 6" xfId="303" xr:uid="{00000000-0005-0000-0000-000091020000}"/>
    <cellStyle name="Tusenskille 3 2 7" xfId="393" xr:uid="{00000000-0005-0000-0000-000092020000}"/>
    <cellStyle name="Tusenskille 3 2 8" xfId="483" xr:uid="{00000000-0005-0000-0000-000093020000}"/>
    <cellStyle name="Tusenskille 3 2 9" xfId="573" xr:uid="{00000000-0005-0000-0000-000094020000}"/>
    <cellStyle name="Tusenskille 3 20" xfId="659" xr:uid="{00000000-0005-0000-0000-000095020000}"/>
    <cellStyle name="Tusenskille 3 21" xfId="752" xr:uid="{00000000-0005-0000-0000-000096020000}"/>
    <cellStyle name="Tusenskille 3 3" xfId="27" xr:uid="{00000000-0005-0000-0000-000097020000}"/>
    <cellStyle name="Tusenskille 3 3 10" xfId="666" xr:uid="{00000000-0005-0000-0000-000098020000}"/>
    <cellStyle name="Tusenskille 3 3 11" xfId="761" xr:uid="{00000000-0005-0000-0000-000099020000}"/>
    <cellStyle name="Tusenskille 3 3 2" xfId="49" xr:uid="{00000000-0005-0000-0000-00009A020000}"/>
    <cellStyle name="Tusenskille 3 3 2 10" xfId="781" xr:uid="{00000000-0005-0000-0000-00009B020000}"/>
    <cellStyle name="Tusenskille 3 3 2 2" xfId="89" xr:uid="{00000000-0005-0000-0000-00009C020000}"/>
    <cellStyle name="Tusenskille 3 3 2 2 2" xfId="182" xr:uid="{00000000-0005-0000-0000-00009D020000}"/>
    <cellStyle name="Tusenskille 3 3 2 2 3" xfId="272" xr:uid="{00000000-0005-0000-0000-00009E020000}"/>
    <cellStyle name="Tusenskille 3 3 2 2 4" xfId="362" xr:uid="{00000000-0005-0000-0000-00009F020000}"/>
    <cellStyle name="Tusenskille 3 3 2 2 5" xfId="452" xr:uid="{00000000-0005-0000-0000-0000A0020000}"/>
    <cellStyle name="Tusenskille 3 3 2 2 6" xfId="542" xr:uid="{00000000-0005-0000-0000-0000A1020000}"/>
    <cellStyle name="Tusenskille 3 3 2 2 7" xfId="632" xr:uid="{00000000-0005-0000-0000-0000A2020000}"/>
    <cellStyle name="Tusenskille 3 3 2 2 8" xfId="722" xr:uid="{00000000-0005-0000-0000-0000A3020000}"/>
    <cellStyle name="Tusenskille 3 3 2 2 9" xfId="819" xr:uid="{00000000-0005-0000-0000-0000A4020000}"/>
    <cellStyle name="Tusenskille 3 3 2 3" xfId="145" xr:uid="{00000000-0005-0000-0000-0000A5020000}"/>
    <cellStyle name="Tusenskille 3 3 2 4" xfId="235" xr:uid="{00000000-0005-0000-0000-0000A6020000}"/>
    <cellStyle name="Tusenskille 3 3 2 5" xfId="325" xr:uid="{00000000-0005-0000-0000-0000A7020000}"/>
    <cellStyle name="Tusenskille 3 3 2 6" xfId="415" xr:uid="{00000000-0005-0000-0000-0000A8020000}"/>
    <cellStyle name="Tusenskille 3 3 2 7" xfId="505" xr:uid="{00000000-0005-0000-0000-0000A9020000}"/>
    <cellStyle name="Tusenskille 3 3 2 8" xfId="595" xr:uid="{00000000-0005-0000-0000-0000AA020000}"/>
    <cellStyle name="Tusenskille 3 3 2 9" xfId="685" xr:uid="{00000000-0005-0000-0000-0000AB020000}"/>
    <cellStyle name="Tusenskille 3 3 3" xfId="70" xr:uid="{00000000-0005-0000-0000-0000AC020000}"/>
    <cellStyle name="Tusenskille 3 3 3 2" xfId="163" xr:uid="{00000000-0005-0000-0000-0000AD020000}"/>
    <cellStyle name="Tusenskille 3 3 3 3" xfId="253" xr:uid="{00000000-0005-0000-0000-0000AE020000}"/>
    <cellStyle name="Tusenskille 3 3 3 4" xfId="343" xr:uid="{00000000-0005-0000-0000-0000AF020000}"/>
    <cellStyle name="Tusenskille 3 3 3 5" xfId="433" xr:uid="{00000000-0005-0000-0000-0000B0020000}"/>
    <cellStyle name="Tusenskille 3 3 3 6" xfId="523" xr:uid="{00000000-0005-0000-0000-0000B1020000}"/>
    <cellStyle name="Tusenskille 3 3 3 7" xfId="613" xr:uid="{00000000-0005-0000-0000-0000B2020000}"/>
    <cellStyle name="Tusenskille 3 3 3 8" xfId="703" xr:uid="{00000000-0005-0000-0000-0000B3020000}"/>
    <cellStyle name="Tusenskille 3 3 3 9" xfId="800" xr:uid="{00000000-0005-0000-0000-0000B4020000}"/>
    <cellStyle name="Tusenskille 3 3 4" xfId="126" xr:uid="{00000000-0005-0000-0000-0000B5020000}"/>
    <cellStyle name="Tusenskille 3 3 5" xfId="216" xr:uid="{00000000-0005-0000-0000-0000B6020000}"/>
    <cellStyle name="Tusenskille 3 3 6" xfId="306" xr:uid="{00000000-0005-0000-0000-0000B7020000}"/>
    <cellStyle name="Tusenskille 3 3 7" xfId="396" xr:uid="{00000000-0005-0000-0000-0000B8020000}"/>
    <cellStyle name="Tusenskille 3 3 8" xfId="486" xr:uid="{00000000-0005-0000-0000-0000B9020000}"/>
    <cellStyle name="Tusenskille 3 3 9" xfId="576" xr:uid="{00000000-0005-0000-0000-0000BA020000}"/>
    <cellStyle name="Tusenskille 3 4" xfId="30" xr:uid="{00000000-0005-0000-0000-0000BB020000}"/>
    <cellStyle name="Tusenskille 3 4 10" xfId="669" xr:uid="{00000000-0005-0000-0000-0000BC020000}"/>
    <cellStyle name="Tusenskille 3 4 11" xfId="764" xr:uid="{00000000-0005-0000-0000-0000BD020000}"/>
    <cellStyle name="Tusenskille 3 4 2" xfId="52" xr:uid="{00000000-0005-0000-0000-0000BE020000}"/>
    <cellStyle name="Tusenskille 3 4 2 10" xfId="784" xr:uid="{00000000-0005-0000-0000-0000BF020000}"/>
    <cellStyle name="Tusenskille 3 4 2 2" xfId="92" xr:uid="{00000000-0005-0000-0000-0000C0020000}"/>
    <cellStyle name="Tusenskille 3 4 2 2 2" xfId="185" xr:uid="{00000000-0005-0000-0000-0000C1020000}"/>
    <cellStyle name="Tusenskille 3 4 2 2 3" xfId="275" xr:uid="{00000000-0005-0000-0000-0000C2020000}"/>
    <cellStyle name="Tusenskille 3 4 2 2 4" xfId="365" xr:uid="{00000000-0005-0000-0000-0000C3020000}"/>
    <cellStyle name="Tusenskille 3 4 2 2 5" xfId="455" xr:uid="{00000000-0005-0000-0000-0000C4020000}"/>
    <cellStyle name="Tusenskille 3 4 2 2 6" xfId="545" xr:uid="{00000000-0005-0000-0000-0000C5020000}"/>
    <cellStyle name="Tusenskille 3 4 2 2 7" xfId="635" xr:uid="{00000000-0005-0000-0000-0000C6020000}"/>
    <cellStyle name="Tusenskille 3 4 2 2 8" xfId="725" xr:uid="{00000000-0005-0000-0000-0000C7020000}"/>
    <cellStyle name="Tusenskille 3 4 2 2 9" xfId="822" xr:uid="{00000000-0005-0000-0000-0000C8020000}"/>
    <cellStyle name="Tusenskille 3 4 2 3" xfId="148" xr:uid="{00000000-0005-0000-0000-0000C9020000}"/>
    <cellStyle name="Tusenskille 3 4 2 4" xfId="238" xr:uid="{00000000-0005-0000-0000-0000CA020000}"/>
    <cellStyle name="Tusenskille 3 4 2 5" xfId="328" xr:uid="{00000000-0005-0000-0000-0000CB020000}"/>
    <cellStyle name="Tusenskille 3 4 2 6" xfId="418" xr:uid="{00000000-0005-0000-0000-0000CC020000}"/>
    <cellStyle name="Tusenskille 3 4 2 7" xfId="508" xr:uid="{00000000-0005-0000-0000-0000CD020000}"/>
    <cellStyle name="Tusenskille 3 4 2 8" xfId="598" xr:uid="{00000000-0005-0000-0000-0000CE020000}"/>
    <cellStyle name="Tusenskille 3 4 2 9" xfId="688" xr:uid="{00000000-0005-0000-0000-0000CF020000}"/>
    <cellStyle name="Tusenskille 3 4 3" xfId="73" xr:uid="{00000000-0005-0000-0000-0000D0020000}"/>
    <cellStyle name="Tusenskille 3 4 3 2" xfId="166" xr:uid="{00000000-0005-0000-0000-0000D1020000}"/>
    <cellStyle name="Tusenskille 3 4 3 3" xfId="256" xr:uid="{00000000-0005-0000-0000-0000D2020000}"/>
    <cellStyle name="Tusenskille 3 4 3 4" xfId="346" xr:uid="{00000000-0005-0000-0000-0000D3020000}"/>
    <cellStyle name="Tusenskille 3 4 3 5" xfId="436" xr:uid="{00000000-0005-0000-0000-0000D4020000}"/>
    <cellStyle name="Tusenskille 3 4 3 6" xfId="526" xr:uid="{00000000-0005-0000-0000-0000D5020000}"/>
    <cellStyle name="Tusenskille 3 4 3 7" xfId="616" xr:uid="{00000000-0005-0000-0000-0000D6020000}"/>
    <cellStyle name="Tusenskille 3 4 3 8" xfId="706" xr:uid="{00000000-0005-0000-0000-0000D7020000}"/>
    <cellStyle name="Tusenskille 3 4 3 9" xfId="803" xr:uid="{00000000-0005-0000-0000-0000D8020000}"/>
    <cellStyle name="Tusenskille 3 4 4" xfId="129" xr:uid="{00000000-0005-0000-0000-0000D9020000}"/>
    <cellStyle name="Tusenskille 3 4 5" xfId="219" xr:uid="{00000000-0005-0000-0000-0000DA020000}"/>
    <cellStyle name="Tusenskille 3 4 6" xfId="309" xr:uid="{00000000-0005-0000-0000-0000DB020000}"/>
    <cellStyle name="Tusenskille 3 4 7" xfId="399" xr:uid="{00000000-0005-0000-0000-0000DC020000}"/>
    <cellStyle name="Tusenskille 3 4 8" xfId="489" xr:uid="{00000000-0005-0000-0000-0000DD020000}"/>
    <cellStyle name="Tusenskille 3 4 9" xfId="579" xr:uid="{00000000-0005-0000-0000-0000DE020000}"/>
    <cellStyle name="Tusenskille 3 5" xfId="34" xr:uid="{00000000-0005-0000-0000-0000DF020000}"/>
    <cellStyle name="Tusenskille 3 5 10" xfId="672" xr:uid="{00000000-0005-0000-0000-0000E0020000}"/>
    <cellStyle name="Tusenskille 3 5 11" xfId="767" xr:uid="{00000000-0005-0000-0000-0000E1020000}"/>
    <cellStyle name="Tusenskille 3 5 2" xfId="56" xr:uid="{00000000-0005-0000-0000-0000E2020000}"/>
    <cellStyle name="Tusenskille 3 5 2 10" xfId="787" xr:uid="{00000000-0005-0000-0000-0000E3020000}"/>
    <cellStyle name="Tusenskille 3 5 2 2" xfId="96" xr:uid="{00000000-0005-0000-0000-0000E4020000}"/>
    <cellStyle name="Tusenskille 3 5 2 2 2" xfId="188" xr:uid="{00000000-0005-0000-0000-0000E5020000}"/>
    <cellStyle name="Tusenskille 3 5 2 2 3" xfId="278" xr:uid="{00000000-0005-0000-0000-0000E6020000}"/>
    <cellStyle name="Tusenskille 3 5 2 2 4" xfId="368" xr:uid="{00000000-0005-0000-0000-0000E7020000}"/>
    <cellStyle name="Tusenskille 3 5 2 2 5" xfId="458" xr:uid="{00000000-0005-0000-0000-0000E8020000}"/>
    <cellStyle name="Tusenskille 3 5 2 2 6" xfId="548" xr:uid="{00000000-0005-0000-0000-0000E9020000}"/>
    <cellStyle name="Tusenskille 3 5 2 2 7" xfId="638" xr:uid="{00000000-0005-0000-0000-0000EA020000}"/>
    <cellStyle name="Tusenskille 3 5 2 2 8" xfId="728" xr:uid="{00000000-0005-0000-0000-0000EB020000}"/>
    <cellStyle name="Tusenskille 3 5 2 2 9" xfId="825" xr:uid="{00000000-0005-0000-0000-0000EC020000}"/>
    <cellStyle name="Tusenskille 3 5 2 3" xfId="151" xr:uid="{00000000-0005-0000-0000-0000ED020000}"/>
    <cellStyle name="Tusenskille 3 5 2 4" xfId="241" xr:uid="{00000000-0005-0000-0000-0000EE020000}"/>
    <cellStyle name="Tusenskille 3 5 2 5" xfId="331" xr:uid="{00000000-0005-0000-0000-0000EF020000}"/>
    <cellStyle name="Tusenskille 3 5 2 6" xfId="421" xr:uid="{00000000-0005-0000-0000-0000F0020000}"/>
    <cellStyle name="Tusenskille 3 5 2 7" xfId="511" xr:uid="{00000000-0005-0000-0000-0000F1020000}"/>
    <cellStyle name="Tusenskille 3 5 2 8" xfId="601" xr:uid="{00000000-0005-0000-0000-0000F2020000}"/>
    <cellStyle name="Tusenskille 3 5 2 9" xfId="691" xr:uid="{00000000-0005-0000-0000-0000F3020000}"/>
    <cellStyle name="Tusenskille 3 5 3" xfId="76" xr:uid="{00000000-0005-0000-0000-0000F4020000}"/>
    <cellStyle name="Tusenskille 3 5 3 2" xfId="169" xr:uid="{00000000-0005-0000-0000-0000F5020000}"/>
    <cellStyle name="Tusenskille 3 5 3 3" xfId="259" xr:uid="{00000000-0005-0000-0000-0000F6020000}"/>
    <cellStyle name="Tusenskille 3 5 3 4" xfId="349" xr:uid="{00000000-0005-0000-0000-0000F7020000}"/>
    <cellStyle name="Tusenskille 3 5 3 5" xfId="439" xr:uid="{00000000-0005-0000-0000-0000F8020000}"/>
    <cellStyle name="Tusenskille 3 5 3 6" xfId="529" xr:uid="{00000000-0005-0000-0000-0000F9020000}"/>
    <cellStyle name="Tusenskille 3 5 3 7" xfId="619" xr:uid="{00000000-0005-0000-0000-0000FA020000}"/>
    <cellStyle name="Tusenskille 3 5 3 8" xfId="709" xr:uid="{00000000-0005-0000-0000-0000FB020000}"/>
    <cellStyle name="Tusenskille 3 5 3 9" xfId="806" xr:uid="{00000000-0005-0000-0000-0000FC020000}"/>
    <cellStyle name="Tusenskille 3 5 4" xfId="132" xr:uid="{00000000-0005-0000-0000-0000FD020000}"/>
    <cellStyle name="Tusenskille 3 5 5" xfId="222" xr:uid="{00000000-0005-0000-0000-0000FE020000}"/>
    <cellStyle name="Tusenskille 3 5 6" xfId="312" xr:uid="{00000000-0005-0000-0000-0000FF020000}"/>
    <cellStyle name="Tusenskille 3 5 7" xfId="402" xr:uid="{00000000-0005-0000-0000-000000030000}"/>
    <cellStyle name="Tusenskille 3 5 8" xfId="492" xr:uid="{00000000-0005-0000-0000-000001030000}"/>
    <cellStyle name="Tusenskille 3 5 9" xfId="582" xr:uid="{00000000-0005-0000-0000-000002030000}"/>
    <cellStyle name="Tusenskille 3 6" xfId="37" xr:uid="{00000000-0005-0000-0000-000003030000}"/>
    <cellStyle name="Tusenskille 3 6 10" xfId="675" xr:uid="{00000000-0005-0000-0000-000004030000}"/>
    <cellStyle name="Tusenskille 3 6 11" xfId="770" xr:uid="{00000000-0005-0000-0000-000005030000}"/>
    <cellStyle name="Tusenskille 3 6 2" xfId="59" xr:uid="{00000000-0005-0000-0000-000006030000}"/>
    <cellStyle name="Tusenskille 3 6 2 10" xfId="790" xr:uid="{00000000-0005-0000-0000-000007030000}"/>
    <cellStyle name="Tusenskille 3 6 2 2" xfId="99" xr:uid="{00000000-0005-0000-0000-000008030000}"/>
    <cellStyle name="Tusenskille 3 6 2 2 2" xfId="191" xr:uid="{00000000-0005-0000-0000-000009030000}"/>
    <cellStyle name="Tusenskille 3 6 2 2 3" xfId="281" xr:uid="{00000000-0005-0000-0000-00000A030000}"/>
    <cellStyle name="Tusenskille 3 6 2 2 4" xfId="371" xr:uid="{00000000-0005-0000-0000-00000B030000}"/>
    <cellStyle name="Tusenskille 3 6 2 2 5" xfId="461" xr:uid="{00000000-0005-0000-0000-00000C030000}"/>
    <cellStyle name="Tusenskille 3 6 2 2 6" xfId="551" xr:uid="{00000000-0005-0000-0000-00000D030000}"/>
    <cellStyle name="Tusenskille 3 6 2 2 7" xfId="641" xr:uid="{00000000-0005-0000-0000-00000E030000}"/>
    <cellStyle name="Tusenskille 3 6 2 2 8" xfId="731" xr:uid="{00000000-0005-0000-0000-00000F030000}"/>
    <cellStyle name="Tusenskille 3 6 2 2 9" xfId="828" xr:uid="{00000000-0005-0000-0000-000010030000}"/>
    <cellStyle name="Tusenskille 3 6 2 3" xfId="154" xr:uid="{00000000-0005-0000-0000-000011030000}"/>
    <cellStyle name="Tusenskille 3 6 2 4" xfId="244" xr:uid="{00000000-0005-0000-0000-000012030000}"/>
    <cellStyle name="Tusenskille 3 6 2 5" xfId="334" xr:uid="{00000000-0005-0000-0000-000013030000}"/>
    <cellStyle name="Tusenskille 3 6 2 6" xfId="424" xr:uid="{00000000-0005-0000-0000-000014030000}"/>
    <cellStyle name="Tusenskille 3 6 2 7" xfId="514" xr:uid="{00000000-0005-0000-0000-000015030000}"/>
    <cellStyle name="Tusenskille 3 6 2 8" xfId="604" xr:uid="{00000000-0005-0000-0000-000016030000}"/>
    <cellStyle name="Tusenskille 3 6 2 9" xfId="694" xr:uid="{00000000-0005-0000-0000-000017030000}"/>
    <cellStyle name="Tusenskille 3 6 3" xfId="79" xr:uid="{00000000-0005-0000-0000-000018030000}"/>
    <cellStyle name="Tusenskille 3 6 3 2" xfId="172" xr:uid="{00000000-0005-0000-0000-000019030000}"/>
    <cellStyle name="Tusenskille 3 6 3 3" xfId="262" xr:uid="{00000000-0005-0000-0000-00001A030000}"/>
    <cellStyle name="Tusenskille 3 6 3 4" xfId="352" xr:uid="{00000000-0005-0000-0000-00001B030000}"/>
    <cellStyle name="Tusenskille 3 6 3 5" xfId="442" xr:uid="{00000000-0005-0000-0000-00001C030000}"/>
    <cellStyle name="Tusenskille 3 6 3 6" xfId="532" xr:uid="{00000000-0005-0000-0000-00001D030000}"/>
    <cellStyle name="Tusenskille 3 6 3 7" xfId="622" xr:uid="{00000000-0005-0000-0000-00001E030000}"/>
    <cellStyle name="Tusenskille 3 6 3 8" xfId="712" xr:uid="{00000000-0005-0000-0000-00001F030000}"/>
    <cellStyle name="Tusenskille 3 6 3 9" xfId="809" xr:uid="{00000000-0005-0000-0000-000020030000}"/>
    <cellStyle name="Tusenskille 3 6 4" xfId="135" xr:uid="{00000000-0005-0000-0000-000021030000}"/>
    <cellStyle name="Tusenskille 3 6 5" xfId="225" xr:uid="{00000000-0005-0000-0000-000022030000}"/>
    <cellStyle name="Tusenskille 3 6 6" xfId="315" xr:uid="{00000000-0005-0000-0000-000023030000}"/>
    <cellStyle name="Tusenskille 3 6 7" xfId="405" xr:uid="{00000000-0005-0000-0000-000024030000}"/>
    <cellStyle name="Tusenskille 3 6 8" xfId="495" xr:uid="{00000000-0005-0000-0000-000025030000}"/>
    <cellStyle name="Tusenskille 3 6 9" xfId="585" xr:uid="{00000000-0005-0000-0000-000026030000}"/>
    <cellStyle name="Tusenskille 3 7" xfId="43" xr:uid="{00000000-0005-0000-0000-000027030000}"/>
    <cellStyle name="Tusenskille 3 7 10" xfId="775" xr:uid="{00000000-0005-0000-0000-000028030000}"/>
    <cellStyle name="Tusenskille 3 7 2" xfId="83" xr:uid="{00000000-0005-0000-0000-000029030000}"/>
    <cellStyle name="Tusenskille 3 7 2 2" xfId="176" xr:uid="{00000000-0005-0000-0000-00002A030000}"/>
    <cellStyle name="Tusenskille 3 7 2 3" xfId="266" xr:uid="{00000000-0005-0000-0000-00002B030000}"/>
    <cellStyle name="Tusenskille 3 7 2 4" xfId="356" xr:uid="{00000000-0005-0000-0000-00002C030000}"/>
    <cellStyle name="Tusenskille 3 7 2 5" xfId="446" xr:uid="{00000000-0005-0000-0000-00002D030000}"/>
    <cellStyle name="Tusenskille 3 7 2 6" xfId="536" xr:uid="{00000000-0005-0000-0000-00002E030000}"/>
    <cellStyle name="Tusenskille 3 7 2 7" xfId="626" xr:uid="{00000000-0005-0000-0000-00002F030000}"/>
    <cellStyle name="Tusenskille 3 7 2 8" xfId="716" xr:uid="{00000000-0005-0000-0000-000030030000}"/>
    <cellStyle name="Tusenskille 3 7 2 9" xfId="813" xr:uid="{00000000-0005-0000-0000-000031030000}"/>
    <cellStyle name="Tusenskille 3 7 3" xfId="139" xr:uid="{00000000-0005-0000-0000-000032030000}"/>
    <cellStyle name="Tusenskille 3 7 4" xfId="229" xr:uid="{00000000-0005-0000-0000-000033030000}"/>
    <cellStyle name="Tusenskille 3 7 5" xfId="319" xr:uid="{00000000-0005-0000-0000-000034030000}"/>
    <cellStyle name="Tusenskille 3 7 6" xfId="409" xr:uid="{00000000-0005-0000-0000-000035030000}"/>
    <cellStyle name="Tusenskille 3 7 7" xfId="499" xr:uid="{00000000-0005-0000-0000-000036030000}"/>
    <cellStyle name="Tusenskille 3 7 8" xfId="589" xr:uid="{00000000-0005-0000-0000-000037030000}"/>
    <cellStyle name="Tusenskille 3 7 9" xfId="679" xr:uid="{00000000-0005-0000-0000-000038030000}"/>
    <cellStyle name="Tusenskille 3 8" xfId="64" xr:uid="{00000000-0005-0000-0000-000039030000}"/>
    <cellStyle name="Tusenskille 3 8 2" xfId="157" xr:uid="{00000000-0005-0000-0000-00003A030000}"/>
    <cellStyle name="Tusenskille 3 8 3" xfId="247" xr:uid="{00000000-0005-0000-0000-00003B030000}"/>
    <cellStyle name="Tusenskille 3 8 4" xfId="337" xr:uid="{00000000-0005-0000-0000-00003C030000}"/>
    <cellStyle name="Tusenskille 3 8 5" xfId="427" xr:uid="{00000000-0005-0000-0000-00003D030000}"/>
    <cellStyle name="Tusenskille 3 8 6" xfId="517" xr:uid="{00000000-0005-0000-0000-00003E030000}"/>
    <cellStyle name="Tusenskille 3 8 7" xfId="607" xr:uid="{00000000-0005-0000-0000-00003F030000}"/>
    <cellStyle name="Tusenskille 3 8 8" xfId="697" xr:uid="{00000000-0005-0000-0000-000040030000}"/>
    <cellStyle name="Tusenskille 3 8 9" xfId="794" xr:uid="{00000000-0005-0000-0000-000041030000}"/>
    <cellStyle name="Tusenskille 3 9" xfId="102" xr:uid="{00000000-0005-0000-0000-000042030000}"/>
    <cellStyle name="Tusenskille 3 9 2" xfId="194" xr:uid="{00000000-0005-0000-0000-000043030000}"/>
    <cellStyle name="Tusenskille 3 9 3" xfId="284" xr:uid="{00000000-0005-0000-0000-000044030000}"/>
    <cellStyle name="Tusenskille 3 9 4" xfId="374" xr:uid="{00000000-0005-0000-0000-000045030000}"/>
    <cellStyle name="Tusenskille 3 9 5" xfId="464" xr:uid="{00000000-0005-0000-0000-000046030000}"/>
    <cellStyle name="Tusenskille 3 9 6" xfId="554" xr:uid="{00000000-0005-0000-0000-000047030000}"/>
    <cellStyle name="Tusenskille 3 9 7" xfId="644" xr:uid="{00000000-0005-0000-0000-000048030000}"/>
    <cellStyle name="Tusenskille 3 9 8" xfId="734" xr:uid="{00000000-0005-0000-0000-000049030000}"/>
    <cellStyle name="Tusenskille 3 9 9" xfId="831" xr:uid="{00000000-0005-0000-0000-00004A030000}"/>
    <cellStyle name="Tusenskille 4" xfId="17" xr:uid="{00000000-0005-0000-0000-00004B030000}"/>
    <cellStyle name="Tusenskille 4 2" xfId="753" xr:uid="{00000000-0005-0000-0000-00004C030000}"/>
    <cellStyle name="Tusenskille 5" xfId="13" xr:uid="{00000000-0005-0000-0000-00004D030000}"/>
    <cellStyle name="Tusenskille 5 2" xfId="749" xr:uid="{00000000-0005-0000-0000-00004E030000}"/>
    <cellStyle name="Tusenskille 6" xfId="115" xr:uid="{00000000-0005-0000-0000-00004F030000}"/>
    <cellStyle name="TusenskilleFjernNull" xfId="846" xr:uid="{00000000-0005-0000-0000-000050030000}"/>
  </cellStyles>
  <dxfs count="67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colors>
    <mruColors>
      <color rgb="FFF8E9D6"/>
      <color rgb="FFFFFF99"/>
      <color rgb="FFF7D7F7"/>
      <color rgb="FFFCD2E2"/>
      <color rgb="FFD2FC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48" Type="http://schemas.openxmlformats.org/officeDocument/2006/relationships/customXml" Target="../customXml/item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140801174953532"/>
          <c:y val="9.8477480734069936E-2"/>
          <c:w val="0.74903048765490665"/>
          <c:h val="0.65437502946862602"/>
        </c:manualLayout>
      </c:layout>
      <c:barChart>
        <c:barDir val="col"/>
        <c:grouping val="clustered"/>
        <c:varyColors val="0"/>
        <c:ser>
          <c:idx val="0"/>
          <c:order val="0"/>
          <c:tx>
            <c:strRef>
              <c:f>Figurer!$M$7</c:f>
              <c:strCache>
                <c:ptCount val="1"/>
                <c:pt idx="0">
                  <c:v>2020</c:v>
                </c:pt>
              </c:strCache>
            </c:strRef>
          </c:tx>
          <c:invertIfNegative val="0"/>
          <c:cat>
            <c:strRef>
              <c:f>Figurer!$L$9:$L$32</c:f>
              <c:strCache>
                <c:ptCount val="24"/>
                <c:pt idx="0">
                  <c:v>Danica Pensjon</c:v>
                </c:pt>
                <c:pt idx="1">
                  <c:v>DNB Bedriftsp</c:v>
                </c:pt>
                <c:pt idx="2">
                  <c:v>DNB Liv</c:v>
                </c:pt>
                <c:pt idx="3">
                  <c:v>Eika Forsikring</c:v>
                </c:pt>
                <c:pt idx="4">
                  <c:v>Euro Accident</c:v>
                </c:pt>
                <c:pt idx="5">
                  <c:v>Fremtind Livsfors</c:v>
                </c:pt>
                <c:pt idx="6">
                  <c:v>Frende Livsfors</c:v>
                </c:pt>
                <c:pt idx="7">
                  <c:v>Frende Skade</c:v>
                </c:pt>
                <c:pt idx="8">
                  <c:v>Gjensidige Fors</c:v>
                </c:pt>
                <c:pt idx="9">
                  <c:v>Gjensidige Pensj</c:v>
                </c:pt>
                <c:pt idx="10">
                  <c:v>Handelsb Liv</c:v>
                </c:pt>
                <c:pt idx="11">
                  <c:v>If Skadefors</c:v>
                </c:pt>
                <c:pt idx="12">
                  <c:v>KLP</c:v>
                </c:pt>
                <c:pt idx="13">
                  <c:v>KLP Skadef</c:v>
                </c:pt>
                <c:pt idx="14">
                  <c:v>Landkreditt Fors.</c:v>
                </c:pt>
                <c:pt idx="15">
                  <c:v>Insr</c:v>
                </c:pt>
                <c:pt idx="16">
                  <c:v>Nordea Liv</c:v>
                </c:pt>
                <c:pt idx="17">
                  <c:v>OPF</c:v>
                </c:pt>
                <c:pt idx="18">
                  <c:v>Protector Fors</c:v>
                </c:pt>
                <c:pt idx="19">
                  <c:v>SpareBank 1</c:v>
                </c:pt>
                <c:pt idx="20">
                  <c:v>Storebrand </c:v>
                </c:pt>
                <c:pt idx="21">
                  <c:v>Telenor Fors</c:v>
                </c:pt>
                <c:pt idx="22">
                  <c:v>Tryg Fors</c:v>
                </c:pt>
                <c:pt idx="23">
                  <c:v>WaterCircles Fors.</c:v>
                </c:pt>
              </c:strCache>
            </c:strRef>
          </c:cat>
          <c:val>
            <c:numRef>
              <c:f>Figurer!$M$9:$M$32</c:f>
              <c:numCache>
                <c:formatCode>#,##0</c:formatCode>
                <c:ptCount val="24"/>
                <c:pt idx="0">
                  <c:v>109603.56300000001</c:v>
                </c:pt>
                <c:pt idx="1">
                  <c:v>24444</c:v>
                </c:pt>
                <c:pt idx="2">
                  <c:v>1392573.169</c:v>
                </c:pt>
                <c:pt idx="3">
                  <c:v>79342</c:v>
                </c:pt>
                <c:pt idx="4">
                  <c:v>0</c:v>
                </c:pt>
                <c:pt idx="5">
                  <c:v>825203.29516999994</c:v>
                </c:pt>
                <c:pt idx="6">
                  <c:v>508634</c:v>
                </c:pt>
                <c:pt idx="7">
                  <c:v>838</c:v>
                </c:pt>
                <c:pt idx="8">
                  <c:v>1082036</c:v>
                </c:pt>
                <c:pt idx="9">
                  <c:v>209475</c:v>
                </c:pt>
                <c:pt idx="10">
                  <c:v>8969.8688000000002</c:v>
                </c:pt>
                <c:pt idx="11">
                  <c:v>161371.50699999998</c:v>
                </c:pt>
                <c:pt idx="12">
                  <c:v>7072533.2508100001</c:v>
                </c:pt>
                <c:pt idx="13">
                  <c:v>156137.83600000001</c:v>
                </c:pt>
                <c:pt idx="14">
                  <c:v>30906</c:v>
                </c:pt>
                <c:pt idx="15">
                  <c:v>3495.9480000000003</c:v>
                </c:pt>
                <c:pt idx="16">
                  <c:v>629530.54245577473</c:v>
                </c:pt>
                <c:pt idx="17">
                  <c:v>595788.33617999998</c:v>
                </c:pt>
                <c:pt idx="18">
                  <c:v>196210.82700126772</c:v>
                </c:pt>
                <c:pt idx="19">
                  <c:v>250321.98676</c:v>
                </c:pt>
                <c:pt idx="20">
                  <c:v>2540938.0070000002</c:v>
                </c:pt>
                <c:pt idx="21">
                  <c:v>0</c:v>
                </c:pt>
                <c:pt idx="22">
                  <c:v>510830.81199999998</c:v>
                </c:pt>
                <c:pt idx="23">
                  <c:v>1050</c:v>
                </c:pt>
              </c:numCache>
            </c:numRef>
          </c:val>
          <c:extLst>
            <c:ext xmlns:c16="http://schemas.microsoft.com/office/drawing/2014/chart" uri="{C3380CC4-5D6E-409C-BE32-E72D297353CC}">
              <c16:uniqueId val="{00000002-93AE-4CD9-98AD-A52686D1F9FB}"/>
            </c:ext>
          </c:extLst>
        </c:ser>
        <c:ser>
          <c:idx val="1"/>
          <c:order val="1"/>
          <c:tx>
            <c:strRef>
              <c:f>Figurer!$N$7</c:f>
              <c:strCache>
                <c:ptCount val="1"/>
                <c:pt idx="0">
                  <c:v>2021</c:v>
                </c:pt>
              </c:strCache>
            </c:strRef>
          </c:tx>
          <c:invertIfNegative val="0"/>
          <c:cat>
            <c:strRef>
              <c:f>Figurer!$L$9:$L$32</c:f>
              <c:strCache>
                <c:ptCount val="24"/>
                <c:pt idx="0">
                  <c:v>Danica Pensjon</c:v>
                </c:pt>
                <c:pt idx="1">
                  <c:v>DNB Bedriftsp</c:v>
                </c:pt>
                <c:pt idx="2">
                  <c:v>DNB Liv</c:v>
                </c:pt>
                <c:pt idx="3">
                  <c:v>Eika Forsikring</c:v>
                </c:pt>
                <c:pt idx="4">
                  <c:v>Euro Accident</c:v>
                </c:pt>
                <c:pt idx="5">
                  <c:v>Fremtind Livsfors</c:v>
                </c:pt>
                <c:pt idx="6">
                  <c:v>Frende Livsfors</c:v>
                </c:pt>
                <c:pt idx="7">
                  <c:v>Frende Skade</c:v>
                </c:pt>
                <c:pt idx="8">
                  <c:v>Gjensidige Fors</c:v>
                </c:pt>
                <c:pt idx="9">
                  <c:v>Gjensidige Pensj</c:v>
                </c:pt>
                <c:pt idx="10">
                  <c:v>Handelsb Liv</c:v>
                </c:pt>
                <c:pt idx="11">
                  <c:v>If Skadefors</c:v>
                </c:pt>
                <c:pt idx="12">
                  <c:v>KLP</c:v>
                </c:pt>
                <c:pt idx="13">
                  <c:v>KLP Skadef</c:v>
                </c:pt>
                <c:pt idx="14">
                  <c:v>Landkreditt Fors.</c:v>
                </c:pt>
                <c:pt idx="15">
                  <c:v>Insr</c:v>
                </c:pt>
                <c:pt idx="16">
                  <c:v>Nordea Liv</c:v>
                </c:pt>
                <c:pt idx="17">
                  <c:v>OPF</c:v>
                </c:pt>
                <c:pt idx="18">
                  <c:v>Protector Fors</c:v>
                </c:pt>
                <c:pt idx="19">
                  <c:v>SpareBank 1</c:v>
                </c:pt>
                <c:pt idx="20">
                  <c:v>Storebrand </c:v>
                </c:pt>
                <c:pt idx="21">
                  <c:v>Telenor Fors</c:v>
                </c:pt>
                <c:pt idx="22">
                  <c:v>Tryg Fors</c:v>
                </c:pt>
                <c:pt idx="23">
                  <c:v>WaterCircles Fors.</c:v>
                </c:pt>
              </c:strCache>
            </c:strRef>
          </c:cat>
          <c:val>
            <c:numRef>
              <c:f>Figurer!$N$9:$N$32</c:f>
              <c:numCache>
                <c:formatCode>#,##0</c:formatCode>
                <c:ptCount val="24"/>
                <c:pt idx="0">
                  <c:v>105984.141</c:v>
                </c:pt>
                <c:pt idx="1">
                  <c:v>0</c:v>
                </c:pt>
                <c:pt idx="2">
                  <c:v>1343575.8687400001</c:v>
                </c:pt>
                <c:pt idx="3">
                  <c:v>86830</c:v>
                </c:pt>
                <c:pt idx="4">
                  <c:v>8328</c:v>
                </c:pt>
                <c:pt idx="5">
                  <c:v>846741.58648000006</c:v>
                </c:pt>
                <c:pt idx="6">
                  <c:v>462024</c:v>
                </c:pt>
                <c:pt idx="7">
                  <c:v>5032.16</c:v>
                </c:pt>
                <c:pt idx="8">
                  <c:v>1275735.1170000001</c:v>
                </c:pt>
                <c:pt idx="9">
                  <c:v>228732</c:v>
                </c:pt>
                <c:pt idx="10">
                  <c:v>8840.2157599999991</c:v>
                </c:pt>
                <c:pt idx="11">
                  <c:v>170115.003490506</c:v>
                </c:pt>
                <c:pt idx="12">
                  <c:v>7029637.7149999999</c:v>
                </c:pt>
                <c:pt idx="13">
                  <c:v>181165.234</c:v>
                </c:pt>
                <c:pt idx="14">
                  <c:v>32788</c:v>
                </c:pt>
                <c:pt idx="15">
                  <c:v>9365</c:v>
                </c:pt>
                <c:pt idx="16">
                  <c:v>640623</c:v>
                </c:pt>
                <c:pt idx="17">
                  <c:v>823365</c:v>
                </c:pt>
                <c:pt idx="18">
                  <c:v>212752.66328546518</c:v>
                </c:pt>
                <c:pt idx="19">
                  <c:v>267941.32840000006</c:v>
                </c:pt>
                <c:pt idx="20">
                  <c:v>2282188.585</c:v>
                </c:pt>
                <c:pt idx="21">
                  <c:v>364</c:v>
                </c:pt>
                <c:pt idx="22">
                  <c:v>519007.69999999995</c:v>
                </c:pt>
                <c:pt idx="23">
                  <c:v>1478</c:v>
                </c:pt>
              </c:numCache>
            </c:numRef>
          </c:val>
          <c:extLst>
            <c:ext xmlns:c16="http://schemas.microsoft.com/office/drawing/2014/chart" uri="{C3380CC4-5D6E-409C-BE32-E72D297353CC}">
              <c16:uniqueId val="{00000003-93AE-4CD9-98AD-A52686D1F9FB}"/>
            </c:ext>
          </c:extLst>
        </c:ser>
        <c:dLbls>
          <c:showLegendKey val="0"/>
          <c:showVal val="0"/>
          <c:showCatName val="0"/>
          <c:showSerName val="0"/>
          <c:showPercent val="0"/>
          <c:showBubbleSize val="0"/>
        </c:dLbls>
        <c:gapWidth val="150"/>
        <c:axId val="242174208"/>
        <c:axId val="242180096"/>
      </c:barChart>
      <c:catAx>
        <c:axId val="24217420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180096"/>
        <c:crosses val="autoZero"/>
        <c:auto val="1"/>
        <c:lblAlgn val="ctr"/>
        <c:lblOffset val="100"/>
        <c:tickLblSkip val="1"/>
        <c:tickMarkSkip val="1"/>
        <c:noMultiLvlLbl val="0"/>
      </c:catAx>
      <c:valAx>
        <c:axId val="242180096"/>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444532284870034E-3"/>
              <c:y val="0.3517112756115066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174208"/>
        <c:crosses val="autoZero"/>
        <c:crossBetween val="between"/>
      </c:valAx>
    </c:plotArea>
    <c:legend>
      <c:legendPos val="b"/>
      <c:layout>
        <c:manualLayout>
          <c:xMode val="edge"/>
          <c:yMode val="edge"/>
          <c:x val="0.35321900023541236"/>
          <c:y val="0.94486784960263159"/>
          <c:w val="9.5093936551103805E-2"/>
          <c:h val="3.879799456205698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6608656849620704"/>
          <c:y val="0.10754105736782903"/>
          <c:w val="0.77619271486646502"/>
          <c:h val="0.61573077622722905"/>
        </c:manualLayout>
      </c:layout>
      <c:barChart>
        <c:barDir val="col"/>
        <c:grouping val="clustered"/>
        <c:varyColors val="0"/>
        <c:ser>
          <c:idx val="0"/>
          <c:order val="0"/>
          <c:tx>
            <c:strRef>
              <c:f>Figurer!$M$37</c:f>
              <c:strCache>
                <c:ptCount val="1"/>
                <c:pt idx="0">
                  <c:v>2020</c:v>
                </c:pt>
              </c:strCache>
            </c:strRef>
          </c:tx>
          <c:invertIfNegative val="0"/>
          <c:cat>
            <c:strRef>
              <c:f>Figurer!$L$38:$L$47</c:f>
              <c:strCache>
                <c:ptCount val="10"/>
                <c:pt idx="0">
                  <c:v>Danica Pensjon</c:v>
                </c:pt>
                <c:pt idx="1">
                  <c:v>DNB Bedriftsp</c:v>
                </c:pt>
                <c:pt idx="2">
                  <c:v>DNB Liv</c:v>
                </c:pt>
                <c:pt idx="3">
                  <c:v>Frende Livsfors</c:v>
                </c:pt>
                <c:pt idx="4">
                  <c:v>Gjensidige Pensj</c:v>
                </c:pt>
                <c:pt idx="5">
                  <c:v>KLP</c:v>
                </c:pt>
                <c:pt idx="6">
                  <c:v>Nordea Liv</c:v>
                </c:pt>
                <c:pt idx="7">
                  <c:v>SHB Liv</c:v>
                </c:pt>
                <c:pt idx="8">
                  <c:v>SpareBank 1</c:v>
                </c:pt>
                <c:pt idx="9">
                  <c:v>Storebrand</c:v>
                </c:pt>
              </c:strCache>
            </c:strRef>
          </c:cat>
          <c:val>
            <c:numRef>
              <c:f>Figurer!$M$38:$M$47</c:f>
              <c:numCache>
                <c:formatCode>#,##0</c:formatCode>
                <c:ptCount val="10"/>
                <c:pt idx="0">
                  <c:v>556076.75199999998</c:v>
                </c:pt>
                <c:pt idx="1">
                  <c:v>155790</c:v>
                </c:pt>
                <c:pt idx="2">
                  <c:v>2457225.304</c:v>
                </c:pt>
                <c:pt idx="3">
                  <c:v>105771</c:v>
                </c:pt>
                <c:pt idx="4">
                  <c:v>826794</c:v>
                </c:pt>
                <c:pt idx="5">
                  <c:v>13284.058000000001</c:v>
                </c:pt>
                <c:pt idx="6">
                  <c:v>3056093.7786399997</c:v>
                </c:pt>
                <c:pt idx="7">
                  <c:v>40693.550899999995</c:v>
                </c:pt>
                <c:pt idx="8">
                  <c:v>1184786.1743300001</c:v>
                </c:pt>
                <c:pt idx="9">
                  <c:v>3276242.0279999999</c:v>
                </c:pt>
              </c:numCache>
            </c:numRef>
          </c:val>
          <c:extLst>
            <c:ext xmlns:c16="http://schemas.microsoft.com/office/drawing/2014/chart" uri="{C3380CC4-5D6E-409C-BE32-E72D297353CC}">
              <c16:uniqueId val="{00000000-3971-4F9A-B5A3-CF52C774B823}"/>
            </c:ext>
          </c:extLst>
        </c:ser>
        <c:ser>
          <c:idx val="1"/>
          <c:order val="1"/>
          <c:tx>
            <c:strRef>
              <c:f>Figurer!$N$37</c:f>
              <c:strCache>
                <c:ptCount val="1"/>
                <c:pt idx="0">
                  <c:v>2021</c:v>
                </c:pt>
              </c:strCache>
            </c:strRef>
          </c:tx>
          <c:invertIfNegative val="0"/>
          <c:cat>
            <c:strRef>
              <c:f>Figurer!$L$38:$L$47</c:f>
              <c:strCache>
                <c:ptCount val="10"/>
                <c:pt idx="0">
                  <c:v>Danica Pensjon</c:v>
                </c:pt>
                <c:pt idx="1">
                  <c:v>DNB Bedriftsp</c:v>
                </c:pt>
                <c:pt idx="2">
                  <c:v>DNB Liv</c:v>
                </c:pt>
                <c:pt idx="3">
                  <c:v>Frende Livsfors</c:v>
                </c:pt>
                <c:pt idx="4">
                  <c:v>Gjensidige Pensj</c:v>
                </c:pt>
                <c:pt idx="5">
                  <c:v>KLP</c:v>
                </c:pt>
                <c:pt idx="6">
                  <c:v>Nordea Liv</c:v>
                </c:pt>
                <c:pt idx="7">
                  <c:v>SHB Liv</c:v>
                </c:pt>
                <c:pt idx="8">
                  <c:v>SpareBank 1</c:v>
                </c:pt>
                <c:pt idx="9">
                  <c:v>Storebrand</c:v>
                </c:pt>
              </c:strCache>
            </c:strRef>
          </c:cat>
          <c:val>
            <c:numRef>
              <c:f>Figurer!$N$38:$N$47</c:f>
              <c:numCache>
                <c:formatCode>#,##0</c:formatCode>
                <c:ptCount val="10"/>
                <c:pt idx="0">
                  <c:v>605624.35699999996</c:v>
                </c:pt>
                <c:pt idx="1">
                  <c:v>0</c:v>
                </c:pt>
                <c:pt idx="2">
                  <c:v>2864053.5292500001</c:v>
                </c:pt>
                <c:pt idx="3">
                  <c:v>0</c:v>
                </c:pt>
                <c:pt idx="4">
                  <c:v>917875</c:v>
                </c:pt>
                <c:pt idx="5">
                  <c:v>13768.486000000001</c:v>
                </c:pt>
                <c:pt idx="6">
                  <c:v>4591987.8017199999</c:v>
                </c:pt>
                <c:pt idx="7">
                  <c:v>43468.250899999999</c:v>
                </c:pt>
                <c:pt idx="8">
                  <c:v>1354315.19411</c:v>
                </c:pt>
                <c:pt idx="9">
                  <c:v>3478515.0109999999</c:v>
                </c:pt>
              </c:numCache>
            </c:numRef>
          </c:val>
          <c:extLst>
            <c:ext xmlns:c16="http://schemas.microsoft.com/office/drawing/2014/chart" uri="{C3380CC4-5D6E-409C-BE32-E72D297353CC}">
              <c16:uniqueId val="{00000001-3971-4F9A-B5A3-CF52C774B823}"/>
            </c:ext>
          </c:extLst>
        </c:ser>
        <c:dLbls>
          <c:showLegendKey val="0"/>
          <c:showVal val="0"/>
          <c:showCatName val="0"/>
          <c:showSerName val="0"/>
          <c:showPercent val="0"/>
          <c:showBubbleSize val="0"/>
        </c:dLbls>
        <c:gapWidth val="150"/>
        <c:axId val="242208128"/>
        <c:axId val="242427008"/>
      </c:barChart>
      <c:catAx>
        <c:axId val="24220812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427008"/>
        <c:crosses val="autoZero"/>
        <c:auto val="1"/>
        <c:lblAlgn val="ctr"/>
        <c:lblOffset val="100"/>
        <c:tickLblSkip val="1"/>
        <c:tickMarkSkip val="1"/>
        <c:noMultiLvlLbl val="0"/>
      </c:catAx>
      <c:valAx>
        <c:axId val="24242700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541508114698515E-3"/>
              <c:y val="0.33962311853875432"/>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208128"/>
        <c:crosses val="autoZero"/>
        <c:crossBetween val="between"/>
      </c:valAx>
    </c:plotArea>
    <c:legend>
      <c:legendPos val="b"/>
      <c:layout>
        <c:manualLayout>
          <c:xMode val="edge"/>
          <c:yMode val="edge"/>
          <c:x val="0.34749475592659351"/>
          <c:y val="0.93710900423161392"/>
          <c:w val="0.23943149676571668"/>
          <c:h val="5.0314424982592074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9034622721340161"/>
          <c:y val="7.9682070044274814E-2"/>
          <c:w val="0.72950920069418312"/>
          <c:h val="0.62009389947752291"/>
        </c:manualLayout>
      </c:layout>
      <c:barChart>
        <c:barDir val="col"/>
        <c:grouping val="clustered"/>
        <c:varyColors val="0"/>
        <c:ser>
          <c:idx val="0"/>
          <c:order val="0"/>
          <c:tx>
            <c:strRef>
              <c:f>Figurer!$M$58</c:f>
              <c:strCache>
                <c:ptCount val="1"/>
                <c:pt idx="0">
                  <c:v>2020</c:v>
                </c:pt>
              </c:strCache>
            </c:strRef>
          </c:tx>
          <c:invertIfNegative val="0"/>
          <c:cat>
            <c:strRef>
              <c:f>Figurer!$L$60:$L$81</c:f>
              <c:strCache>
                <c:ptCount val="22"/>
                <c:pt idx="0">
                  <c:v>Danica Pensjon</c:v>
                </c:pt>
                <c:pt idx="1">
                  <c:v>DNB Bedriftsp</c:v>
                </c:pt>
                <c:pt idx="2">
                  <c:v>DNB Liv</c:v>
                </c:pt>
                <c:pt idx="3">
                  <c:v>Eika Forsikring</c:v>
                </c:pt>
                <c:pt idx="4">
                  <c:v>Euro Accident</c:v>
                </c:pt>
                <c:pt idx="5">
                  <c:v>Fremtind Livsfors</c:v>
                </c:pt>
                <c:pt idx="6">
                  <c:v>Frende Livsfors</c:v>
                </c:pt>
                <c:pt idx="7">
                  <c:v>Gjensidige Fors</c:v>
                </c:pt>
                <c:pt idx="8">
                  <c:v>Gjensidige Pensj</c:v>
                </c:pt>
                <c:pt idx="9">
                  <c:v>Handelsb Liv</c:v>
                </c:pt>
                <c:pt idx="10">
                  <c:v>If Skadefors</c:v>
                </c:pt>
                <c:pt idx="11">
                  <c:v>Insr</c:v>
                </c:pt>
                <c:pt idx="12">
                  <c:v>KLP</c:v>
                </c:pt>
                <c:pt idx="13">
                  <c:v>KLP Skadef</c:v>
                </c:pt>
                <c:pt idx="14">
                  <c:v>Landkreditt Fors</c:v>
                </c:pt>
                <c:pt idx="15">
                  <c:v>Nordea Liv</c:v>
                </c:pt>
                <c:pt idx="16">
                  <c:v>OPF</c:v>
                </c:pt>
                <c:pt idx="17">
                  <c:v>SpareBank 1</c:v>
                </c:pt>
                <c:pt idx="18">
                  <c:v>Storebrand </c:v>
                </c:pt>
                <c:pt idx="19">
                  <c:v>Telenor Forsikring</c:v>
                </c:pt>
                <c:pt idx="20">
                  <c:v>Tryg Forsikring</c:v>
                </c:pt>
                <c:pt idx="21">
                  <c:v>WaterCicles Fors.</c:v>
                </c:pt>
              </c:strCache>
            </c:strRef>
          </c:cat>
          <c:val>
            <c:numRef>
              <c:f>Figurer!$M$60:$M$81</c:f>
              <c:numCache>
                <c:formatCode>#,##0</c:formatCode>
                <c:ptCount val="22"/>
                <c:pt idx="0">
                  <c:v>1183791.0419999999</c:v>
                </c:pt>
                <c:pt idx="1">
                  <c:v>1780872</c:v>
                </c:pt>
                <c:pt idx="2">
                  <c:v>197164195.84099999</c:v>
                </c:pt>
                <c:pt idx="3">
                  <c:v>0</c:v>
                </c:pt>
                <c:pt idx="4">
                  <c:v>0</c:v>
                </c:pt>
                <c:pt idx="5">
                  <c:v>3426723.5940800002</c:v>
                </c:pt>
                <c:pt idx="6">
                  <c:v>1243833</c:v>
                </c:pt>
                <c:pt idx="7">
                  <c:v>0</c:v>
                </c:pt>
                <c:pt idx="8">
                  <c:v>7257458</c:v>
                </c:pt>
                <c:pt idx="9">
                  <c:v>27018.357819261299</c:v>
                </c:pt>
                <c:pt idx="10">
                  <c:v>0</c:v>
                </c:pt>
                <c:pt idx="11">
                  <c:v>0</c:v>
                </c:pt>
                <c:pt idx="12">
                  <c:v>508505466.93022001</c:v>
                </c:pt>
                <c:pt idx="13">
                  <c:v>39904.18694</c:v>
                </c:pt>
                <c:pt idx="14">
                  <c:v>0</c:v>
                </c:pt>
                <c:pt idx="15">
                  <c:v>51184490.000153631</c:v>
                </c:pt>
                <c:pt idx="16">
                  <c:v>78512396.264768496</c:v>
                </c:pt>
                <c:pt idx="17">
                  <c:v>19224127.527090002</c:v>
                </c:pt>
                <c:pt idx="18">
                  <c:v>182275775.57800004</c:v>
                </c:pt>
                <c:pt idx="19">
                  <c:v>0</c:v>
                </c:pt>
                <c:pt idx="20">
                  <c:v>0</c:v>
                </c:pt>
                <c:pt idx="21">
                  <c:v>0</c:v>
                </c:pt>
              </c:numCache>
            </c:numRef>
          </c:val>
          <c:extLst>
            <c:ext xmlns:c16="http://schemas.microsoft.com/office/drawing/2014/chart" uri="{C3380CC4-5D6E-409C-BE32-E72D297353CC}">
              <c16:uniqueId val="{00000000-F5D7-4882-A9B6-45C2F0317A05}"/>
            </c:ext>
          </c:extLst>
        </c:ser>
        <c:ser>
          <c:idx val="1"/>
          <c:order val="1"/>
          <c:tx>
            <c:strRef>
              <c:f>Figurer!$N$58</c:f>
              <c:strCache>
                <c:ptCount val="1"/>
                <c:pt idx="0">
                  <c:v>2021</c:v>
                </c:pt>
              </c:strCache>
            </c:strRef>
          </c:tx>
          <c:invertIfNegative val="0"/>
          <c:cat>
            <c:strRef>
              <c:f>Figurer!$L$60:$L$81</c:f>
              <c:strCache>
                <c:ptCount val="22"/>
                <c:pt idx="0">
                  <c:v>Danica Pensjon</c:v>
                </c:pt>
                <c:pt idx="1">
                  <c:v>DNB Bedriftsp</c:v>
                </c:pt>
                <c:pt idx="2">
                  <c:v>DNB Liv</c:v>
                </c:pt>
                <c:pt idx="3">
                  <c:v>Eika Forsikring</c:v>
                </c:pt>
                <c:pt idx="4">
                  <c:v>Euro Accident</c:v>
                </c:pt>
                <c:pt idx="5">
                  <c:v>Fremtind Livsfors</c:v>
                </c:pt>
                <c:pt idx="6">
                  <c:v>Frende Livsfors</c:v>
                </c:pt>
                <c:pt idx="7">
                  <c:v>Gjensidige Fors</c:v>
                </c:pt>
                <c:pt idx="8">
                  <c:v>Gjensidige Pensj</c:v>
                </c:pt>
                <c:pt idx="9">
                  <c:v>Handelsb Liv</c:v>
                </c:pt>
                <c:pt idx="10">
                  <c:v>If Skadefors</c:v>
                </c:pt>
                <c:pt idx="11">
                  <c:v>Insr</c:v>
                </c:pt>
                <c:pt idx="12">
                  <c:v>KLP</c:v>
                </c:pt>
                <c:pt idx="13">
                  <c:v>KLP Skadef</c:v>
                </c:pt>
                <c:pt idx="14">
                  <c:v>Landkreditt Fors</c:v>
                </c:pt>
                <c:pt idx="15">
                  <c:v>Nordea Liv</c:v>
                </c:pt>
                <c:pt idx="16">
                  <c:v>OPF</c:v>
                </c:pt>
                <c:pt idx="17">
                  <c:v>SpareBank 1</c:v>
                </c:pt>
                <c:pt idx="18">
                  <c:v>Storebrand </c:v>
                </c:pt>
                <c:pt idx="19">
                  <c:v>Telenor Forsikring</c:v>
                </c:pt>
                <c:pt idx="20">
                  <c:v>Tryg Forsikring</c:v>
                </c:pt>
                <c:pt idx="21">
                  <c:v>WaterCicles Fors.</c:v>
                </c:pt>
              </c:strCache>
            </c:strRef>
          </c:cat>
          <c:val>
            <c:numRef>
              <c:f>Figurer!$N$60:$N$81</c:f>
              <c:numCache>
                <c:formatCode>#,##0</c:formatCode>
                <c:ptCount val="22"/>
                <c:pt idx="0">
                  <c:v>1351956.0279999999</c:v>
                </c:pt>
                <c:pt idx="1">
                  <c:v>0</c:v>
                </c:pt>
                <c:pt idx="2">
                  <c:v>196590138.16999999</c:v>
                </c:pt>
                <c:pt idx="3">
                  <c:v>0</c:v>
                </c:pt>
                <c:pt idx="4">
                  <c:v>0</c:v>
                </c:pt>
                <c:pt idx="5">
                  <c:v>3914911.94576</c:v>
                </c:pt>
                <c:pt idx="6">
                  <c:v>1220716</c:v>
                </c:pt>
                <c:pt idx="7">
                  <c:v>0</c:v>
                </c:pt>
                <c:pt idx="8">
                  <c:v>7864328</c:v>
                </c:pt>
                <c:pt idx="9">
                  <c:v>18807.375</c:v>
                </c:pt>
                <c:pt idx="10">
                  <c:v>0</c:v>
                </c:pt>
                <c:pt idx="11">
                  <c:v>0</c:v>
                </c:pt>
                <c:pt idx="12">
                  <c:v>532252570.11264002</c:v>
                </c:pt>
                <c:pt idx="13">
                  <c:v>61664.775000000001</c:v>
                </c:pt>
                <c:pt idx="14">
                  <c:v>0</c:v>
                </c:pt>
                <c:pt idx="15">
                  <c:v>54236300.000061981</c:v>
                </c:pt>
                <c:pt idx="16">
                  <c:v>84956302</c:v>
                </c:pt>
                <c:pt idx="17">
                  <c:v>19627923.643070001</c:v>
                </c:pt>
                <c:pt idx="18">
                  <c:v>191597306.794</c:v>
                </c:pt>
                <c:pt idx="19">
                  <c:v>0</c:v>
                </c:pt>
                <c:pt idx="20">
                  <c:v>0</c:v>
                </c:pt>
                <c:pt idx="21">
                  <c:v>0</c:v>
                </c:pt>
              </c:numCache>
            </c:numRef>
          </c:val>
          <c:extLst>
            <c:ext xmlns:c16="http://schemas.microsoft.com/office/drawing/2014/chart" uri="{C3380CC4-5D6E-409C-BE32-E72D297353CC}">
              <c16:uniqueId val="{00000001-F5D7-4882-A9B6-45C2F0317A05}"/>
            </c:ext>
          </c:extLst>
        </c:ser>
        <c:dLbls>
          <c:showLegendKey val="0"/>
          <c:showVal val="0"/>
          <c:showCatName val="0"/>
          <c:showSerName val="0"/>
          <c:showPercent val="0"/>
          <c:showBubbleSize val="0"/>
        </c:dLbls>
        <c:gapWidth val="150"/>
        <c:axId val="242742784"/>
        <c:axId val="242744320"/>
      </c:barChart>
      <c:catAx>
        <c:axId val="24274278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744320"/>
        <c:crosses val="autoZero"/>
        <c:auto val="1"/>
        <c:lblAlgn val="ctr"/>
        <c:lblOffset val="100"/>
        <c:tickLblSkip val="1"/>
        <c:tickMarkSkip val="1"/>
        <c:noMultiLvlLbl val="0"/>
      </c:catAx>
      <c:valAx>
        <c:axId val="24274432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4590163934426229E-2"/>
              <c:y val="0.3486597658438787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742784"/>
        <c:crosses val="autoZero"/>
        <c:crossBetween val="between"/>
      </c:valAx>
    </c:plotArea>
    <c:legend>
      <c:legendPos val="b"/>
      <c:layout>
        <c:manualLayout>
          <c:xMode val="edge"/>
          <c:yMode val="edge"/>
          <c:x val="0.36156705821608365"/>
          <c:y val="0.94061493998643431"/>
          <c:w val="0.21357027092924838"/>
          <c:h val="4.597693827597392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826753749914957"/>
          <c:y val="9.2115610054672017E-2"/>
          <c:w val="0.74306560247500353"/>
          <c:h val="0.6114621490399017"/>
        </c:manualLayout>
      </c:layout>
      <c:barChart>
        <c:barDir val="col"/>
        <c:grouping val="clustered"/>
        <c:varyColors val="0"/>
        <c:ser>
          <c:idx val="0"/>
          <c:order val="0"/>
          <c:tx>
            <c:strRef>
              <c:f>Figurer!$M$86</c:f>
              <c:strCache>
                <c:ptCount val="1"/>
                <c:pt idx="0">
                  <c:v>2020</c:v>
                </c:pt>
              </c:strCache>
            </c:strRef>
          </c:tx>
          <c:invertIfNegative val="0"/>
          <c:cat>
            <c:strRef>
              <c:f>Figurer!$L$87:$L$96</c:f>
              <c:strCache>
                <c:ptCount val="10"/>
                <c:pt idx="0">
                  <c:v>Danica Pensjon</c:v>
                </c:pt>
                <c:pt idx="1">
                  <c:v>DNB Bedriftsp</c:v>
                </c:pt>
                <c:pt idx="2">
                  <c:v>DNB Liv</c:v>
                </c:pt>
                <c:pt idx="3">
                  <c:v>Frende Livsfors</c:v>
                </c:pt>
                <c:pt idx="4">
                  <c:v>Gjensidige Pensj</c:v>
                </c:pt>
                <c:pt idx="5">
                  <c:v>KLP</c:v>
                </c:pt>
                <c:pt idx="6">
                  <c:v>Nordea Liv</c:v>
                </c:pt>
                <c:pt idx="7">
                  <c:v>SHB Liv</c:v>
                </c:pt>
                <c:pt idx="8">
                  <c:v>SpareBank 1</c:v>
                </c:pt>
                <c:pt idx="9">
                  <c:v>Storebrand</c:v>
                </c:pt>
              </c:strCache>
            </c:strRef>
          </c:cat>
          <c:val>
            <c:numRef>
              <c:f>Figurer!$M$87:$M$96</c:f>
              <c:numCache>
                <c:formatCode>#,##0</c:formatCode>
                <c:ptCount val="10"/>
                <c:pt idx="0">
                  <c:v>18526269.5</c:v>
                </c:pt>
                <c:pt idx="1">
                  <c:v>4535748</c:v>
                </c:pt>
                <c:pt idx="2">
                  <c:v>84790630.706</c:v>
                </c:pt>
                <c:pt idx="3">
                  <c:v>3863942</c:v>
                </c:pt>
                <c:pt idx="4">
                  <c:v>26206027</c:v>
                </c:pt>
                <c:pt idx="5">
                  <c:v>2151789.0251500001</c:v>
                </c:pt>
                <c:pt idx="6">
                  <c:v>70145270</c:v>
                </c:pt>
                <c:pt idx="7">
                  <c:v>2269628.5062499996</c:v>
                </c:pt>
                <c:pt idx="8">
                  <c:v>31469716.431260001</c:v>
                </c:pt>
                <c:pt idx="9">
                  <c:v>105148557.005</c:v>
                </c:pt>
              </c:numCache>
            </c:numRef>
          </c:val>
          <c:extLst>
            <c:ext xmlns:c16="http://schemas.microsoft.com/office/drawing/2014/chart" uri="{C3380CC4-5D6E-409C-BE32-E72D297353CC}">
              <c16:uniqueId val="{00000000-62B1-4395-80F9-424B1553CC96}"/>
            </c:ext>
          </c:extLst>
        </c:ser>
        <c:ser>
          <c:idx val="1"/>
          <c:order val="1"/>
          <c:tx>
            <c:strRef>
              <c:f>Figurer!$N$86</c:f>
              <c:strCache>
                <c:ptCount val="1"/>
                <c:pt idx="0">
                  <c:v>2021</c:v>
                </c:pt>
              </c:strCache>
            </c:strRef>
          </c:tx>
          <c:invertIfNegative val="0"/>
          <c:cat>
            <c:strRef>
              <c:f>Figurer!$L$87:$L$96</c:f>
              <c:strCache>
                <c:ptCount val="10"/>
                <c:pt idx="0">
                  <c:v>Danica Pensjon</c:v>
                </c:pt>
                <c:pt idx="1">
                  <c:v>DNB Bedriftsp</c:v>
                </c:pt>
                <c:pt idx="2">
                  <c:v>DNB Liv</c:v>
                </c:pt>
                <c:pt idx="3">
                  <c:v>Frende Livsfors</c:v>
                </c:pt>
                <c:pt idx="4">
                  <c:v>Gjensidige Pensj</c:v>
                </c:pt>
                <c:pt idx="5">
                  <c:v>KLP</c:v>
                </c:pt>
                <c:pt idx="6">
                  <c:v>Nordea Liv</c:v>
                </c:pt>
                <c:pt idx="7">
                  <c:v>SHB Liv</c:v>
                </c:pt>
                <c:pt idx="8">
                  <c:v>SpareBank 1</c:v>
                </c:pt>
                <c:pt idx="9">
                  <c:v>Storebrand</c:v>
                </c:pt>
              </c:strCache>
            </c:strRef>
          </c:cat>
          <c:val>
            <c:numRef>
              <c:f>Figurer!$N$87:$N$96</c:f>
              <c:numCache>
                <c:formatCode>#,##0</c:formatCode>
                <c:ptCount val="10"/>
                <c:pt idx="0">
                  <c:v>25191577.335999999</c:v>
                </c:pt>
                <c:pt idx="1">
                  <c:v>0</c:v>
                </c:pt>
                <c:pt idx="2">
                  <c:v>122659439.22629599</c:v>
                </c:pt>
                <c:pt idx="3">
                  <c:v>0</c:v>
                </c:pt>
                <c:pt idx="4">
                  <c:v>36333371</c:v>
                </c:pt>
                <c:pt idx="5">
                  <c:v>2073544.89796</c:v>
                </c:pt>
                <c:pt idx="6">
                  <c:v>105547000</c:v>
                </c:pt>
                <c:pt idx="7">
                  <c:v>3051253.7135600001</c:v>
                </c:pt>
                <c:pt idx="8">
                  <c:v>47144820.956519999</c:v>
                </c:pt>
                <c:pt idx="9">
                  <c:v>144290948.79499999</c:v>
                </c:pt>
              </c:numCache>
            </c:numRef>
          </c:val>
          <c:extLst>
            <c:ext xmlns:c16="http://schemas.microsoft.com/office/drawing/2014/chart" uri="{C3380CC4-5D6E-409C-BE32-E72D297353CC}">
              <c16:uniqueId val="{00000001-62B1-4395-80F9-424B1553CC96}"/>
            </c:ext>
          </c:extLst>
        </c:ser>
        <c:dLbls>
          <c:showLegendKey val="0"/>
          <c:showVal val="0"/>
          <c:showCatName val="0"/>
          <c:showSerName val="0"/>
          <c:showPercent val="0"/>
          <c:showBubbleSize val="0"/>
        </c:dLbls>
        <c:gapWidth val="150"/>
        <c:axId val="243158400"/>
        <c:axId val="243164288"/>
      </c:barChart>
      <c:catAx>
        <c:axId val="24315840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3164288"/>
        <c:crosses val="autoZero"/>
        <c:auto val="1"/>
        <c:lblAlgn val="ctr"/>
        <c:lblOffset val="100"/>
        <c:tickLblSkip val="1"/>
        <c:tickMarkSkip val="1"/>
        <c:noMultiLvlLbl val="0"/>
      </c:catAx>
      <c:valAx>
        <c:axId val="24316428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5920873124147342E-2"/>
              <c:y val="0.3354438600313303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158400"/>
        <c:crosses val="autoZero"/>
        <c:crossBetween val="between"/>
      </c:valAx>
    </c:plotArea>
    <c:legend>
      <c:legendPos val="b"/>
      <c:layout>
        <c:manualLayout>
          <c:xMode val="edge"/>
          <c:yMode val="edge"/>
          <c:x val="0.34561192811335145"/>
          <c:y val="0.93671075700518092"/>
          <c:w val="0.23419750566649891"/>
          <c:h val="4.8523233014845533E-2"/>
        </c:manualLayout>
      </c:layout>
      <c:overlay val="0"/>
      <c:txPr>
        <a:bodyPr/>
        <a:lstStyle/>
        <a:p>
          <a:pPr>
            <a:defRPr sz="595"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614144699303892"/>
          <c:y val="8.40864305054419E-2"/>
          <c:w val="0.75271796188519913"/>
          <c:h val="0.62564087493112053"/>
        </c:manualLayout>
      </c:layout>
      <c:barChart>
        <c:barDir val="col"/>
        <c:grouping val="clustered"/>
        <c:varyColors val="0"/>
        <c:ser>
          <c:idx val="0"/>
          <c:order val="0"/>
          <c:tx>
            <c:strRef>
              <c:f>Figurer!$M$112</c:f>
              <c:strCache>
                <c:ptCount val="1"/>
                <c:pt idx="0">
                  <c:v>2020</c:v>
                </c:pt>
              </c:strCache>
            </c:strRef>
          </c:tx>
          <c:invertIfNegative val="0"/>
          <c:cat>
            <c:strRef>
              <c:f>Figurer!$L$113:$L$120</c:f>
              <c:strCache>
                <c:ptCount val="8"/>
                <c:pt idx="0">
                  <c:v>Danica Pensjon</c:v>
                </c:pt>
                <c:pt idx="1">
                  <c:v>DNB Bedriftsp</c:v>
                </c:pt>
                <c:pt idx="2">
                  <c:v>DNB Liv</c:v>
                </c:pt>
                <c:pt idx="3">
                  <c:v>Gjensidige Pensj</c:v>
                </c:pt>
                <c:pt idx="4">
                  <c:v>KLP</c:v>
                </c:pt>
                <c:pt idx="5">
                  <c:v>Nordea Liv</c:v>
                </c:pt>
                <c:pt idx="6">
                  <c:v>SpareBank 1</c:v>
                </c:pt>
                <c:pt idx="7">
                  <c:v>Storebrand </c:v>
                </c:pt>
              </c:strCache>
            </c:strRef>
          </c:cat>
          <c:val>
            <c:numRef>
              <c:f>Figurer!$M$113:$M$120</c:f>
              <c:numCache>
                <c:formatCode>#,##0</c:formatCode>
                <c:ptCount val="8"/>
                <c:pt idx="0">
                  <c:v>12646.075999999999</c:v>
                </c:pt>
                <c:pt idx="1">
                  <c:v>3182</c:v>
                </c:pt>
                <c:pt idx="2">
                  <c:v>-237818</c:v>
                </c:pt>
                <c:pt idx="3">
                  <c:v>-54730</c:v>
                </c:pt>
                <c:pt idx="4">
                  <c:v>-3411565.2769999998</c:v>
                </c:pt>
                <c:pt idx="5">
                  <c:v>-3278</c:v>
                </c:pt>
                <c:pt idx="6">
                  <c:v>3146.3897800000004</c:v>
                </c:pt>
                <c:pt idx="7">
                  <c:v>260683.62500000003</c:v>
                </c:pt>
              </c:numCache>
            </c:numRef>
          </c:val>
          <c:extLst>
            <c:ext xmlns:c16="http://schemas.microsoft.com/office/drawing/2014/chart" uri="{C3380CC4-5D6E-409C-BE32-E72D297353CC}">
              <c16:uniqueId val="{00000000-2BF8-4278-857F-91A0E7196849}"/>
            </c:ext>
          </c:extLst>
        </c:ser>
        <c:ser>
          <c:idx val="1"/>
          <c:order val="1"/>
          <c:tx>
            <c:strRef>
              <c:f>Figurer!$N$112</c:f>
              <c:strCache>
                <c:ptCount val="1"/>
                <c:pt idx="0">
                  <c:v>2021</c:v>
                </c:pt>
              </c:strCache>
            </c:strRef>
          </c:tx>
          <c:invertIfNegative val="0"/>
          <c:cat>
            <c:strRef>
              <c:f>Figurer!$L$113:$L$120</c:f>
              <c:strCache>
                <c:ptCount val="8"/>
                <c:pt idx="0">
                  <c:v>Danica Pensjon</c:v>
                </c:pt>
                <c:pt idx="1">
                  <c:v>DNB Bedriftsp</c:v>
                </c:pt>
                <c:pt idx="2">
                  <c:v>DNB Liv</c:v>
                </c:pt>
                <c:pt idx="3">
                  <c:v>Gjensidige Pensj</c:v>
                </c:pt>
                <c:pt idx="4">
                  <c:v>KLP</c:v>
                </c:pt>
                <c:pt idx="5">
                  <c:v>Nordea Liv</c:v>
                </c:pt>
                <c:pt idx="6">
                  <c:v>SpareBank 1</c:v>
                </c:pt>
                <c:pt idx="7">
                  <c:v>Storebrand </c:v>
                </c:pt>
              </c:strCache>
            </c:strRef>
          </c:cat>
          <c:val>
            <c:numRef>
              <c:f>Figurer!$N$113:$N$120</c:f>
              <c:numCache>
                <c:formatCode>#,##0</c:formatCode>
                <c:ptCount val="8"/>
                <c:pt idx="0">
                  <c:v>6173.4510000000009</c:v>
                </c:pt>
                <c:pt idx="1">
                  <c:v>0</c:v>
                </c:pt>
                <c:pt idx="2">
                  <c:v>588558</c:v>
                </c:pt>
                <c:pt idx="3">
                  <c:v>6474</c:v>
                </c:pt>
                <c:pt idx="4">
                  <c:v>-8418803.5179999992</c:v>
                </c:pt>
                <c:pt idx="5">
                  <c:v>-1770</c:v>
                </c:pt>
                <c:pt idx="6">
                  <c:v>-11830.833309999998</c:v>
                </c:pt>
                <c:pt idx="7">
                  <c:v>7017389.9980000006</c:v>
                </c:pt>
              </c:numCache>
            </c:numRef>
          </c:val>
          <c:extLst>
            <c:ext xmlns:c16="http://schemas.microsoft.com/office/drawing/2014/chart" uri="{C3380CC4-5D6E-409C-BE32-E72D297353CC}">
              <c16:uniqueId val="{00000000-0891-419B-84DB-F579F6588129}"/>
            </c:ext>
          </c:extLst>
        </c:ser>
        <c:dLbls>
          <c:showLegendKey val="0"/>
          <c:showVal val="0"/>
          <c:showCatName val="0"/>
          <c:showSerName val="0"/>
          <c:showPercent val="0"/>
          <c:showBubbleSize val="0"/>
        </c:dLbls>
        <c:gapWidth val="150"/>
        <c:axId val="243201536"/>
        <c:axId val="243203072"/>
      </c:barChart>
      <c:catAx>
        <c:axId val="243201536"/>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203072"/>
        <c:crosses val="autoZero"/>
        <c:auto val="1"/>
        <c:lblAlgn val="ctr"/>
        <c:lblOffset val="100"/>
        <c:tickLblSkip val="1"/>
        <c:tickMarkSkip val="1"/>
        <c:noMultiLvlLbl val="0"/>
      </c:catAx>
      <c:valAx>
        <c:axId val="243203072"/>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1739130434782612E-2"/>
              <c:y val="0.3575528341124432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201536"/>
        <c:crosses val="autoZero"/>
        <c:crossBetween val="between"/>
      </c:valAx>
    </c:plotArea>
    <c:legend>
      <c:legendPos val="b"/>
      <c:layout>
        <c:manualLayout>
          <c:xMode val="edge"/>
          <c:yMode val="edge"/>
          <c:x val="0.34737347369622462"/>
          <c:y val="0.94455128774817365"/>
          <c:w val="9.6515177450644751E-2"/>
          <c:h val="4.553361351874527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253853430922791"/>
          <c:y val="8.5614035087719767E-2"/>
          <c:w val="0.75564702786135474"/>
          <c:h val="0.63649189114519311"/>
        </c:manualLayout>
      </c:layout>
      <c:barChart>
        <c:barDir val="col"/>
        <c:grouping val="clustered"/>
        <c:varyColors val="0"/>
        <c:ser>
          <c:idx val="0"/>
          <c:order val="0"/>
          <c:tx>
            <c:strRef>
              <c:f>Figurer!$M$136</c:f>
              <c:strCache>
                <c:ptCount val="1"/>
                <c:pt idx="0">
                  <c:v>2020</c:v>
                </c:pt>
              </c:strCache>
            </c:strRef>
          </c:tx>
          <c:invertIfNegative val="0"/>
          <c:cat>
            <c:strRef>
              <c:f>Figurer!$L$137:$L$146</c:f>
              <c:strCache>
                <c:ptCount val="10"/>
                <c:pt idx="0">
                  <c:v>Danica Pensjon</c:v>
                </c:pt>
                <c:pt idx="1">
                  <c:v>DNB Bedriftsp</c:v>
                </c:pt>
                <c:pt idx="2">
                  <c:v>DNB Liv</c:v>
                </c:pt>
                <c:pt idx="3">
                  <c:v>Frende Livsfors</c:v>
                </c:pt>
                <c:pt idx="4">
                  <c:v>Gjensidige Pensj</c:v>
                </c:pt>
                <c:pt idx="5">
                  <c:v>KLP</c:v>
                </c:pt>
                <c:pt idx="6">
                  <c:v>Nordea Liv</c:v>
                </c:pt>
                <c:pt idx="7">
                  <c:v>SHB Liv</c:v>
                </c:pt>
                <c:pt idx="8">
                  <c:v>SpareBank 1</c:v>
                </c:pt>
                <c:pt idx="9">
                  <c:v>Storebrand</c:v>
                </c:pt>
              </c:strCache>
            </c:strRef>
          </c:cat>
          <c:val>
            <c:numRef>
              <c:f>Figurer!$M$137:$M$146</c:f>
              <c:numCache>
                <c:formatCode>#,##0</c:formatCode>
                <c:ptCount val="10"/>
                <c:pt idx="0">
                  <c:v>19242.993000000017</c:v>
                </c:pt>
                <c:pt idx="1">
                  <c:v>109462</c:v>
                </c:pt>
                <c:pt idx="2">
                  <c:v>-3215694</c:v>
                </c:pt>
                <c:pt idx="3">
                  <c:v>-20540</c:v>
                </c:pt>
                <c:pt idx="4">
                  <c:v>-946156</c:v>
                </c:pt>
                <c:pt idx="5">
                  <c:v>-462765.72600000002</c:v>
                </c:pt>
                <c:pt idx="6">
                  <c:v>1409300.00403</c:v>
                </c:pt>
                <c:pt idx="7">
                  <c:v>34179.303329999995</c:v>
                </c:pt>
                <c:pt idx="8">
                  <c:v>200254.90122</c:v>
                </c:pt>
                <c:pt idx="9">
                  <c:v>2686212.682</c:v>
                </c:pt>
              </c:numCache>
            </c:numRef>
          </c:val>
          <c:extLst>
            <c:ext xmlns:c16="http://schemas.microsoft.com/office/drawing/2014/chart" uri="{C3380CC4-5D6E-409C-BE32-E72D297353CC}">
              <c16:uniqueId val="{00000000-B400-4C26-965B-0553A4A37873}"/>
            </c:ext>
          </c:extLst>
        </c:ser>
        <c:ser>
          <c:idx val="1"/>
          <c:order val="1"/>
          <c:tx>
            <c:strRef>
              <c:f>Figurer!$N$136</c:f>
              <c:strCache>
                <c:ptCount val="1"/>
                <c:pt idx="0">
                  <c:v>2021</c:v>
                </c:pt>
              </c:strCache>
            </c:strRef>
          </c:tx>
          <c:invertIfNegative val="0"/>
          <c:cat>
            <c:strRef>
              <c:f>Figurer!$L$137:$L$146</c:f>
              <c:strCache>
                <c:ptCount val="10"/>
                <c:pt idx="0">
                  <c:v>Danica Pensjon</c:v>
                </c:pt>
                <c:pt idx="1">
                  <c:v>DNB Bedriftsp</c:v>
                </c:pt>
                <c:pt idx="2">
                  <c:v>DNB Liv</c:v>
                </c:pt>
                <c:pt idx="3">
                  <c:v>Frende Livsfors</c:v>
                </c:pt>
                <c:pt idx="4">
                  <c:v>Gjensidige Pensj</c:v>
                </c:pt>
                <c:pt idx="5">
                  <c:v>KLP</c:v>
                </c:pt>
                <c:pt idx="6">
                  <c:v>Nordea Liv</c:v>
                </c:pt>
                <c:pt idx="7">
                  <c:v>SHB Liv</c:v>
                </c:pt>
                <c:pt idx="8">
                  <c:v>SpareBank 1</c:v>
                </c:pt>
                <c:pt idx="9">
                  <c:v>Storebrand</c:v>
                </c:pt>
              </c:strCache>
            </c:strRef>
          </c:cat>
          <c:val>
            <c:numRef>
              <c:f>Figurer!$N$137:$N$146</c:f>
              <c:numCache>
                <c:formatCode>#,##0</c:formatCode>
                <c:ptCount val="10"/>
                <c:pt idx="0">
                  <c:v>-78093.287000000069</c:v>
                </c:pt>
                <c:pt idx="1">
                  <c:v>0</c:v>
                </c:pt>
                <c:pt idx="2">
                  <c:v>-694987</c:v>
                </c:pt>
                <c:pt idx="3">
                  <c:v>0</c:v>
                </c:pt>
                <c:pt idx="4">
                  <c:v>-241966</c:v>
                </c:pt>
                <c:pt idx="5">
                  <c:v>0</c:v>
                </c:pt>
                <c:pt idx="6">
                  <c:v>-239181.3700900001</c:v>
                </c:pt>
                <c:pt idx="7">
                  <c:v>20557.492599999998</c:v>
                </c:pt>
                <c:pt idx="8">
                  <c:v>228488.24684000015</c:v>
                </c:pt>
                <c:pt idx="9">
                  <c:v>-1480369.2999999996</c:v>
                </c:pt>
              </c:numCache>
            </c:numRef>
          </c:val>
          <c:extLst>
            <c:ext xmlns:c16="http://schemas.microsoft.com/office/drawing/2014/chart" uri="{C3380CC4-5D6E-409C-BE32-E72D297353CC}">
              <c16:uniqueId val="{00000001-B400-4C26-965B-0553A4A37873}"/>
            </c:ext>
          </c:extLst>
        </c:ser>
        <c:dLbls>
          <c:showLegendKey val="0"/>
          <c:showVal val="0"/>
          <c:showCatName val="0"/>
          <c:showSerName val="0"/>
          <c:showPercent val="0"/>
          <c:showBubbleSize val="0"/>
        </c:dLbls>
        <c:gapWidth val="150"/>
        <c:axId val="243686400"/>
        <c:axId val="243700480"/>
      </c:barChart>
      <c:catAx>
        <c:axId val="243686400"/>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700480"/>
        <c:crosses val="autoZero"/>
        <c:auto val="1"/>
        <c:lblAlgn val="ctr"/>
        <c:lblOffset val="100"/>
        <c:tickLblSkip val="1"/>
        <c:tickMarkSkip val="1"/>
        <c:noMultiLvlLbl val="0"/>
      </c:catAx>
      <c:valAx>
        <c:axId val="24370048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3.3875338753387642E-2"/>
              <c:y val="0.330526785811528"/>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686400"/>
        <c:crosses val="autoZero"/>
        <c:crossBetween val="between"/>
      </c:valAx>
    </c:plotArea>
    <c:legend>
      <c:legendPos val="b"/>
      <c:layout>
        <c:manualLayout>
          <c:xMode val="edge"/>
          <c:yMode val="edge"/>
          <c:x val="0.35049740733627832"/>
          <c:y val="0.93473780507726956"/>
          <c:w val="0.23080411696505387"/>
          <c:h val="4.842116727110387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476250</xdr:colOff>
      <xdr:row>54</xdr:row>
      <xdr:rowOff>28575</xdr:rowOff>
    </xdr:to>
    <xdr:pic>
      <xdr:nvPicPr>
        <xdr:cNvPr id="2" name="Picture 1" descr="Statistikk_forside.pd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6572250" cy="11258550"/>
        </a:xfrm>
        <a:prstGeom prst="rect">
          <a:avLst/>
        </a:prstGeom>
        <a:noFill/>
        <a:ln w="9525">
          <a:noFill/>
          <a:miter lim="800000"/>
          <a:headEnd/>
          <a:tailEnd/>
        </a:ln>
      </xdr:spPr>
    </xdr:pic>
    <xdr:clientData/>
  </xdr:twoCellAnchor>
  <xdr:twoCellAnchor>
    <xdr:from>
      <xdr:col>0</xdr:col>
      <xdr:colOff>695325</xdr:colOff>
      <xdr:row>41</xdr:row>
      <xdr:rowOff>34925</xdr:rowOff>
    </xdr:from>
    <xdr:to>
      <xdr:col>5</xdr:col>
      <xdr:colOff>371492</xdr:colOff>
      <xdr:row>43</xdr:row>
      <xdr:rowOff>152400</xdr:rowOff>
    </xdr:to>
    <xdr:sp macro="" textlink="">
      <xdr:nvSpPr>
        <xdr:cNvPr id="3" name="Text Box 6">
          <a:extLst>
            <a:ext uri="{FF2B5EF4-FFF2-40B4-BE49-F238E27FC236}">
              <a16:creationId xmlns:a16="http://schemas.microsoft.com/office/drawing/2014/main" id="{00000000-0008-0000-0000-000003000000}"/>
            </a:ext>
          </a:extLst>
        </xdr:cNvPr>
        <xdr:cNvSpPr txBox="1"/>
      </xdr:nvSpPr>
      <xdr:spPr>
        <a:xfrm>
          <a:off x="695325" y="9083675"/>
          <a:ext cx="3486167" cy="517525"/>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1. KVARTAL 2021 </a:t>
          </a:r>
          <a:r>
            <a:rPr lang="nb-NO" sz="1100" b="0">
              <a:effectLst/>
              <a:latin typeface="Arial"/>
              <a:ea typeface="ＭＳ 明朝"/>
              <a:cs typeface="Times New Roman"/>
            </a:rPr>
            <a:t>(26.05.2021)</a:t>
          </a:r>
          <a:r>
            <a:rPr lang="nb-NO" sz="1600" b="1">
              <a:effectLst/>
              <a:latin typeface="Arial"/>
              <a:ea typeface="ＭＳ 明朝"/>
              <a:cs typeface="Times New Roman"/>
            </a:rPr>
            <a:t> </a:t>
          </a:r>
        </a:p>
        <a:p>
          <a:pPr>
            <a:spcAft>
              <a:spcPts val="0"/>
            </a:spcAft>
          </a:pPr>
          <a:r>
            <a:rPr lang="nb-NO" sz="1000" b="0">
              <a:effectLst/>
              <a:latin typeface="Arial"/>
              <a:ea typeface="ＭＳ 明朝"/>
              <a:cs typeface="Times New Roman"/>
            </a:rPr>
            <a:t>senest revidert 02.09.2021</a:t>
          </a:r>
          <a:endParaRPr lang="nb-NO" sz="1000" b="0">
            <a:effectLst/>
            <a:ea typeface="ＭＳ 明朝"/>
            <a:cs typeface="Times New Roman"/>
          </a:endParaRPr>
        </a:p>
      </xdr:txBody>
    </xdr:sp>
    <xdr:clientData/>
  </xdr:twoCellAnchor>
  <xdr:twoCellAnchor>
    <xdr:from>
      <xdr:col>0</xdr:col>
      <xdr:colOff>666750</xdr:colOff>
      <xdr:row>32</xdr:row>
      <xdr:rowOff>387350</xdr:rowOff>
    </xdr:from>
    <xdr:to>
      <xdr:col>8</xdr:col>
      <xdr:colOff>196850</xdr:colOff>
      <xdr:row>38</xdr:row>
      <xdr:rowOff>22225</xdr:rowOff>
    </xdr:to>
    <xdr:sp macro="" textlink="">
      <xdr:nvSpPr>
        <xdr:cNvPr id="4" name="Text Box 4">
          <a:extLst>
            <a:ext uri="{FF2B5EF4-FFF2-40B4-BE49-F238E27FC236}">
              <a16:creationId xmlns:a16="http://schemas.microsoft.com/office/drawing/2014/main" id="{00000000-0008-0000-0000-000004000000}"/>
            </a:ext>
          </a:extLst>
        </xdr:cNvPr>
        <xdr:cNvSpPr txBox="1"/>
      </xdr:nvSpPr>
      <xdr:spPr>
        <a:xfrm>
          <a:off x="666750" y="7292975"/>
          <a:ext cx="5626100" cy="1149350"/>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3100"/>
            </a:lnSpc>
            <a:spcAft>
              <a:spcPts val="0"/>
            </a:spcAft>
          </a:pPr>
          <a:r>
            <a:rPr lang="nb-NO" sz="2800" b="1">
              <a:solidFill>
                <a:srgbClr val="54758C"/>
              </a:solidFill>
              <a:effectLst/>
              <a:latin typeface="Arial"/>
              <a:ea typeface="ＭＳ 明朝"/>
              <a:cs typeface="Times New Roman"/>
            </a:rPr>
            <a:t>MARKEDSANDELER</a:t>
          </a:r>
          <a:endParaRPr lang="nb-NO" sz="1200">
            <a:effectLst/>
            <a:ea typeface="ＭＳ 明朝"/>
            <a:cs typeface="Times New Roman"/>
          </a:endParaRPr>
        </a:p>
        <a:p>
          <a:pPr>
            <a:lnSpc>
              <a:spcPts val="3200"/>
            </a:lnSpc>
            <a:spcAft>
              <a:spcPts val="0"/>
            </a:spcAft>
          </a:pPr>
          <a:r>
            <a:rPr lang="en-GB" sz="2600">
              <a:solidFill>
                <a:srgbClr val="54758C"/>
              </a:solidFill>
              <a:effectLst/>
              <a:latin typeface="Arial"/>
              <a:ea typeface="ＭＳ 明朝"/>
              <a:cs typeface="MinionPro-Regular"/>
            </a:rPr>
            <a:t>– endelige tall og regnskapsstatistikk</a:t>
          </a:r>
          <a:endParaRPr lang="nb-NO" sz="1200">
            <a:solidFill>
              <a:srgbClr val="000000"/>
            </a:solidFill>
            <a:effectLst/>
            <a:latin typeface="MinionPro-Regular"/>
            <a:ea typeface="ＭＳ 明朝"/>
            <a:cs typeface="MinionPro-Regular"/>
          </a:endParaRPr>
        </a:p>
        <a:p>
          <a:pPr>
            <a:lnSpc>
              <a:spcPts val="1300"/>
            </a:lnSpc>
            <a:spcAft>
              <a:spcPts val="0"/>
            </a:spcAft>
          </a:pPr>
          <a:r>
            <a:rPr lang="nb-NO" sz="1200">
              <a:effectLst/>
              <a:ea typeface="ＭＳ 明朝"/>
              <a:cs typeface="Times New Roman"/>
            </a:rPr>
            <a:t> </a:t>
          </a:r>
        </a:p>
      </xdr:txBody>
    </xdr:sp>
    <xdr:clientData/>
  </xdr:twoCellAnchor>
  <xdr:twoCellAnchor>
    <xdr:from>
      <xdr:col>0</xdr:col>
      <xdr:colOff>447675</xdr:colOff>
      <xdr:row>5</xdr:row>
      <xdr:rowOff>12700</xdr:rowOff>
    </xdr:from>
    <xdr:to>
      <xdr:col>2</xdr:col>
      <xdr:colOff>530482</xdr:colOff>
      <xdr:row>7</xdr:row>
      <xdr:rowOff>66616</xdr:rowOff>
    </xdr:to>
    <xdr:sp macro="" textlink="">
      <xdr:nvSpPr>
        <xdr:cNvPr id="5" name="Text Box 3">
          <a:extLst>
            <a:ext uri="{FF2B5EF4-FFF2-40B4-BE49-F238E27FC236}">
              <a16:creationId xmlns:a16="http://schemas.microsoft.com/office/drawing/2014/main" id="{00000000-0008-0000-0000-000005000000}"/>
            </a:ext>
          </a:extLst>
        </xdr:cNvPr>
        <xdr:cNvSpPr txBox="1"/>
      </xdr:nvSpPr>
      <xdr:spPr>
        <a:xfrm>
          <a:off x="447675" y="822325"/>
          <a:ext cx="1606807" cy="511116"/>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1500"/>
            </a:lnSpc>
            <a:spcAft>
              <a:spcPts val="0"/>
            </a:spcAft>
          </a:pPr>
          <a:r>
            <a:rPr lang="nb-NO" sz="1400" cap="all">
              <a:ln w="0" cap="flat" cmpd="sng" algn="ctr">
                <a:noFill/>
                <a:prstDash val="solid"/>
                <a:round/>
              </a:ln>
              <a:solidFill>
                <a:schemeClr val="bg1"/>
              </a:solidFill>
              <a:effectLst/>
              <a:latin typeface="Arial"/>
              <a:ea typeface="ＭＳ 明朝"/>
              <a:cs typeface="Arial"/>
            </a:rPr>
            <a:t>LIVSTATISTIKK</a:t>
          </a:r>
          <a:endParaRPr lang="nb-NO" sz="1400">
            <a:ln w="0" cap="flat" cmpd="sng" algn="ctr">
              <a:noFill/>
              <a:prstDash val="solid"/>
              <a:round/>
            </a:ln>
            <a:solidFill>
              <a:schemeClr val="bg1"/>
            </a:solidFill>
            <a:effectLst/>
            <a:latin typeface="Arial"/>
            <a:ea typeface="ＭＳ 明朝"/>
            <a:cs typeface="Arial"/>
          </a:endParaRPr>
        </a:p>
        <a:p>
          <a:pPr>
            <a:lnSpc>
              <a:spcPts val="1100"/>
            </a:lnSpc>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6</xdr:row>
      <xdr:rowOff>0</xdr:rowOff>
    </xdr:from>
    <xdr:to>
      <xdr:col>9</xdr:col>
      <xdr:colOff>352425</xdr:colOff>
      <xdr:row>27</xdr:row>
      <xdr:rowOff>9525</xdr:rowOff>
    </xdr:to>
    <xdr:graphicFrame macro="">
      <xdr:nvGraphicFramePr>
        <xdr:cNvPr id="2" name="Chart 1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31</xdr:row>
      <xdr:rowOff>219075</xdr:rowOff>
    </xdr:from>
    <xdr:to>
      <xdr:col>9</xdr:col>
      <xdr:colOff>285750</xdr:colOff>
      <xdr:row>50</xdr:row>
      <xdr:rowOff>123825</xdr:rowOff>
    </xdr:to>
    <xdr:graphicFrame macro="">
      <xdr:nvGraphicFramePr>
        <xdr:cNvPr id="3" name="Chart 1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56</xdr:row>
      <xdr:rowOff>228600</xdr:rowOff>
    </xdr:from>
    <xdr:to>
      <xdr:col>9</xdr:col>
      <xdr:colOff>142875</xdr:colOff>
      <xdr:row>73</xdr:row>
      <xdr:rowOff>180975</xdr:rowOff>
    </xdr:to>
    <xdr:graphicFrame macro="">
      <xdr:nvGraphicFramePr>
        <xdr:cNvPr id="6" name="Chart 1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81</xdr:row>
      <xdr:rowOff>57150</xdr:rowOff>
    </xdr:from>
    <xdr:to>
      <xdr:col>9</xdr:col>
      <xdr:colOff>123825</xdr:colOff>
      <xdr:row>100</xdr:row>
      <xdr:rowOff>114300</xdr:rowOff>
    </xdr:to>
    <xdr:graphicFrame macro="">
      <xdr:nvGraphicFramePr>
        <xdr:cNvPr id="7" name="Chart 1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107</xdr:row>
      <xdr:rowOff>28575</xdr:rowOff>
    </xdr:from>
    <xdr:to>
      <xdr:col>9</xdr:col>
      <xdr:colOff>180975</xdr:colOff>
      <xdr:row>123</xdr:row>
      <xdr:rowOff>200025</xdr:rowOff>
    </xdr:to>
    <xdr:graphicFrame macro="">
      <xdr:nvGraphicFramePr>
        <xdr:cNvPr id="8" name="Chart 1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131</xdr:row>
      <xdr:rowOff>57150</xdr:rowOff>
    </xdr:from>
    <xdr:to>
      <xdr:col>9</xdr:col>
      <xdr:colOff>171450</xdr:colOff>
      <xdr:row>149</xdr:row>
      <xdr:rowOff>123825</xdr:rowOff>
    </xdr:to>
    <xdr:graphicFrame macro="">
      <xdr:nvGraphicFramePr>
        <xdr:cNvPr id="9" name="Chart 1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10583</xdr:colOff>
      <xdr:row>4</xdr:row>
      <xdr:rowOff>127000</xdr:rowOff>
    </xdr:from>
    <xdr:to>
      <xdr:col>0</xdr:col>
      <xdr:colOff>4064000</xdr:colOff>
      <xdr:row>40</xdr:row>
      <xdr:rowOff>74083</xdr:rowOff>
    </xdr:to>
    <xdr:sp macro="" textlink="">
      <xdr:nvSpPr>
        <xdr:cNvPr id="4" name="Text Box 1026">
          <a:extLst>
            <a:ext uri="{FF2B5EF4-FFF2-40B4-BE49-F238E27FC236}">
              <a16:creationId xmlns:a16="http://schemas.microsoft.com/office/drawing/2014/main" id="{00000000-0008-0000-2100-000004000000}"/>
            </a:ext>
          </a:extLst>
        </xdr:cNvPr>
        <xdr:cNvSpPr txBox="1">
          <a:spLocks noChangeArrowheads="1"/>
        </xdr:cNvSpPr>
      </xdr:nvSpPr>
      <xdr:spPr bwMode="auto">
        <a:xfrm>
          <a:off x="10583" y="762000"/>
          <a:ext cx="4053417" cy="10974916"/>
        </a:xfrm>
        <a:prstGeom prst="rect">
          <a:avLst/>
        </a:prstGeom>
        <a:solidFill>
          <a:srgbClr val="FFFFFF"/>
        </a:solidFill>
        <a:ln w="9525">
          <a:noFill/>
          <a:miter lim="800000"/>
          <a:headEnd/>
          <a:tailEnd/>
        </a:ln>
      </xdr:spPr>
      <xdr:txBody>
        <a:bodyPr vertOverflow="clip" wrap="square" lIns="36576" tIns="32004" rIns="0" bIns="0" anchor="t" upright="1"/>
        <a:lstStyle/>
        <a:p>
          <a:pPr algn="l" rtl="0">
            <a:lnSpc>
              <a:spcPts val="1600"/>
            </a:lnSpc>
            <a:defRPr sz="1000"/>
          </a:pPr>
          <a:r>
            <a:rPr lang="nb-NO" sz="1200" b="1" i="0" strike="noStrike">
              <a:solidFill>
                <a:srgbClr val="000000"/>
              </a:solidFill>
              <a:latin typeface="Times New Roman"/>
              <a:cs typeface="Times New Roman"/>
            </a:rPr>
            <a:t>Selskaper som inngår i statistikken</a:t>
          </a:r>
        </a:p>
        <a:p>
          <a:pPr algn="l" rtl="0">
            <a:lnSpc>
              <a:spcPts val="1600"/>
            </a:lnSpc>
            <a:defRPr sz="1000"/>
          </a:pPr>
          <a:r>
            <a:rPr lang="nb-NO" sz="1200" b="0" i="0" strike="noStrike">
              <a:solidFill>
                <a:srgbClr val="000000"/>
              </a:solidFill>
              <a:latin typeface="Times New Roman"/>
              <a:cs typeface="Times New Roman"/>
            </a:rPr>
            <a:t>Statistikken viser tall for medlemsselskaper i Finans Norge som </a:t>
          </a:r>
          <a:br>
            <a:rPr lang="nb-NO" sz="1200" b="0" i="0" strike="noStrike">
              <a:solidFill>
                <a:srgbClr val="000000"/>
              </a:solidFill>
              <a:latin typeface="Times New Roman"/>
              <a:cs typeface="Times New Roman"/>
            </a:rPr>
          </a:br>
          <a:r>
            <a:rPr lang="nb-NO" sz="1200" b="0" i="0" strike="noStrike">
              <a:solidFill>
                <a:srgbClr val="000000"/>
              </a:solidFill>
              <a:latin typeface="Times New Roman"/>
              <a:cs typeface="Times New Roman"/>
            </a:rPr>
            <a:t>selger livprodukter.</a:t>
          </a:r>
        </a:p>
        <a:p>
          <a:pPr algn="l" rtl="0">
            <a:lnSpc>
              <a:spcPts val="1600"/>
            </a:lnSpc>
            <a:defRPr sz="1000"/>
          </a:pPr>
          <a:endParaRPr lang="nb-NO" sz="1200" b="1"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Produkter uten investeringsvalg</a:t>
          </a:r>
          <a:r>
            <a:rPr lang="nb-NO" sz="1200" b="0" i="0" strike="noStrike">
              <a:solidFill>
                <a:srgbClr val="000000"/>
              </a:solidFill>
              <a:latin typeface="Times New Roman"/>
              <a:cs typeface="Times New Roman"/>
            </a:rPr>
            <a:t>:</a:t>
          </a:r>
        </a:p>
        <a:p>
          <a:pPr marL="0" marR="0" indent="0" algn="l" defTabSz="914400" rtl="0" eaLnBrk="1" fontAlgn="auto" latinLnBrk="0" hangingPunct="1">
            <a:lnSpc>
              <a:spcPts val="1600"/>
            </a:lnSpc>
            <a:spcBef>
              <a:spcPts val="0"/>
            </a:spcBef>
            <a:spcAft>
              <a:spcPts val="0"/>
            </a:spcAft>
            <a:buClrTx/>
            <a:buSzTx/>
            <a:buFontTx/>
            <a:buNone/>
            <a:tabLst/>
            <a:defRPr sz="1000"/>
          </a:pPr>
          <a:r>
            <a:rPr lang="nb-NO" sz="1200" b="0" i="0" strike="noStrike">
              <a:solidFill>
                <a:srgbClr val="000000"/>
              </a:solidFill>
              <a:latin typeface="Times New Roman"/>
              <a:cs typeface="Times New Roman"/>
            </a:rPr>
            <a:t>Codan Forsikring </a:t>
          </a: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(skadeselskap)</a:t>
          </a:r>
          <a:r>
            <a:rPr lang="nb-NO" sz="1200" b="0" i="0" strike="noStrike">
              <a:solidFill>
                <a:srgbClr val="000000"/>
              </a:solidFill>
              <a:latin typeface="Times New Roman"/>
              <a:cs typeface="Times New Roman"/>
            </a:rPr>
            <a:t> </a:t>
          </a:r>
        </a:p>
        <a:p>
          <a:pPr algn="l" rtl="0">
            <a:lnSpc>
              <a:spcPts val="16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600"/>
            </a:lnSpc>
            <a:defRPr sz="1000"/>
          </a:pPr>
          <a:r>
            <a:rPr lang="nb-NO" sz="1200" b="0" i="0" strike="noStrike">
              <a:solidFill>
                <a:srgbClr val="000000"/>
              </a:solidFill>
              <a:latin typeface="Times New Roman"/>
              <a:cs typeface="Times New Roman"/>
            </a:rPr>
            <a:t>Eika Forsikring AS (skadeselskap</a:t>
          </a:r>
          <a:r>
            <a:rPr lang="nb-NO" sz="1200" b="0" i="0" strike="noStrike" baseline="0">
              <a:solidFill>
                <a:srgbClr val="000000"/>
              </a:solidFill>
              <a:latin typeface="Times New Roman"/>
              <a:cs typeface="Times New Roman"/>
            </a:rPr>
            <a:t>)</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Euro Accident (skadeselskap)</a:t>
          </a:r>
        </a:p>
        <a:p>
          <a:pPr algn="l" rtl="0">
            <a:lnSpc>
              <a:spcPts val="1600"/>
            </a:lnSpc>
            <a:defRPr sz="1000"/>
          </a:pPr>
          <a:r>
            <a:rPr lang="nb-NO" sz="1200" b="0" i="0" strike="noStrike">
              <a:solidFill>
                <a:srgbClr val="000000"/>
              </a:solidFill>
              <a:latin typeface="Times New Roman"/>
              <a:cs typeface="Times New Roman"/>
            </a:rPr>
            <a:t>Frende Livsforsikring</a:t>
          </a:r>
        </a:p>
        <a:p>
          <a:pPr algn="l" rtl="0">
            <a:lnSpc>
              <a:spcPts val="1600"/>
            </a:lnSpc>
            <a:defRPr sz="1000"/>
          </a:pPr>
          <a:r>
            <a:rPr lang="nb-NO" sz="1200" b="0" i="0" strike="noStrike">
              <a:solidFill>
                <a:srgbClr val="000000"/>
              </a:solidFill>
              <a:latin typeface="Times New Roman"/>
              <a:cs typeface="Times New Roman"/>
            </a:rPr>
            <a:t>Frende Skadeforsikring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Gjensidige Forsikring (skadeselskap)</a:t>
          </a: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600"/>
            </a:lnSpc>
            <a:defRPr sz="1000"/>
          </a:pPr>
          <a:r>
            <a:rPr lang="nb-NO" sz="1200" b="0" i="0" strike="noStrike">
              <a:solidFill>
                <a:srgbClr val="000000"/>
              </a:solidFill>
              <a:latin typeface="Times New Roman"/>
              <a:cs typeface="Times New Roman"/>
            </a:rPr>
            <a:t>Handelsbanken Liv (utenlandsk,</a:t>
          </a:r>
          <a:r>
            <a:rPr lang="nb-NO" sz="1200" b="0" i="0" strike="noStrike" baseline="0">
              <a:solidFill>
                <a:srgbClr val="000000"/>
              </a:solidFill>
              <a:latin typeface="Times New Roman"/>
              <a:cs typeface="Times New Roman"/>
            </a:rPr>
            <a:t> </a:t>
          </a:r>
          <a:r>
            <a:rPr lang="nb-NO" sz="1200" b="0" i="0" strike="noStrike">
              <a:solidFill>
                <a:srgbClr val="000000"/>
              </a:solidFill>
              <a:latin typeface="Times New Roman"/>
              <a:cs typeface="Times New Roman"/>
            </a:rPr>
            <a:t>filial)</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If Skadeforsikring NUF (skadeselskap)</a:t>
          </a:r>
        </a:p>
        <a:p>
          <a:pPr algn="l" rtl="0">
            <a:lnSpc>
              <a:spcPts val="1600"/>
            </a:lnSpc>
            <a:defRPr sz="1000"/>
          </a:pPr>
          <a:r>
            <a:rPr lang="nb-NO" sz="1200" b="0" i="0" strike="noStrike">
              <a:solidFill>
                <a:srgbClr val="000000"/>
              </a:solidFill>
              <a:latin typeface="Times New Roman"/>
              <a:ea typeface="+mn-ea"/>
              <a:cs typeface="Times New Roman"/>
            </a:rPr>
            <a:t>Insr (skadeselskap)</a:t>
          </a:r>
        </a:p>
        <a:p>
          <a:pPr algn="l" rtl="0">
            <a:lnSpc>
              <a:spcPts val="16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baseline="0">
              <a:solidFill>
                <a:srgbClr val="000000"/>
              </a:solidFill>
              <a:latin typeface="Times New Roman"/>
              <a:cs typeface="Times New Roman"/>
            </a:rPr>
            <a:t>KLP Skadeforsikring AS</a:t>
          </a:r>
        </a:p>
        <a:p>
          <a:pPr algn="l" rtl="0">
            <a:lnSpc>
              <a:spcPts val="1600"/>
            </a:lnSpc>
            <a:defRPr sz="1000"/>
          </a:pPr>
          <a:r>
            <a:rPr lang="nb-NO" sz="1200" b="0" i="0" strike="noStrike" baseline="0">
              <a:solidFill>
                <a:srgbClr val="000000"/>
              </a:solidFill>
              <a:latin typeface="Times New Roman"/>
              <a:cs typeface="Times New Roman"/>
            </a:rPr>
            <a:t>Landkreditt Forsikring (skadeselskap)</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Livsforsikringsselskapet Nordea Liv Norge</a:t>
          </a:r>
        </a:p>
        <a:p>
          <a:pPr algn="l" rtl="0">
            <a:lnSpc>
              <a:spcPts val="1700"/>
            </a:lnSpc>
            <a:defRPr sz="1000"/>
          </a:pPr>
          <a:r>
            <a:rPr lang="nb-NO" sz="1200" b="0" i="0" strike="noStrike">
              <a:solidFill>
                <a:srgbClr val="000000"/>
              </a:solidFill>
              <a:latin typeface="Times New Roman"/>
              <a:cs typeface="Times New Roman"/>
            </a:rPr>
            <a:t>Oslo Pensjonsforsikring</a:t>
          </a:r>
        </a:p>
        <a:p>
          <a:pPr algn="l" rtl="0">
            <a:lnSpc>
              <a:spcPts val="1600"/>
            </a:lnSpc>
            <a:defRPr sz="1000"/>
          </a:pPr>
          <a:r>
            <a:rPr lang="nb-NO" sz="1200" b="0" i="0" strike="noStrike">
              <a:solidFill>
                <a:srgbClr val="000000"/>
              </a:solidFill>
              <a:latin typeface="Times New Roman"/>
              <a:cs typeface="Times New Roman"/>
            </a:rPr>
            <a:t>Protector Forsikring</a:t>
          </a:r>
        </a:p>
        <a:p>
          <a:pPr algn="l" rtl="0">
            <a:lnSpc>
              <a:spcPts val="1700"/>
            </a:lnSpc>
            <a:defRPr sz="1000"/>
          </a:pPr>
          <a:r>
            <a:rPr lang="nb-NO" sz="1200" b="0" i="0" strike="noStrike">
              <a:solidFill>
                <a:srgbClr val="000000"/>
              </a:solidFill>
              <a:latin typeface="Times New Roman"/>
              <a:cs typeface="Times New Roman"/>
            </a:rPr>
            <a:t>SpareBank 1</a:t>
          </a:r>
        </a:p>
        <a:p>
          <a:pPr algn="l" rtl="0">
            <a:lnSpc>
              <a:spcPts val="1600"/>
            </a:lnSpc>
            <a:defRPr sz="1000"/>
          </a:pPr>
          <a:r>
            <a:rPr lang="nb-NO" sz="1200" b="0" i="0" strike="noStrike">
              <a:solidFill>
                <a:srgbClr val="000000"/>
              </a:solidFill>
              <a:latin typeface="Times New Roman"/>
              <a:cs typeface="Times New Roman"/>
            </a:rPr>
            <a:t>Storebrand Livsforsikring</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Telenor 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Tryg 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WaterCircle Forsikring (skadeselskap)</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700"/>
            </a:lnSpc>
            <a:defRPr sz="1000"/>
          </a:pPr>
          <a:r>
            <a:rPr lang="nb-NO" sz="1200" b="0" i="0" u="sng" strike="noStrike">
              <a:solidFill>
                <a:srgbClr val="000000"/>
              </a:solidFill>
              <a:latin typeface="Times New Roman"/>
              <a:cs typeface="Times New Roman"/>
            </a:rPr>
            <a:t>Produkter med investeringsvalg</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700"/>
            </a:lnSpc>
            <a:defRPr sz="1000"/>
          </a:pPr>
          <a:r>
            <a:rPr lang="nb-NO" sz="1200" b="0" i="0" strike="noStrike">
              <a:solidFill>
                <a:srgbClr val="000000"/>
              </a:solidFill>
              <a:latin typeface="Times New Roman"/>
              <a:cs typeface="Times New Roman"/>
            </a:rPr>
            <a:t>Frende</a:t>
          </a:r>
          <a:r>
            <a:rPr lang="nb-NO" sz="1200" b="0" i="0" strike="noStrike" baseline="0">
              <a:solidFill>
                <a:srgbClr val="000000"/>
              </a:solidFill>
              <a:latin typeface="Times New Roman"/>
              <a:cs typeface="Times New Roman"/>
            </a:rPr>
            <a:t> Livsforsikring</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700"/>
            </a:lnSpc>
            <a:defRPr sz="1000"/>
          </a:pPr>
          <a:r>
            <a:rPr lang="nb-NO" sz="1200" b="0" i="0" strike="noStrike">
              <a:solidFill>
                <a:srgbClr val="000000"/>
              </a:solidFill>
              <a:latin typeface="Times New Roman"/>
              <a:cs typeface="Times New Roman"/>
            </a:rPr>
            <a:t>KLP</a:t>
          </a:r>
        </a:p>
        <a:p>
          <a:pPr algn="l" rtl="0">
            <a:lnSpc>
              <a:spcPts val="17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SHB Liv (utenlandsk, filial)</a:t>
          </a:r>
        </a:p>
        <a:p>
          <a:pPr algn="l" rtl="0">
            <a:lnSpc>
              <a:spcPts val="1600"/>
            </a:lnSpc>
            <a:defRPr sz="1000"/>
          </a:pPr>
          <a:r>
            <a:rPr lang="nb-NO" sz="1200" b="0" i="0" strike="noStrike">
              <a:solidFill>
                <a:srgbClr val="000000"/>
              </a:solidFill>
              <a:latin typeface="Times New Roman"/>
              <a:cs typeface="Times New Roman"/>
            </a:rPr>
            <a:t>SpareBank 1</a:t>
          </a:r>
        </a:p>
        <a:p>
          <a:pPr algn="l" rtl="0">
            <a:lnSpc>
              <a:spcPts val="1700"/>
            </a:lnSpc>
            <a:defRPr sz="1000"/>
          </a:pPr>
          <a:r>
            <a:rPr lang="nb-NO" sz="1200" b="0" i="0" strike="noStrike">
              <a:solidFill>
                <a:srgbClr val="000000"/>
              </a:solidFill>
              <a:latin typeface="Times New Roman"/>
              <a:cs typeface="Times New Roman"/>
            </a:rPr>
            <a:t>Storebrand Livsforsikring</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Utenlandske filialer</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Disse har ikke samme krav til regnskapsføring som norske livselskaper, og rapporterer derfor kun utvalgte</a:t>
          </a:r>
          <a:r>
            <a:rPr lang="nb-NO" sz="1200" b="0" i="0" strike="noStrike" baseline="0">
              <a:solidFill>
                <a:srgbClr val="000000"/>
              </a:solidFill>
              <a:latin typeface="Times New Roman"/>
              <a:cs typeface="Times New Roman"/>
            </a:rPr>
            <a:t> poster</a:t>
          </a:r>
          <a:r>
            <a:rPr lang="nb-NO" sz="1200" b="0" i="0" strike="noStrike">
              <a:solidFill>
                <a:srgbClr val="000000"/>
              </a:solidFill>
              <a:latin typeface="Times New Roman"/>
              <a:cs typeface="Times New Roman"/>
            </a:rPr>
            <a:t>.</a:t>
          </a:r>
        </a:p>
        <a:p>
          <a:pPr algn="l" rtl="0">
            <a:lnSpc>
              <a:spcPts val="16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I figurer og tabeller har enkelte selskap "forkortede" navn.</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xdr:txBody>
    </xdr:sp>
    <xdr:clientData/>
  </xdr:twoCellAnchor>
  <xdr:twoCellAnchor>
    <xdr:from>
      <xdr:col>3</xdr:col>
      <xdr:colOff>455084</xdr:colOff>
      <xdr:row>5</xdr:row>
      <xdr:rowOff>10583</xdr:rowOff>
    </xdr:from>
    <xdr:to>
      <xdr:col>11</xdr:col>
      <xdr:colOff>349250</xdr:colOff>
      <xdr:row>29</xdr:row>
      <xdr:rowOff>63500</xdr:rowOff>
    </xdr:to>
    <xdr:sp macro="" textlink="">
      <xdr:nvSpPr>
        <xdr:cNvPr id="5" name="TekstSylinder 4">
          <a:extLst>
            <a:ext uri="{FF2B5EF4-FFF2-40B4-BE49-F238E27FC236}">
              <a16:creationId xmlns:a16="http://schemas.microsoft.com/office/drawing/2014/main" id="{00000000-0008-0000-2100-000005000000}"/>
            </a:ext>
          </a:extLst>
        </xdr:cNvPr>
        <xdr:cNvSpPr txBox="1"/>
      </xdr:nvSpPr>
      <xdr:spPr>
        <a:xfrm>
          <a:off x="12170834" y="804333"/>
          <a:ext cx="6413499" cy="828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nb-NO">
            <a:effectLst/>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Kommentarer til dataene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u="sng"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u="sng" baseline="0">
              <a:solidFill>
                <a:schemeClr val="dk1"/>
              </a:solidFill>
              <a:effectLst/>
              <a:latin typeface="Times New Roman" panose="02020603050405020304" pitchFamily="18" charset="0"/>
              <a:ea typeface="+mn-ea"/>
              <a:cs typeface="Times New Roman" panose="02020603050405020304" pitchFamily="18" charset="0"/>
            </a:rPr>
            <a:t>Generelle kommentarer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Når det nedenfor står "Endring i 20xx-tall", menes endringer i forhold til tilsvarende periode året før.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Brutto forfalt premie kan regnskapstallene (Tabell 4) være høyere enn markedstallene (Tabell 2a) fordi de kan inneholde tall for skadeforsikring og utenlandsk virksomhet.</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Overførte reserver til/fra andre i markedstallene inngår ikke overførte reserver som gjelder Gruppeliv. Disse vil imidlertid inngå i Tabell 4.</a:t>
          </a:r>
          <a:endParaRPr lang="nb-NO" sz="1100">
            <a:latin typeface="Times New Roman" panose="02020603050405020304" pitchFamily="18" charset="0"/>
            <a:cs typeface="Times New Roman" panose="02020603050405020304" pitchFamily="18" charset="0"/>
          </a:endParaRPr>
        </a:p>
        <a:p>
          <a:endParaRPr lang="nb-NO" sz="1100" u="sng">
            <a:latin typeface="Times New Roman" panose="02020603050405020304" pitchFamily="18" charset="0"/>
            <a:cs typeface="Times New Roman" panose="02020603050405020304" pitchFamily="18" charset="0"/>
          </a:endParaRPr>
        </a:p>
        <a:p>
          <a:r>
            <a:rPr lang="nb-NO" sz="1100" u="sng">
              <a:latin typeface="Times New Roman" panose="02020603050405020304" pitchFamily="18" charset="0"/>
              <a:cs typeface="Times New Roman" panose="02020603050405020304" pitchFamily="18" charset="0"/>
            </a:rPr>
            <a:t>Codan Forsikring</a:t>
          </a:r>
        </a:p>
        <a:p>
          <a:r>
            <a:rPr lang="nb-NO" sz="1100">
              <a:solidFill>
                <a:schemeClr val="dk1"/>
              </a:solidFill>
              <a:effectLst/>
              <a:latin typeface="+mn-lt"/>
              <a:ea typeface="+mn-ea"/>
              <a:cs typeface="+mn-cs"/>
            </a:rPr>
            <a:t>Selskapet inngår i statistikken fra 1.kvartal 2021.</a:t>
          </a:r>
          <a:endParaRPr lang="nb-NO" sz="1100" u="none">
            <a:latin typeface="Times New Roman" panose="02020603050405020304" pitchFamily="18" charset="0"/>
            <a:cs typeface="Times New Roman" panose="02020603050405020304" pitchFamily="18" charset="0"/>
          </a:endParaRPr>
        </a:p>
        <a:p>
          <a:endParaRPr lang="nb-NO" sz="1100" u="sng">
            <a:latin typeface="Times New Roman" panose="02020603050405020304" pitchFamily="18" charset="0"/>
            <a:cs typeface="Times New Roman" panose="02020603050405020304" pitchFamily="18" charset="0"/>
          </a:endParaRPr>
        </a:p>
        <a:p>
          <a:r>
            <a:rPr lang="nb-NO" sz="1100" u="sng">
              <a:latin typeface="Times New Roman" panose="02020603050405020304" pitchFamily="18" charset="0"/>
              <a:cs typeface="Times New Roman" panose="02020603050405020304" pitchFamily="18" charset="0"/>
            </a:rPr>
            <a:t>DNB Bedriftspensjon</a:t>
          </a:r>
          <a:br>
            <a:rPr lang="nb-NO" sz="1100" u="sng">
              <a:latin typeface="Times New Roman" panose="02020603050405020304" pitchFamily="18" charset="0"/>
              <a:cs typeface="Times New Roman" panose="02020603050405020304" pitchFamily="18" charset="0"/>
            </a:rPr>
          </a:br>
          <a:r>
            <a:rPr lang="nb-NO" sz="1100" u="none">
              <a:latin typeface="Times New Roman" panose="02020603050405020304" pitchFamily="18" charset="0"/>
              <a:cs typeface="Times New Roman" panose="02020603050405020304" pitchFamily="18" charset="0"/>
            </a:rPr>
            <a:t>Selskapet</a:t>
          </a:r>
          <a:r>
            <a:rPr lang="nb-NO" sz="1100" u="none" baseline="0">
              <a:latin typeface="Times New Roman" panose="02020603050405020304" pitchFamily="18" charset="0"/>
              <a:cs typeface="Times New Roman" panose="02020603050405020304" pitchFamily="18" charset="0"/>
            </a:rPr>
            <a:t> inngår fra 1.kvartal 2021 i DNB Livsforsikring.</a:t>
          </a:r>
          <a:endParaRPr lang="nb-NO" sz="1100" u="sng">
            <a:latin typeface="Times New Roman" panose="02020603050405020304" pitchFamily="18" charset="0"/>
            <a:cs typeface="Times New Roman" panose="02020603050405020304" pitchFamily="18" charset="0"/>
          </a:endParaRPr>
        </a:p>
        <a:p>
          <a:endParaRPr lang="nb-NO" sz="1100" u="sng">
            <a:latin typeface="Times New Roman" panose="02020603050405020304" pitchFamily="18" charset="0"/>
            <a:cs typeface="Times New Roman" panose="02020603050405020304" pitchFamily="18" charset="0"/>
          </a:endParaRPr>
        </a:p>
        <a:p>
          <a:r>
            <a:rPr lang="nb-NO" sz="1100" u="sng">
              <a:latin typeface="Times New Roman" panose="02020603050405020304" pitchFamily="18" charset="0"/>
              <a:cs typeface="Times New Roman" panose="02020603050405020304" pitchFamily="18" charset="0"/>
            </a:rPr>
            <a:t>Euro</a:t>
          </a:r>
          <a:r>
            <a:rPr lang="nb-NO" sz="1100" u="sng" baseline="0">
              <a:latin typeface="Times New Roman" panose="02020603050405020304" pitchFamily="18" charset="0"/>
              <a:cs typeface="Times New Roman" panose="02020603050405020304" pitchFamily="18" charset="0"/>
            </a:rPr>
            <a:t> Accident</a:t>
          </a:r>
          <a:endParaRPr lang="nb-NO" sz="1100" u="sng">
            <a:latin typeface="Times New Roman" panose="02020603050405020304" pitchFamily="18" charset="0"/>
            <a:cs typeface="Times New Roman" panose="02020603050405020304" pitchFamily="18" charset="0"/>
          </a:endParaRPr>
        </a:p>
        <a:p>
          <a:r>
            <a:rPr lang="nb-NO" sz="1100" u="none">
              <a:latin typeface="Times New Roman" panose="02020603050405020304" pitchFamily="18" charset="0"/>
              <a:cs typeface="Times New Roman" panose="02020603050405020304" pitchFamily="18" charset="0"/>
            </a:rPr>
            <a:t>Selskapet</a:t>
          </a:r>
          <a:r>
            <a:rPr lang="nb-NO" sz="1100" u="none" baseline="0">
              <a:latin typeface="Times New Roman" panose="02020603050405020304" pitchFamily="18" charset="0"/>
              <a:cs typeface="Times New Roman" panose="02020603050405020304" pitchFamily="18" charset="0"/>
            </a:rPr>
            <a:t> inngår i statistikken fra 1. kvartal 2021.</a:t>
          </a:r>
        </a:p>
        <a:p>
          <a:endParaRPr lang="nb-NO" sz="1100" u="none" baseline="0">
            <a:latin typeface="Times New Roman" panose="02020603050405020304" pitchFamily="18" charset="0"/>
            <a:cs typeface="Times New Roman" panose="02020603050405020304" pitchFamily="18" charset="0"/>
          </a:endParaRPr>
        </a:p>
        <a:p>
          <a:r>
            <a:rPr lang="nb-NO" sz="1100" u="sng" baseline="0">
              <a:latin typeface="Times New Roman" panose="02020603050405020304" pitchFamily="18" charset="0"/>
              <a:cs typeface="Times New Roman" panose="02020603050405020304" pitchFamily="18" charset="0"/>
            </a:rPr>
            <a:t>Frende Livsforsikring</a:t>
          </a:r>
        </a:p>
        <a:p>
          <a:r>
            <a:rPr lang="nb-NO" sz="1100">
              <a:solidFill>
                <a:schemeClr val="dk1"/>
              </a:solidFill>
              <a:effectLst/>
              <a:latin typeface="+mn-lt"/>
              <a:ea typeface="+mn-ea"/>
              <a:cs typeface="+mn-cs"/>
            </a:rPr>
            <a:t>Nordea Liv overtok</a:t>
          </a:r>
          <a:r>
            <a:rPr lang="nb-NO" sz="1100" baseline="0">
              <a:solidFill>
                <a:schemeClr val="dk1"/>
              </a:solidFill>
              <a:effectLst/>
              <a:latin typeface="+mn-lt"/>
              <a:ea typeface="+mn-ea"/>
              <a:cs typeface="+mn-cs"/>
            </a:rPr>
            <a:t> pensjonsporteføljen til Frende Livsforsikring fra oktober 2020.</a:t>
          </a:r>
          <a:r>
            <a:rPr lang="nb-NO" sz="1100" u="none" baseline="0">
              <a:latin typeface="Times New Roman" panose="02020603050405020304" pitchFamily="18" charset="0"/>
              <a:cs typeface="Times New Roman" panose="02020603050405020304" pitchFamily="18" charset="0"/>
            </a:rPr>
            <a:t> </a:t>
          </a:r>
        </a:p>
        <a:p>
          <a:endParaRPr lang="nb-NO" sz="1100" u="none" baseline="0">
            <a:latin typeface="Times New Roman" panose="02020603050405020304" pitchFamily="18" charset="0"/>
            <a:cs typeface="Times New Roman" panose="02020603050405020304" pitchFamily="18" charset="0"/>
          </a:endParaRPr>
        </a:p>
        <a:p>
          <a:endParaRPr lang="nb-NO" sz="1100" u="none" baseline="0">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Innsamlede data</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innsamlede data er identiske med det som forekommer i statistikken.</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underliggende tallene for statistikken er med en desimal, men statistikktallene publiseres uten desimaler. </a:t>
          </a: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Det betyr at sumtall i formler kan avvike fra de synlige summene.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1"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Prosentendringer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Prosentendringer med tallverdi ≥ 1000 gjengis som enten 999 eller - 999. Sammenligner vi tall med samme fortegn, vil vi få prosentøkning når vi går fra lavere tallverdi til høyere tallverdi. Sammenligner vi tall med ulike fortegn, vil vi få prosentøkning når vi går fra negative tall til positive tall. Prosentendringer fra negative tall til 0 (null) = + 100, mens prosentendringer fra positive tall til 0 (null) = - 100. Prosentendringer fra 0 til positive eller negative tall angis ikke (---). Det samme gjelder små tallstørrelser som vises som 0.</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file01\finansnorge\SFA\Statistikk%20og%20analyse\Fellessaker\Ny%20presentasjon%20MA\Overset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kk%20og%20analyse/Livstatistikk/Faste%20statistikker/MA/2021/Q1-2021/Mottatte/SpareBank%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t"/>
      <sheetName val="Oppslagstabeller"/>
      <sheetName val="Oversetter"/>
    </sheetNames>
    <sheetDataSet>
      <sheetData sheetId="0"/>
      <sheetData sheetId="1">
        <row r="1">
          <cell r="A1" t="str">
            <v>selskap_id</v>
          </cell>
          <cell r="B1" t="str">
            <v>sortering</v>
          </cell>
          <cell r="C1" t="str">
            <v>2a</v>
          </cell>
          <cell r="D1" t="str">
            <v>2b</v>
          </cell>
          <cell r="E1" t="str">
            <v>3a</v>
          </cell>
          <cell r="F1" t="str">
            <v>3b</v>
          </cell>
          <cell r="G1" t="str">
            <v>selskap_navn</v>
          </cell>
        </row>
        <row r="2">
          <cell r="A2" t="str">
            <v>19</v>
          </cell>
          <cell r="B2" t="str">
            <v>01</v>
          </cell>
          <cell r="C2">
            <v>3</v>
          </cell>
          <cell r="E2">
            <v>3</v>
          </cell>
          <cell r="G2" t="str">
            <v>ACE European Group Ltd</v>
          </cell>
        </row>
        <row r="3">
          <cell r="A3" t="str">
            <v>34</v>
          </cell>
          <cell r="B3" t="str">
            <v>02</v>
          </cell>
          <cell r="C3">
            <v>7</v>
          </cell>
          <cell r="D3">
            <v>3</v>
          </cell>
          <cell r="E3">
            <v>7</v>
          </cell>
          <cell r="F3">
            <v>3</v>
          </cell>
          <cell r="G3" t="str">
            <v>Danica Pensjonsforsikring</v>
          </cell>
        </row>
        <row r="4">
          <cell r="A4" t="str">
            <v>35</v>
          </cell>
          <cell r="B4" t="str">
            <v>03</v>
          </cell>
          <cell r="C4">
            <v>11</v>
          </cell>
          <cell r="D4">
            <v>7</v>
          </cell>
          <cell r="E4">
            <v>11</v>
          </cell>
          <cell r="F4">
            <v>7</v>
          </cell>
          <cell r="G4" t="str">
            <v>DNB Livsforsikring ASA</v>
          </cell>
          <cell r="N4">
            <v>16</v>
          </cell>
        </row>
        <row r="5">
          <cell r="A5" t="str">
            <v>15</v>
          </cell>
          <cell r="B5" t="str">
            <v>04</v>
          </cell>
          <cell r="C5">
            <v>15</v>
          </cell>
          <cell r="E5">
            <v>15</v>
          </cell>
          <cell r="G5" t="str">
            <v>Eika Gruppen AS</v>
          </cell>
          <cell r="N5" t="str">
            <v>4.-kvartal-2015-markedsandeler---endelige-tall-og-regnskapsstatistikk.xlsx</v>
          </cell>
        </row>
        <row r="6">
          <cell r="A6" t="str">
            <v>36</v>
          </cell>
          <cell r="B6" t="str">
            <v>05</v>
          </cell>
          <cell r="C6">
            <v>19</v>
          </cell>
          <cell r="D6">
            <v>11</v>
          </cell>
          <cell r="E6">
            <v>19</v>
          </cell>
          <cell r="F6">
            <v>11</v>
          </cell>
          <cell r="G6" t="str">
            <v>Frende Livsforsikring AS</v>
          </cell>
        </row>
        <row r="7">
          <cell r="A7" t="str">
            <v>20</v>
          </cell>
          <cell r="B7" t="str">
            <v>06</v>
          </cell>
          <cell r="C7">
            <v>23</v>
          </cell>
          <cell r="E7">
            <v>23</v>
          </cell>
          <cell r="G7" t="str">
            <v>Frende Skadeforsikring AS</v>
          </cell>
        </row>
        <row r="8">
          <cell r="A8" t="str">
            <v>4</v>
          </cell>
          <cell r="B8" t="str">
            <v>07</v>
          </cell>
          <cell r="C8">
            <v>27</v>
          </cell>
          <cell r="E8">
            <v>27</v>
          </cell>
          <cell r="G8" t="str">
            <v>Gjensidige Forsikring ASA</v>
          </cell>
        </row>
        <row r="9">
          <cell r="A9" t="str">
            <v>37</v>
          </cell>
          <cell r="B9" t="str">
            <v>08</v>
          </cell>
          <cell r="C9">
            <v>31</v>
          </cell>
          <cell r="D9">
            <v>15</v>
          </cell>
          <cell r="E9">
            <v>31</v>
          </cell>
          <cell r="F9">
            <v>15</v>
          </cell>
          <cell r="G9" t="str">
            <v>Gjensidige Pensjon og Sparing</v>
          </cell>
        </row>
        <row r="10">
          <cell r="A10" t="str">
            <v>38</v>
          </cell>
          <cell r="B10" t="str">
            <v>09</v>
          </cell>
          <cell r="C10">
            <v>35</v>
          </cell>
          <cell r="E10">
            <v>35</v>
          </cell>
          <cell r="G10" t="str">
            <v>Handelsbanken Liv</v>
          </cell>
        </row>
        <row r="11">
          <cell r="A11" t="str">
            <v>6</v>
          </cell>
          <cell r="B11" t="str">
            <v>10</v>
          </cell>
          <cell r="C11">
            <v>39</v>
          </cell>
          <cell r="E11">
            <v>39</v>
          </cell>
          <cell r="G11" t="str">
            <v>If Skadeforsikring nuf</v>
          </cell>
        </row>
        <row r="12">
          <cell r="A12" t="str">
            <v>39</v>
          </cell>
          <cell r="B12" t="str">
            <v>11</v>
          </cell>
          <cell r="C12">
            <v>47</v>
          </cell>
          <cell r="D12">
            <v>23</v>
          </cell>
          <cell r="E12">
            <v>47</v>
          </cell>
          <cell r="F12">
            <v>23</v>
          </cell>
          <cell r="G12" t="str">
            <v>KLP Bedriftspensjon AS</v>
          </cell>
        </row>
        <row r="13">
          <cell r="A13" t="str">
            <v>5</v>
          </cell>
          <cell r="B13" t="str">
            <v>12</v>
          </cell>
          <cell r="C13">
            <v>43</v>
          </cell>
          <cell r="D13">
            <v>19</v>
          </cell>
          <cell r="E13">
            <v>43</v>
          </cell>
          <cell r="F13">
            <v>19</v>
          </cell>
          <cell r="G13" t="str">
            <v>KLP</v>
          </cell>
        </row>
        <row r="14">
          <cell r="A14" t="str">
            <v>22</v>
          </cell>
          <cell r="B14" t="str">
            <v>13</v>
          </cell>
          <cell r="C14">
            <v>55</v>
          </cell>
          <cell r="E14">
            <v>55</v>
          </cell>
          <cell r="G14" t="str">
            <v>Landbruksforsikring AS</v>
          </cell>
        </row>
        <row r="15">
          <cell r="A15" t="str">
            <v>17</v>
          </cell>
          <cell r="B15" t="str">
            <v>14</v>
          </cell>
          <cell r="C15">
            <v>59</v>
          </cell>
          <cell r="E15">
            <v>59</v>
          </cell>
          <cell r="G15" t="str">
            <v>NEMI Forsikring AS</v>
          </cell>
        </row>
        <row r="16">
          <cell r="A16" t="str">
            <v>40</v>
          </cell>
          <cell r="B16" t="str">
            <v>15</v>
          </cell>
          <cell r="C16">
            <v>63</v>
          </cell>
          <cell r="D16">
            <v>27</v>
          </cell>
          <cell r="E16">
            <v>63</v>
          </cell>
          <cell r="F16">
            <v>27</v>
          </cell>
          <cell r="G16" t="str">
            <v>Livsforsikringsselskapet Nordea Liv Norge AS</v>
          </cell>
        </row>
        <row r="17">
          <cell r="A17" t="str">
            <v>41</v>
          </cell>
          <cell r="B17" t="str">
            <v>16</v>
          </cell>
          <cell r="C17">
            <v>67</v>
          </cell>
          <cell r="E17">
            <v>67</v>
          </cell>
          <cell r="G17" t="str">
            <v>Oslo Pensjonsforsikring</v>
          </cell>
        </row>
        <row r="18">
          <cell r="A18" t="str">
            <v>43</v>
          </cell>
          <cell r="B18" t="str">
            <v>17</v>
          </cell>
          <cell r="C18">
            <v>71</v>
          </cell>
          <cell r="D18">
            <v>35</v>
          </cell>
          <cell r="E18">
            <v>71</v>
          </cell>
          <cell r="F18">
            <v>35</v>
          </cell>
          <cell r="G18" t="str">
            <v>Silver Pensjonsforsikring  AS</v>
          </cell>
        </row>
        <row r="19">
          <cell r="A19" t="str">
            <v>49</v>
          </cell>
          <cell r="B19" t="str">
            <v>18</v>
          </cell>
          <cell r="C19">
            <v>75</v>
          </cell>
          <cell r="D19">
            <v>39</v>
          </cell>
          <cell r="E19">
            <v>75</v>
          </cell>
          <cell r="F19">
            <v>39</v>
          </cell>
          <cell r="G19" t="str">
            <v>Sparebank 1 Fondsforsikring</v>
          </cell>
        </row>
        <row r="20">
          <cell r="A20" t="str">
            <v>50</v>
          </cell>
          <cell r="B20" t="str">
            <v>19</v>
          </cell>
          <cell r="C20">
            <v>79</v>
          </cell>
          <cell r="D20">
            <v>43</v>
          </cell>
          <cell r="E20">
            <v>79</v>
          </cell>
          <cell r="F20">
            <v>43</v>
          </cell>
          <cell r="G20" t="str">
            <v>Storebrand Fondsforsikring</v>
          </cell>
        </row>
        <row r="21">
          <cell r="A21" t="str">
            <v>16</v>
          </cell>
          <cell r="B21" t="str">
            <v>20</v>
          </cell>
          <cell r="C21">
            <v>83</v>
          </cell>
          <cell r="E21">
            <v>83</v>
          </cell>
          <cell r="G21" t="str">
            <v>Telenor Forsikring AS</v>
          </cell>
        </row>
        <row r="22">
          <cell r="A22" t="str">
            <v>47</v>
          </cell>
          <cell r="B22" t="str">
            <v>21</v>
          </cell>
          <cell r="G22" t="str">
            <v>TrygVesta Forsikring</v>
          </cell>
        </row>
        <row r="23">
          <cell r="A23" t="str">
            <v>8</v>
          </cell>
          <cell r="B23" t="str">
            <v>22</v>
          </cell>
          <cell r="C23">
            <v>87</v>
          </cell>
          <cell r="E23">
            <v>87</v>
          </cell>
          <cell r="G23" t="str">
            <v>Tryg Forsikring</v>
          </cell>
        </row>
        <row r="24">
          <cell r="A24" t="str">
            <v>10</v>
          </cell>
          <cell r="B24" t="str">
            <v>23</v>
          </cell>
          <cell r="G24" t="str">
            <v>SpareBank 1 Forsikring AS</v>
          </cell>
        </row>
        <row r="25">
          <cell r="A25" t="str">
            <v>32</v>
          </cell>
          <cell r="B25" t="str">
            <v>24</v>
          </cell>
          <cell r="G25" t="str">
            <v>Storebrand ASA</v>
          </cell>
        </row>
        <row r="26">
          <cell r="A26" t="str">
            <v>33</v>
          </cell>
          <cell r="B26" t="str">
            <v>25</v>
          </cell>
          <cell r="G26" t="str">
            <v>Altraplan Luxembourg</v>
          </cell>
        </row>
        <row r="27">
          <cell r="A27" t="str">
            <v>42</v>
          </cell>
          <cell r="B27" t="str">
            <v>26</v>
          </cell>
          <cell r="D27">
            <v>31</v>
          </cell>
          <cell r="F27">
            <v>31</v>
          </cell>
          <cell r="G27" t="str">
            <v>SHB Liv</v>
          </cell>
        </row>
        <row r="28">
          <cell r="A28" t="str">
            <v>44</v>
          </cell>
          <cell r="B28" t="str">
            <v>27</v>
          </cell>
          <cell r="C28">
            <v>51</v>
          </cell>
          <cell r="E28">
            <v>51</v>
          </cell>
          <cell r="G28" t="str">
            <v>KLP Skadeforsikring</v>
          </cell>
        </row>
        <row r="29">
          <cell r="A29" t="str">
            <v>45</v>
          </cell>
          <cell r="B29" t="str">
            <v>28</v>
          </cell>
          <cell r="G29" t="str">
            <v>Commercial Union International Life</v>
          </cell>
        </row>
        <row r="30">
          <cell r="A30" t="str">
            <v>46</v>
          </cell>
          <cell r="B30" t="str">
            <v>29</v>
          </cell>
          <cell r="G30" t="str">
            <v>Gjensidige NOR Spareforsikring</v>
          </cell>
        </row>
        <row r="31">
          <cell r="A31" t="str">
            <v>48</v>
          </cell>
          <cell r="B31" t="str">
            <v>30</v>
          </cell>
          <cell r="G31" t="str">
            <v>Vesta</v>
          </cell>
        </row>
        <row r="32">
          <cell r="A32" t="str">
            <v>51</v>
          </cell>
          <cell r="B32" t="str">
            <v>31</v>
          </cell>
          <cell r="G32" t="str">
            <v>Danica Link</v>
          </cell>
        </row>
        <row r="33">
          <cell r="A33" t="str">
            <v>52</v>
          </cell>
          <cell r="B33" t="str">
            <v>32</v>
          </cell>
          <cell r="G33" t="str">
            <v>Danica Fondsforsikring</v>
          </cell>
        </row>
        <row r="34">
          <cell r="A34" t="str">
            <v>53</v>
          </cell>
          <cell r="B34" t="str">
            <v>33</v>
          </cell>
          <cell r="G34" t="str">
            <v>Gjensidige NOR Fondsforsikring</v>
          </cell>
        </row>
        <row r="35">
          <cell r="A35" t="str">
            <v>54</v>
          </cell>
          <cell r="B35" t="str">
            <v>34</v>
          </cell>
          <cell r="G35" t="str">
            <v>Vital Link</v>
          </cell>
        </row>
        <row r="36">
          <cell r="A36" t="str">
            <v>55</v>
          </cell>
          <cell r="B36" t="str">
            <v>35</v>
          </cell>
          <cell r="G36" t="str">
            <v>Nordea Link</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 2a"/>
      <sheetName val="Tabell 2b"/>
      <sheetName val="Tabell 3a"/>
      <sheetName val="Tabell 3b"/>
      <sheetName val="Tabell 4"/>
      <sheetName val="Tabell 6"/>
      <sheetName val="Tabell 8"/>
      <sheetName val="Noter og kommentarer"/>
    </sheetNames>
    <sheetDataSet>
      <sheetData sheetId="0" refreshError="1"/>
      <sheetData sheetId="1" refreshError="1"/>
      <sheetData sheetId="2" refreshError="1"/>
      <sheetData sheetId="3" refreshError="1"/>
      <sheetData sheetId="4" refreshError="1"/>
      <sheetData sheetId="5">
        <row r="68">
          <cell r="AJ68">
            <v>4257.0320000000002</v>
          </cell>
        </row>
        <row r="71">
          <cell r="AJ71">
            <v>1000</v>
          </cell>
        </row>
        <row r="74">
          <cell r="AJ74">
            <v>1201.2090000000001</v>
          </cell>
        </row>
        <row r="75">
          <cell r="AJ75">
            <v>2673.8429999999998</v>
          </cell>
        </row>
        <row r="78">
          <cell r="AJ78">
            <v>252.03700478000022</v>
          </cell>
        </row>
        <row r="79">
          <cell r="AJ79">
            <v>22499.79200478</v>
          </cell>
        </row>
      </sheetData>
      <sheetData sheetId="6" refreshError="1"/>
      <sheetData sheetId="7"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I55"/>
  <sheetViews>
    <sheetView showGridLines="0" topLeftCell="A16" workbookViewId="0">
      <selection activeCell="L39" sqref="L39"/>
    </sheetView>
  </sheetViews>
  <sheetFormatPr baseColWidth="10" defaultColWidth="11.42578125" defaultRowHeight="12.75" x14ac:dyDescent="0.2"/>
  <sheetData>
    <row r="1" spans="2:9" s="51" customFormat="1" x14ac:dyDescent="0.2"/>
    <row r="2" spans="2:9" s="51" customFormat="1" x14ac:dyDescent="0.2"/>
    <row r="3" spans="2:9" s="51" customFormat="1" x14ac:dyDescent="0.2"/>
    <row r="4" spans="2:9" s="51" customFormat="1" x14ac:dyDescent="0.2"/>
    <row r="5" spans="2:9" s="51" customFormat="1" x14ac:dyDescent="0.2">
      <c r="B5" s="52"/>
      <c r="C5" s="52"/>
      <c r="D5" s="52"/>
      <c r="E5" s="52"/>
      <c r="F5" s="52"/>
      <c r="G5" s="52"/>
      <c r="H5" s="52"/>
    </row>
    <row r="6" spans="2:9" s="51" customFormat="1" ht="23.25" x14ac:dyDescent="0.35">
      <c r="B6" s="53"/>
      <c r="C6" s="52"/>
      <c r="D6" s="52"/>
      <c r="E6" s="52"/>
      <c r="F6" s="52"/>
      <c r="G6" s="52"/>
      <c r="H6" s="52"/>
      <c r="I6" s="54"/>
    </row>
    <row r="7" spans="2:9" s="51" customFormat="1" x14ac:dyDescent="0.2">
      <c r="B7" s="52"/>
      <c r="C7" s="52"/>
      <c r="D7" s="52"/>
      <c r="E7" s="52"/>
      <c r="F7" s="52"/>
      <c r="G7" s="52"/>
      <c r="H7" s="52"/>
      <c r="I7" s="52"/>
    </row>
    <row r="8" spans="2:9" s="51" customFormat="1" x14ac:dyDescent="0.2">
      <c r="B8" s="52"/>
      <c r="C8" s="52"/>
      <c r="D8" s="52"/>
      <c r="F8" s="52"/>
      <c r="G8" s="52"/>
      <c r="H8" s="52"/>
    </row>
    <row r="9" spans="2:9" s="51" customFormat="1" x14ac:dyDescent="0.2">
      <c r="B9" s="52"/>
      <c r="C9" s="52"/>
      <c r="D9" s="52"/>
      <c r="E9" s="52"/>
      <c r="F9" s="52"/>
      <c r="G9" s="52"/>
      <c r="H9" s="52"/>
    </row>
    <row r="10" spans="2:9" s="51" customFormat="1" ht="23.25" x14ac:dyDescent="0.35">
      <c r="B10" s="52"/>
      <c r="C10" s="52"/>
      <c r="D10" s="52"/>
      <c r="I10" s="54"/>
    </row>
    <row r="11" spans="2:9" s="51" customFormat="1" x14ac:dyDescent="0.2">
      <c r="B11" s="52"/>
      <c r="C11" s="52"/>
      <c r="D11" s="52"/>
    </row>
    <row r="12" spans="2:9" s="51" customFormat="1" ht="27" customHeight="1" x14ac:dyDescent="0.35">
      <c r="B12" s="52"/>
      <c r="C12" s="52"/>
      <c r="D12" s="52"/>
      <c r="E12" s="52"/>
      <c r="F12" s="52"/>
      <c r="G12" s="52"/>
      <c r="H12" s="52"/>
      <c r="I12" s="54"/>
    </row>
    <row r="13" spans="2:9" s="51" customFormat="1" ht="19.5" customHeight="1" x14ac:dyDescent="0.35">
      <c r="B13" s="52"/>
      <c r="I13" s="54"/>
    </row>
    <row r="14" spans="2:9" s="51" customFormat="1" x14ac:dyDescent="0.2">
      <c r="B14" s="52"/>
      <c r="C14" s="52"/>
      <c r="D14" s="52"/>
      <c r="F14" s="52"/>
      <c r="G14" s="52"/>
      <c r="H14" s="52"/>
    </row>
    <row r="15" spans="2:9" s="51" customFormat="1" x14ac:dyDescent="0.2">
      <c r="B15" s="52"/>
      <c r="C15" s="52"/>
      <c r="D15" s="52"/>
      <c r="F15" s="52"/>
      <c r="G15" s="52"/>
      <c r="H15" s="52"/>
      <c r="I15" s="52"/>
    </row>
    <row r="16" spans="2:9" s="51" customFormat="1" ht="34.5" x14ac:dyDescent="0.45">
      <c r="B16" s="52"/>
      <c r="C16" s="52"/>
      <c r="D16" s="52"/>
      <c r="E16" s="55"/>
      <c r="F16" s="52"/>
      <c r="G16" s="52"/>
      <c r="H16" s="52"/>
      <c r="I16" s="52"/>
    </row>
    <row r="17" spans="2:9" s="51" customFormat="1" ht="33" x14ac:dyDescent="0.45">
      <c r="B17" s="52"/>
      <c r="C17" s="52"/>
      <c r="D17" s="52"/>
      <c r="E17" s="56"/>
      <c r="F17" s="52"/>
      <c r="G17" s="52"/>
      <c r="H17" s="52"/>
      <c r="I17" s="52"/>
    </row>
    <row r="18" spans="2:9" s="51" customFormat="1" ht="33" x14ac:dyDescent="0.45">
      <c r="D18" s="56"/>
    </row>
    <row r="19" spans="2:9" s="51" customFormat="1" ht="18.75" x14ac:dyDescent="0.3">
      <c r="E19" s="57"/>
      <c r="I19" s="58"/>
    </row>
    <row r="20" spans="2:9" s="51" customFormat="1" x14ac:dyDescent="0.2"/>
    <row r="21" spans="2:9" s="51" customFormat="1" x14ac:dyDescent="0.2">
      <c r="E21" s="59"/>
    </row>
    <row r="22" spans="2:9" s="51" customFormat="1" ht="26.25" x14ac:dyDescent="0.4">
      <c r="E22" s="60"/>
    </row>
    <row r="23" spans="2:9" s="51" customFormat="1" x14ac:dyDescent="0.2"/>
    <row r="24" spans="2:9" s="51" customFormat="1" x14ac:dyDescent="0.2"/>
    <row r="25" spans="2:9" s="51" customFormat="1" ht="18.75" x14ac:dyDescent="0.3">
      <c r="E25" s="61"/>
    </row>
    <row r="26" spans="2:9" s="51" customFormat="1" ht="18.75" x14ac:dyDescent="0.3">
      <c r="E26" s="62"/>
    </row>
    <row r="27" spans="2:9" s="51" customFormat="1" x14ac:dyDescent="0.2"/>
    <row r="28" spans="2:9" s="51" customFormat="1" x14ac:dyDescent="0.2"/>
    <row r="29" spans="2:9" s="51" customFormat="1" x14ac:dyDescent="0.2"/>
    <row r="30" spans="2:9" s="51" customFormat="1" x14ac:dyDescent="0.2"/>
    <row r="31" spans="2:9" s="51" customFormat="1" x14ac:dyDescent="0.2"/>
    <row r="32" spans="2:9" s="51" customFormat="1" x14ac:dyDescent="0.2"/>
    <row r="33" spans="1:9" s="51" customFormat="1" ht="35.25" x14ac:dyDescent="0.2">
      <c r="A33" s="63"/>
    </row>
    <row r="34" spans="1:9" s="51" customFormat="1" x14ac:dyDescent="0.2"/>
    <row r="35" spans="1:9" s="51" customFormat="1" x14ac:dyDescent="0.2"/>
    <row r="36" spans="1:9" s="51" customFormat="1" ht="33" x14ac:dyDescent="0.2">
      <c r="B36" s="64"/>
    </row>
    <row r="37" spans="1:9" s="51" customFormat="1" x14ac:dyDescent="0.2"/>
    <row r="38" spans="1:9" s="51" customFormat="1" x14ac:dyDescent="0.2"/>
    <row r="39" spans="1:9" s="51" customFormat="1" ht="18" x14ac:dyDescent="0.25">
      <c r="B39" s="65"/>
    </row>
    <row r="40" spans="1:9" s="51" customFormat="1" x14ac:dyDescent="0.2"/>
    <row r="41" spans="1:9" s="51" customFormat="1" ht="18.75" x14ac:dyDescent="0.3">
      <c r="I41" s="66"/>
    </row>
    <row r="42" spans="1:9" s="51" customFormat="1" x14ac:dyDescent="0.2"/>
    <row r="43" spans="1:9" s="51" customFormat="1" ht="18.75" x14ac:dyDescent="0.3">
      <c r="B43" s="675"/>
      <c r="C43" s="675"/>
      <c r="D43" s="675"/>
    </row>
    <row r="44" spans="1:9" s="51" customFormat="1" x14ac:dyDescent="0.2"/>
    <row r="45" spans="1:9" s="51" customFormat="1" x14ac:dyDescent="0.2"/>
    <row r="46" spans="1:9" s="51" customFormat="1" x14ac:dyDescent="0.2"/>
    <row r="47" spans="1:9" s="51" customFormat="1" x14ac:dyDescent="0.2"/>
    <row r="48" spans="1:9" s="51" customFormat="1" x14ac:dyDescent="0.2"/>
    <row r="49" s="51" customFormat="1" x14ac:dyDescent="0.2"/>
    <row r="50" s="51" customFormat="1" x14ac:dyDescent="0.2"/>
    <row r="51" s="51" customFormat="1" x14ac:dyDescent="0.2"/>
    <row r="52" s="51" customFormat="1" x14ac:dyDescent="0.2"/>
    <row r="53" s="51" customFormat="1" x14ac:dyDescent="0.2"/>
    <row r="54" s="51" customFormat="1" x14ac:dyDescent="0.2"/>
    <row r="55" s="51" customFormat="1" x14ac:dyDescent="0.2"/>
  </sheetData>
  <mergeCells count="1">
    <mergeCell ref="B43:D43"/>
  </mergeCells>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21"/>
  <dimension ref="A1:N145"/>
  <sheetViews>
    <sheetView showGridLines="0" zoomScaleNormal="100" workbookViewId="0">
      <selection activeCell="A59" sqref="A59"/>
    </sheetView>
  </sheetViews>
  <sheetFormatPr baseColWidth="10" defaultColWidth="11.42578125" defaultRowHeight="12.75" x14ac:dyDescent="0.2"/>
  <cols>
    <col min="1" max="1" width="41.57031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134</v>
      </c>
      <c r="B1" s="663"/>
      <c r="C1" s="225" t="s">
        <v>92</v>
      </c>
      <c r="D1" s="26"/>
      <c r="E1" s="26"/>
      <c r="F1" s="26"/>
      <c r="G1" s="26"/>
      <c r="H1" s="26"/>
      <c r="I1" s="26"/>
      <c r="J1" s="26"/>
      <c r="K1" s="26"/>
      <c r="L1" s="26"/>
      <c r="M1" s="26"/>
    </row>
    <row r="2" spans="1:14" ht="15.75" x14ac:dyDescent="0.25">
      <c r="A2" s="165" t="s">
        <v>28</v>
      </c>
      <c r="B2" s="699"/>
      <c r="C2" s="699"/>
      <c r="D2" s="699"/>
      <c r="E2" s="275"/>
      <c r="F2" s="699"/>
      <c r="G2" s="699"/>
      <c r="H2" s="699"/>
      <c r="I2" s="275"/>
      <c r="J2" s="699"/>
      <c r="K2" s="699"/>
      <c r="L2" s="699"/>
      <c r="M2" s="275"/>
    </row>
    <row r="3" spans="1:14" ht="15.75" x14ac:dyDescent="0.25">
      <c r="A3" s="163"/>
      <c r="B3" s="275"/>
      <c r="C3" s="275"/>
      <c r="D3" s="275"/>
      <c r="E3" s="275"/>
      <c r="F3" s="275"/>
      <c r="G3" s="275"/>
      <c r="H3" s="275"/>
      <c r="I3" s="275"/>
      <c r="J3" s="275"/>
      <c r="K3" s="275"/>
      <c r="L3" s="275"/>
      <c r="M3" s="275"/>
    </row>
    <row r="4" spans="1:14" x14ac:dyDescent="0.2">
      <c r="A4" s="144"/>
      <c r="B4" s="695" t="s">
        <v>0</v>
      </c>
      <c r="C4" s="696"/>
      <c r="D4" s="696"/>
      <c r="E4" s="277"/>
      <c r="F4" s="695" t="s">
        <v>1</v>
      </c>
      <c r="G4" s="696"/>
      <c r="H4" s="696"/>
      <c r="I4" s="280"/>
      <c r="J4" s="695" t="s">
        <v>2</v>
      </c>
      <c r="K4" s="696"/>
      <c r="L4" s="696"/>
      <c r="M4" s="280"/>
    </row>
    <row r="5" spans="1:14" x14ac:dyDescent="0.2">
      <c r="A5" s="158"/>
      <c r="B5" s="152" t="s">
        <v>412</v>
      </c>
      <c r="C5" s="152" t="s">
        <v>413</v>
      </c>
      <c r="D5" s="222" t="s">
        <v>3</v>
      </c>
      <c r="E5" s="281" t="s">
        <v>29</v>
      </c>
      <c r="F5" s="152" t="s">
        <v>412</v>
      </c>
      <c r="G5" s="152" t="s">
        <v>413</v>
      </c>
      <c r="H5" s="222" t="s">
        <v>3</v>
      </c>
      <c r="I5" s="162" t="s">
        <v>29</v>
      </c>
      <c r="J5" s="152" t="s">
        <v>412</v>
      </c>
      <c r="K5" s="152" t="s">
        <v>413</v>
      </c>
      <c r="L5" s="222" t="s">
        <v>3</v>
      </c>
      <c r="M5" s="162" t="s">
        <v>29</v>
      </c>
    </row>
    <row r="6" spans="1:14" x14ac:dyDescent="0.2">
      <c r="A6" s="661"/>
      <c r="B6" s="156"/>
      <c r="C6" s="156"/>
      <c r="D6" s="223" t="s">
        <v>4</v>
      </c>
      <c r="E6" s="156" t="s">
        <v>30</v>
      </c>
      <c r="F6" s="161"/>
      <c r="G6" s="161"/>
      <c r="H6" s="222" t="s">
        <v>4</v>
      </c>
      <c r="I6" s="156" t="s">
        <v>30</v>
      </c>
      <c r="J6" s="161"/>
      <c r="K6" s="161"/>
      <c r="L6" s="222" t="s">
        <v>4</v>
      </c>
      <c r="M6" s="156" t="s">
        <v>30</v>
      </c>
    </row>
    <row r="7" spans="1:14" ht="15.75" x14ac:dyDescent="0.2">
      <c r="A7" s="14" t="s">
        <v>23</v>
      </c>
      <c r="B7" s="282"/>
      <c r="C7" s="283"/>
      <c r="D7" s="326"/>
      <c r="E7" s="11"/>
      <c r="F7" s="282"/>
      <c r="G7" s="283"/>
      <c r="H7" s="326"/>
      <c r="I7" s="160"/>
      <c r="J7" s="284"/>
      <c r="K7" s="285"/>
      <c r="L7" s="401"/>
      <c r="M7" s="11"/>
    </row>
    <row r="8" spans="1:14" ht="15.75" x14ac:dyDescent="0.2">
      <c r="A8" s="21" t="s">
        <v>25</v>
      </c>
      <c r="B8" s="258"/>
      <c r="C8" s="259"/>
      <c r="D8" s="166"/>
      <c r="E8" s="27"/>
      <c r="F8" s="262"/>
      <c r="G8" s="263"/>
      <c r="H8" s="166"/>
      <c r="I8" s="175"/>
      <c r="J8" s="211"/>
      <c r="K8" s="264"/>
      <c r="L8" s="166"/>
      <c r="M8" s="27"/>
    </row>
    <row r="9" spans="1:14" ht="15.75" x14ac:dyDescent="0.2">
      <c r="A9" s="21" t="s">
        <v>24</v>
      </c>
      <c r="B9" s="258"/>
      <c r="C9" s="259"/>
      <c r="D9" s="166"/>
      <c r="E9" s="27"/>
      <c r="F9" s="262"/>
      <c r="G9" s="263"/>
      <c r="H9" s="166"/>
      <c r="I9" s="175"/>
      <c r="J9" s="211"/>
      <c r="K9" s="264"/>
      <c r="L9" s="166"/>
      <c r="M9" s="27"/>
    </row>
    <row r="10" spans="1:14" ht="15.75" x14ac:dyDescent="0.2">
      <c r="A10" s="13" t="s">
        <v>341</v>
      </c>
      <c r="B10" s="286"/>
      <c r="C10" s="287"/>
      <c r="D10" s="171"/>
      <c r="E10" s="11"/>
      <c r="F10" s="286"/>
      <c r="G10" s="287"/>
      <c r="H10" s="171"/>
      <c r="I10" s="160"/>
      <c r="J10" s="284"/>
      <c r="K10" s="285"/>
      <c r="L10" s="402"/>
      <c r="M10" s="11"/>
    </row>
    <row r="11" spans="1:14" s="43" customFormat="1" ht="15.75" x14ac:dyDescent="0.2">
      <c r="A11" s="13" t="s">
        <v>342</v>
      </c>
      <c r="B11" s="286"/>
      <c r="C11" s="287"/>
      <c r="D11" s="171"/>
      <c r="E11" s="11"/>
      <c r="F11" s="286"/>
      <c r="G11" s="287"/>
      <c r="H11" s="171"/>
      <c r="I11" s="160"/>
      <c r="J11" s="284"/>
      <c r="K11" s="285"/>
      <c r="L11" s="402"/>
      <c r="M11" s="11"/>
      <c r="N11" s="143"/>
    </row>
    <row r="12" spans="1:14" s="43" customFormat="1" ht="15.75" x14ac:dyDescent="0.2">
      <c r="A12" s="41" t="s">
        <v>343</v>
      </c>
      <c r="B12" s="288"/>
      <c r="C12" s="289"/>
      <c r="D12" s="169"/>
      <c r="E12" s="36"/>
      <c r="F12" s="288"/>
      <c r="G12" s="289"/>
      <c r="H12" s="169"/>
      <c r="I12" s="169"/>
      <c r="J12" s="290"/>
      <c r="K12" s="291"/>
      <c r="L12" s="403"/>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251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248</v>
      </c>
      <c r="B17" s="157"/>
      <c r="C17" s="157"/>
      <c r="D17" s="151"/>
      <c r="E17" s="151"/>
      <c r="F17" s="157"/>
      <c r="G17" s="157"/>
      <c r="H17" s="157"/>
      <c r="I17" s="157"/>
      <c r="J17" s="157"/>
      <c r="K17" s="157"/>
      <c r="L17" s="157"/>
      <c r="M17" s="157"/>
    </row>
    <row r="18" spans="1:14" ht="15.75" x14ac:dyDescent="0.25">
      <c r="B18" s="694"/>
      <c r="C18" s="694"/>
      <c r="D18" s="694"/>
      <c r="E18" s="275"/>
      <c r="F18" s="694"/>
      <c r="G18" s="694"/>
      <c r="H18" s="694"/>
      <c r="I18" s="275"/>
      <c r="J18" s="694"/>
      <c r="K18" s="694"/>
      <c r="L18" s="694"/>
      <c r="M18" s="275"/>
    </row>
    <row r="19" spans="1:14" x14ac:dyDescent="0.2">
      <c r="A19" s="144"/>
      <c r="B19" s="695" t="s">
        <v>0</v>
      </c>
      <c r="C19" s="696"/>
      <c r="D19" s="696"/>
      <c r="E19" s="277"/>
      <c r="F19" s="695" t="s">
        <v>1</v>
      </c>
      <c r="G19" s="696"/>
      <c r="H19" s="696"/>
      <c r="I19" s="280"/>
      <c r="J19" s="695" t="s">
        <v>2</v>
      </c>
      <c r="K19" s="696"/>
      <c r="L19" s="696"/>
      <c r="M19" s="280"/>
    </row>
    <row r="20" spans="1:14" x14ac:dyDescent="0.2">
      <c r="A20" s="140" t="s">
        <v>5</v>
      </c>
      <c r="B20" s="152" t="s">
        <v>412</v>
      </c>
      <c r="C20" s="152" t="s">
        <v>413</v>
      </c>
      <c r="D20" s="162" t="s">
        <v>3</v>
      </c>
      <c r="E20" s="281" t="s">
        <v>29</v>
      </c>
      <c r="F20" s="152" t="s">
        <v>412</v>
      </c>
      <c r="G20" s="152" t="s">
        <v>413</v>
      </c>
      <c r="H20" s="162" t="s">
        <v>3</v>
      </c>
      <c r="I20" s="162" t="s">
        <v>29</v>
      </c>
      <c r="J20" s="152" t="s">
        <v>412</v>
      </c>
      <c r="K20" s="152" t="s">
        <v>413</v>
      </c>
      <c r="L20" s="162" t="s">
        <v>3</v>
      </c>
      <c r="M20" s="162" t="s">
        <v>29</v>
      </c>
    </row>
    <row r="21" spans="1:14" x14ac:dyDescent="0.2">
      <c r="A21" s="662"/>
      <c r="B21" s="156"/>
      <c r="C21" s="156"/>
      <c r="D21" s="223" t="s">
        <v>4</v>
      </c>
      <c r="E21" s="156" t="s">
        <v>30</v>
      </c>
      <c r="F21" s="161"/>
      <c r="G21" s="161"/>
      <c r="H21" s="222" t="s">
        <v>4</v>
      </c>
      <c r="I21" s="156" t="s">
        <v>30</v>
      </c>
      <c r="J21" s="161"/>
      <c r="K21" s="161"/>
      <c r="L21" s="156" t="s">
        <v>4</v>
      </c>
      <c r="M21" s="156" t="s">
        <v>30</v>
      </c>
    </row>
    <row r="22" spans="1:14" ht="15.75" x14ac:dyDescent="0.2">
      <c r="A22" s="14" t="s">
        <v>23</v>
      </c>
      <c r="B22" s="286"/>
      <c r="C22" s="286"/>
      <c r="D22" s="326"/>
      <c r="E22" s="11"/>
      <c r="F22" s="294"/>
      <c r="G22" s="294"/>
      <c r="H22" s="326"/>
      <c r="I22" s="11"/>
      <c r="J22" s="292"/>
      <c r="K22" s="292"/>
      <c r="L22" s="401"/>
      <c r="M22" s="24"/>
    </row>
    <row r="23" spans="1:14" ht="15.75" x14ac:dyDescent="0.2">
      <c r="A23" s="545" t="s">
        <v>344</v>
      </c>
      <c r="B23" s="258"/>
      <c r="C23" s="258"/>
      <c r="D23" s="166"/>
      <c r="E23" s="11"/>
      <c r="F23" s="267"/>
      <c r="G23" s="267"/>
      <c r="H23" s="166"/>
      <c r="I23" s="391"/>
      <c r="J23" s="267"/>
      <c r="K23" s="267"/>
      <c r="L23" s="166"/>
      <c r="M23" s="23"/>
    </row>
    <row r="24" spans="1:14" ht="15.75" x14ac:dyDescent="0.2">
      <c r="A24" s="545" t="s">
        <v>345</v>
      </c>
      <c r="B24" s="258"/>
      <c r="C24" s="258"/>
      <c r="D24" s="166"/>
      <c r="E24" s="11"/>
      <c r="F24" s="267"/>
      <c r="G24" s="267"/>
      <c r="H24" s="166"/>
      <c r="I24" s="391"/>
      <c r="J24" s="267"/>
      <c r="K24" s="267"/>
      <c r="L24" s="166"/>
      <c r="M24" s="23"/>
    </row>
    <row r="25" spans="1:14" ht="15.75" x14ac:dyDescent="0.2">
      <c r="A25" s="545" t="s">
        <v>346</v>
      </c>
      <c r="B25" s="258"/>
      <c r="C25" s="258"/>
      <c r="D25" s="166"/>
      <c r="E25" s="11"/>
      <c r="F25" s="267"/>
      <c r="G25" s="267"/>
      <c r="H25" s="166"/>
      <c r="I25" s="391"/>
      <c r="J25" s="267"/>
      <c r="K25" s="267"/>
      <c r="L25" s="166"/>
      <c r="M25" s="23"/>
    </row>
    <row r="26" spans="1:14" ht="15.75" x14ac:dyDescent="0.2">
      <c r="A26" s="545" t="s">
        <v>347</v>
      </c>
      <c r="B26" s="258"/>
      <c r="C26" s="258"/>
      <c r="D26" s="166"/>
      <c r="E26" s="11"/>
      <c r="F26" s="267"/>
      <c r="G26" s="267"/>
      <c r="H26" s="166"/>
      <c r="I26" s="391"/>
      <c r="J26" s="267"/>
      <c r="K26" s="267"/>
      <c r="L26" s="166"/>
      <c r="M26" s="23"/>
    </row>
    <row r="27" spans="1:14" x14ac:dyDescent="0.2">
      <c r="A27" s="545" t="s">
        <v>11</v>
      </c>
      <c r="B27" s="258"/>
      <c r="C27" s="258"/>
      <c r="D27" s="166"/>
      <c r="E27" s="11"/>
      <c r="F27" s="267"/>
      <c r="G27" s="267"/>
      <c r="H27" s="166"/>
      <c r="I27" s="391"/>
      <c r="J27" s="267"/>
      <c r="K27" s="267"/>
      <c r="L27" s="166"/>
      <c r="M27" s="23"/>
    </row>
    <row r="28" spans="1:14" ht="15.75" x14ac:dyDescent="0.2">
      <c r="A28" s="49" t="s">
        <v>252</v>
      </c>
      <c r="B28" s="44"/>
      <c r="C28" s="264"/>
      <c r="D28" s="166"/>
      <c r="E28" s="11"/>
      <c r="F28" s="211"/>
      <c r="G28" s="264"/>
      <c r="H28" s="166"/>
      <c r="I28" s="27"/>
      <c r="J28" s="44"/>
      <c r="K28" s="44"/>
      <c r="L28" s="231"/>
      <c r="M28" s="23"/>
    </row>
    <row r="29" spans="1:14" s="3" customFormat="1" ht="15.75" x14ac:dyDescent="0.2">
      <c r="A29" s="13" t="s">
        <v>341</v>
      </c>
      <c r="B29" s="213"/>
      <c r="C29" s="213"/>
      <c r="D29" s="171"/>
      <c r="E29" s="11"/>
      <c r="F29" s="284"/>
      <c r="G29" s="284"/>
      <c r="H29" s="171"/>
      <c r="I29" s="11"/>
      <c r="J29" s="213"/>
      <c r="K29" s="213"/>
      <c r="L29" s="402"/>
      <c r="M29" s="24"/>
      <c r="N29" s="148"/>
    </row>
    <row r="30" spans="1:14" s="3" customFormat="1" ht="15.75" x14ac:dyDescent="0.2">
      <c r="A30" s="545" t="s">
        <v>344</v>
      </c>
      <c r="B30" s="258"/>
      <c r="C30" s="258"/>
      <c r="D30" s="166"/>
      <c r="E30" s="11"/>
      <c r="F30" s="267"/>
      <c r="G30" s="267"/>
      <c r="H30" s="166"/>
      <c r="I30" s="391"/>
      <c r="J30" s="267"/>
      <c r="K30" s="267"/>
      <c r="L30" s="166"/>
      <c r="M30" s="23"/>
      <c r="N30" s="148"/>
    </row>
    <row r="31" spans="1:14" s="3" customFormat="1" ht="15.75" x14ac:dyDescent="0.2">
      <c r="A31" s="545" t="s">
        <v>345</v>
      </c>
      <c r="B31" s="258"/>
      <c r="C31" s="258"/>
      <c r="D31" s="166"/>
      <c r="E31" s="11"/>
      <c r="F31" s="267"/>
      <c r="G31" s="267"/>
      <c r="H31" s="166"/>
      <c r="I31" s="391"/>
      <c r="J31" s="267"/>
      <c r="K31" s="267"/>
      <c r="L31" s="166"/>
      <c r="M31" s="23"/>
      <c r="N31" s="148"/>
    </row>
    <row r="32" spans="1:14" ht="15.75" x14ac:dyDescent="0.2">
      <c r="A32" s="545" t="s">
        <v>346</v>
      </c>
      <c r="B32" s="258"/>
      <c r="C32" s="258"/>
      <c r="D32" s="166"/>
      <c r="E32" s="11"/>
      <c r="F32" s="267"/>
      <c r="G32" s="267"/>
      <c r="H32" s="166"/>
      <c r="I32" s="391"/>
      <c r="J32" s="267"/>
      <c r="K32" s="267"/>
      <c r="L32" s="166"/>
      <c r="M32" s="23"/>
    </row>
    <row r="33" spans="1:14" ht="15.75" x14ac:dyDescent="0.2">
      <c r="A33" s="545" t="s">
        <v>347</v>
      </c>
      <c r="B33" s="258"/>
      <c r="C33" s="258"/>
      <c r="D33" s="166"/>
      <c r="E33" s="11"/>
      <c r="F33" s="267"/>
      <c r="G33" s="267"/>
      <c r="H33" s="166"/>
      <c r="I33" s="391"/>
      <c r="J33" s="267"/>
      <c r="K33" s="267"/>
      <c r="L33" s="166"/>
      <c r="M33" s="23"/>
    </row>
    <row r="34" spans="1:14" ht="15.75" x14ac:dyDescent="0.2">
      <c r="A34" s="13" t="s">
        <v>342</v>
      </c>
      <c r="B34" s="213"/>
      <c r="C34" s="285"/>
      <c r="D34" s="171"/>
      <c r="E34" s="11"/>
      <c r="F34" s="284"/>
      <c r="G34" s="285"/>
      <c r="H34" s="171"/>
      <c r="I34" s="11"/>
      <c r="J34" s="213"/>
      <c r="K34" s="213"/>
      <c r="L34" s="402"/>
      <c r="M34" s="24"/>
    </row>
    <row r="35" spans="1:14" ht="15.75" x14ac:dyDescent="0.2">
      <c r="A35" s="13" t="s">
        <v>343</v>
      </c>
      <c r="B35" s="213"/>
      <c r="C35" s="285"/>
      <c r="D35" s="171"/>
      <c r="E35" s="11"/>
      <c r="F35" s="284"/>
      <c r="G35" s="285"/>
      <c r="H35" s="171"/>
      <c r="I35" s="11"/>
      <c r="J35" s="213"/>
      <c r="K35" s="213"/>
      <c r="L35" s="402"/>
      <c r="M35" s="24"/>
    </row>
    <row r="36" spans="1:14" ht="15.75" x14ac:dyDescent="0.2">
      <c r="A36" s="12" t="s">
        <v>260</v>
      </c>
      <c r="B36" s="213"/>
      <c r="C36" s="285"/>
      <c r="D36" s="171"/>
      <c r="E36" s="11"/>
      <c r="F36" s="295"/>
      <c r="G36" s="296"/>
      <c r="H36" s="171"/>
      <c r="I36" s="408"/>
      <c r="J36" s="213"/>
      <c r="K36" s="213"/>
      <c r="L36" s="402"/>
      <c r="M36" s="24"/>
    </row>
    <row r="37" spans="1:14" ht="15.75" x14ac:dyDescent="0.2">
      <c r="A37" s="12" t="s">
        <v>349</v>
      </c>
      <c r="B37" s="213"/>
      <c r="C37" s="285"/>
      <c r="D37" s="171"/>
      <c r="E37" s="11"/>
      <c r="F37" s="295"/>
      <c r="G37" s="297"/>
      <c r="H37" s="171"/>
      <c r="I37" s="408"/>
      <c r="J37" s="213"/>
      <c r="K37" s="213"/>
      <c r="L37" s="402"/>
      <c r="M37" s="24"/>
    </row>
    <row r="38" spans="1:14" ht="15.75" x14ac:dyDescent="0.2">
      <c r="A38" s="12" t="s">
        <v>350</v>
      </c>
      <c r="B38" s="213"/>
      <c r="C38" s="285"/>
      <c r="D38" s="171"/>
      <c r="E38" s="24"/>
      <c r="F38" s="295"/>
      <c r="G38" s="296"/>
      <c r="H38" s="171"/>
      <c r="I38" s="408"/>
      <c r="J38" s="213"/>
      <c r="K38" s="213"/>
      <c r="L38" s="402"/>
      <c r="M38" s="24"/>
    </row>
    <row r="39" spans="1:14" ht="15.75" x14ac:dyDescent="0.2">
      <c r="A39" s="18" t="s">
        <v>351</v>
      </c>
      <c r="B39" s="253"/>
      <c r="C39" s="291"/>
      <c r="D39" s="169"/>
      <c r="E39" s="36"/>
      <c r="F39" s="298"/>
      <c r="G39" s="299"/>
      <c r="H39" s="169"/>
      <c r="I39" s="36"/>
      <c r="J39" s="213"/>
      <c r="K39" s="213"/>
      <c r="L39" s="403"/>
      <c r="M39" s="36"/>
    </row>
    <row r="40" spans="1:14" ht="15.75" x14ac:dyDescent="0.25">
      <c r="A40" s="47"/>
      <c r="B40" s="230"/>
      <c r="C40" s="230"/>
      <c r="D40" s="698"/>
      <c r="E40" s="698"/>
      <c r="F40" s="698"/>
      <c r="G40" s="698"/>
      <c r="H40" s="698"/>
      <c r="I40" s="698"/>
      <c r="J40" s="698"/>
      <c r="K40" s="698"/>
      <c r="L40" s="698"/>
      <c r="M40" s="278"/>
    </row>
    <row r="41" spans="1:14" x14ac:dyDescent="0.2">
      <c r="A41" s="155"/>
    </row>
    <row r="42" spans="1:14" ht="15.75" x14ac:dyDescent="0.25">
      <c r="A42" s="147" t="s">
        <v>249</v>
      </c>
      <c r="B42" s="699"/>
      <c r="C42" s="699"/>
      <c r="D42" s="699"/>
      <c r="E42" s="275"/>
      <c r="F42" s="700"/>
      <c r="G42" s="700"/>
      <c r="H42" s="700"/>
      <c r="I42" s="278"/>
      <c r="J42" s="700"/>
      <c r="K42" s="700"/>
      <c r="L42" s="700"/>
      <c r="M42" s="278"/>
    </row>
    <row r="43" spans="1:14" ht="15.75" x14ac:dyDescent="0.25">
      <c r="A43" s="163"/>
      <c r="B43" s="279"/>
      <c r="C43" s="279"/>
      <c r="D43" s="279"/>
      <c r="E43" s="279"/>
      <c r="F43" s="278"/>
      <c r="G43" s="278"/>
      <c r="H43" s="278"/>
      <c r="I43" s="278"/>
      <c r="J43" s="278"/>
      <c r="K43" s="278"/>
      <c r="L43" s="278"/>
      <c r="M43" s="278"/>
    </row>
    <row r="44" spans="1:14" ht="15.75" x14ac:dyDescent="0.25">
      <c r="A44" s="224"/>
      <c r="B44" s="695" t="s">
        <v>0</v>
      </c>
      <c r="C44" s="696"/>
      <c r="D44" s="696"/>
      <c r="E44" s="220"/>
      <c r="F44" s="278"/>
      <c r="G44" s="278"/>
      <c r="H44" s="278"/>
      <c r="I44" s="278"/>
      <c r="J44" s="278"/>
      <c r="K44" s="278"/>
      <c r="L44" s="278"/>
      <c r="M44" s="278"/>
    </row>
    <row r="45" spans="1:14" s="3" customFormat="1" x14ac:dyDescent="0.2">
      <c r="A45" s="140"/>
      <c r="B45" s="152" t="s">
        <v>412</v>
      </c>
      <c r="C45" s="152" t="s">
        <v>413</v>
      </c>
      <c r="D45" s="162" t="s">
        <v>3</v>
      </c>
      <c r="E45" s="162" t="s">
        <v>29</v>
      </c>
      <c r="F45" s="174"/>
      <c r="G45" s="174"/>
      <c r="H45" s="173"/>
      <c r="I45" s="173"/>
      <c r="J45" s="174"/>
      <c r="K45" s="174"/>
      <c r="L45" s="173"/>
      <c r="M45" s="173"/>
      <c r="N45" s="148"/>
    </row>
    <row r="46" spans="1:14" s="3" customFormat="1" x14ac:dyDescent="0.2">
      <c r="A46" s="662"/>
      <c r="B46" s="221"/>
      <c r="C46" s="221"/>
      <c r="D46" s="222" t="s">
        <v>4</v>
      </c>
      <c r="E46" s="156" t="s">
        <v>30</v>
      </c>
      <c r="F46" s="173"/>
      <c r="G46" s="173"/>
      <c r="H46" s="173"/>
      <c r="I46" s="173"/>
      <c r="J46" s="173"/>
      <c r="K46" s="173"/>
      <c r="L46" s="173"/>
      <c r="M46" s="173"/>
      <c r="N46" s="148"/>
    </row>
    <row r="47" spans="1:14" s="3" customFormat="1" ht="15.75" x14ac:dyDescent="0.2">
      <c r="A47" s="14" t="s">
        <v>23</v>
      </c>
      <c r="B47" s="286"/>
      <c r="C47" s="287"/>
      <c r="D47" s="401"/>
      <c r="E47" s="11"/>
      <c r="F47" s="145"/>
      <c r="G47" s="33"/>
      <c r="H47" s="159"/>
      <c r="I47" s="159"/>
      <c r="J47" s="37"/>
      <c r="K47" s="37"/>
      <c r="L47" s="159"/>
      <c r="M47" s="159"/>
      <c r="N47" s="148"/>
    </row>
    <row r="48" spans="1:14" s="3" customFormat="1" ht="15.75" x14ac:dyDescent="0.2">
      <c r="A48" s="38" t="s">
        <v>352</v>
      </c>
      <c r="B48" s="258"/>
      <c r="C48" s="259"/>
      <c r="D48" s="231"/>
      <c r="E48" s="27"/>
      <c r="F48" s="145"/>
      <c r="G48" s="33"/>
      <c r="H48" s="145"/>
      <c r="I48" s="145"/>
      <c r="J48" s="33"/>
      <c r="K48" s="33"/>
      <c r="L48" s="159"/>
      <c r="M48" s="159"/>
      <c r="N48" s="148"/>
    </row>
    <row r="49" spans="1:14" s="3" customFormat="1" ht="15.75" x14ac:dyDescent="0.2">
      <c r="A49" s="38" t="s">
        <v>353</v>
      </c>
      <c r="B49" s="44"/>
      <c r="C49" s="264"/>
      <c r="D49" s="231"/>
      <c r="E49" s="27"/>
      <c r="F49" s="145"/>
      <c r="G49" s="33"/>
      <c r="H49" s="145"/>
      <c r="I49" s="145"/>
      <c r="J49" s="37"/>
      <c r="K49" s="37"/>
      <c r="L49" s="159"/>
      <c r="M49" s="159"/>
      <c r="N49" s="148"/>
    </row>
    <row r="50" spans="1:14" s="3" customFormat="1" x14ac:dyDescent="0.2">
      <c r="A50" s="272" t="s">
        <v>6</v>
      </c>
      <c r="B50" s="295"/>
      <c r="C50" s="295"/>
      <c r="D50" s="231"/>
      <c r="E50" s="23"/>
      <c r="F50" s="145"/>
      <c r="G50" s="33"/>
      <c r="H50" s="145"/>
      <c r="I50" s="145"/>
      <c r="J50" s="33"/>
      <c r="K50" s="33"/>
      <c r="L50" s="159"/>
      <c r="M50" s="159"/>
      <c r="N50" s="148"/>
    </row>
    <row r="51" spans="1:14" s="3" customFormat="1" x14ac:dyDescent="0.2">
      <c r="A51" s="272" t="s">
        <v>7</v>
      </c>
      <c r="B51" s="295"/>
      <c r="C51" s="295"/>
      <c r="D51" s="231"/>
      <c r="E51" s="23"/>
      <c r="F51" s="145"/>
      <c r="G51" s="33"/>
      <c r="H51" s="145"/>
      <c r="I51" s="145"/>
      <c r="J51" s="33"/>
      <c r="K51" s="33"/>
      <c r="L51" s="159"/>
      <c r="M51" s="159"/>
      <c r="N51" s="148"/>
    </row>
    <row r="52" spans="1:14" s="3" customFormat="1" x14ac:dyDescent="0.2">
      <c r="A52" s="272" t="s">
        <v>8</v>
      </c>
      <c r="B52" s="295"/>
      <c r="C52" s="295"/>
      <c r="D52" s="231"/>
      <c r="E52" s="23"/>
      <c r="F52" s="145"/>
      <c r="G52" s="33"/>
      <c r="H52" s="145"/>
      <c r="I52" s="145"/>
      <c r="J52" s="33"/>
      <c r="K52" s="33"/>
      <c r="L52" s="159"/>
      <c r="M52" s="159"/>
      <c r="N52" s="148"/>
    </row>
    <row r="53" spans="1:14" s="3" customFormat="1" ht="15.75" x14ac:dyDescent="0.2">
      <c r="A53" s="39" t="s">
        <v>354</v>
      </c>
      <c r="B53" s="286"/>
      <c r="C53" s="287"/>
      <c r="D53" s="402"/>
      <c r="E53" s="11"/>
      <c r="F53" s="145"/>
      <c r="G53" s="33"/>
      <c r="H53" s="145"/>
      <c r="I53" s="145"/>
      <c r="J53" s="33"/>
      <c r="K53" s="33"/>
      <c r="L53" s="159"/>
      <c r="M53" s="159"/>
      <c r="N53" s="148"/>
    </row>
    <row r="54" spans="1:14" s="3" customFormat="1" ht="15.75" x14ac:dyDescent="0.2">
      <c r="A54" s="38" t="s">
        <v>352</v>
      </c>
      <c r="B54" s="258"/>
      <c r="C54" s="259"/>
      <c r="D54" s="231"/>
      <c r="E54" s="27"/>
      <c r="F54" s="145"/>
      <c r="G54" s="33"/>
      <c r="H54" s="145"/>
      <c r="I54" s="145"/>
      <c r="J54" s="33"/>
      <c r="K54" s="33"/>
      <c r="L54" s="159"/>
      <c r="M54" s="159"/>
      <c r="N54" s="148"/>
    </row>
    <row r="55" spans="1:14" s="3" customFormat="1" ht="15.75" x14ac:dyDescent="0.2">
      <c r="A55" s="38" t="s">
        <v>353</v>
      </c>
      <c r="B55" s="258"/>
      <c r="C55" s="259"/>
      <c r="D55" s="231"/>
      <c r="E55" s="27"/>
      <c r="F55" s="145"/>
      <c r="G55" s="33"/>
      <c r="H55" s="145"/>
      <c r="I55" s="145"/>
      <c r="J55" s="33"/>
      <c r="K55" s="33"/>
      <c r="L55" s="159"/>
      <c r="M55" s="159"/>
      <c r="N55" s="148"/>
    </row>
    <row r="56" spans="1:14" s="3" customFormat="1" ht="15.75" x14ac:dyDescent="0.2">
      <c r="A56" s="39" t="s">
        <v>355</v>
      </c>
      <c r="B56" s="286"/>
      <c r="C56" s="287"/>
      <c r="D56" s="402"/>
      <c r="E56" s="11"/>
      <c r="F56" s="145"/>
      <c r="G56" s="33"/>
      <c r="H56" s="145"/>
      <c r="I56" s="145"/>
      <c r="J56" s="33"/>
      <c r="K56" s="33"/>
      <c r="L56" s="159"/>
      <c r="M56" s="159"/>
      <c r="N56" s="148"/>
    </row>
    <row r="57" spans="1:14" s="3" customFormat="1" ht="15.75" x14ac:dyDescent="0.2">
      <c r="A57" s="38" t="s">
        <v>352</v>
      </c>
      <c r="B57" s="258"/>
      <c r="C57" s="259"/>
      <c r="D57" s="231"/>
      <c r="E57" s="27"/>
      <c r="F57" s="145"/>
      <c r="G57" s="33"/>
      <c r="H57" s="145"/>
      <c r="I57" s="145"/>
      <c r="J57" s="33"/>
      <c r="K57" s="33"/>
      <c r="L57" s="159"/>
      <c r="M57" s="159"/>
      <c r="N57" s="148"/>
    </row>
    <row r="58" spans="1:14" s="3" customFormat="1" ht="15.75" x14ac:dyDescent="0.2">
      <c r="A58" s="46" t="s">
        <v>353</v>
      </c>
      <c r="B58" s="260"/>
      <c r="C58" s="261"/>
      <c r="D58" s="232"/>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250</v>
      </c>
      <c r="C61" s="26"/>
      <c r="D61" s="26"/>
      <c r="E61" s="26"/>
      <c r="F61" s="26"/>
      <c r="G61" s="26"/>
      <c r="H61" s="26"/>
      <c r="I61" s="26"/>
      <c r="J61" s="26"/>
      <c r="K61" s="26"/>
      <c r="L61" s="26"/>
      <c r="M61" s="26"/>
    </row>
    <row r="62" spans="1:14" ht="15.75" x14ac:dyDescent="0.25">
      <c r="B62" s="694"/>
      <c r="C62" s="694"/>
      <c r="D62" s="694"/>
      <c r="E62" s="275"/>
      <c r="F62" s="694"/>
      <c r="G62" s="694"/>
      <c r="H62" s="694"/>
      <c r="I62" s="275"/>
      <c r="J62" s="694"/>
      <c r="K62" s="694"/>
      <c r="L62" s="694"/>
      <c r="M62" s="275"/>
    </row>
    <row r="63" spans="1:14" x14ac:dyDescent="0.2">
      <c r="A63" s="144"/>
      <c r="B63" s="695" t="s">
        <v>0</v>
      </c>
      <c r="C63" s="696"/>
      <c r="D63" s="697"/>
      <c r="E63" s="276"/>
      <c r="F63" s="696" t="s">
        <v>1</v>
      </c>
      <c r="G63" s="696"/>
      <c r="H63" s="696"/>
      <c r="I63" s="280"/>
      <c r="J63" s="695" t="s">
        <v>2</v>
      </c>
      <c r="K63" s="696"/>
      <c r="L63" s="696"/>
      <c r="M63" s="280"/>
    </row>
    <row r="64" spans="1:14" x14ac:dyDescent="0.2">
      <c r="A64" s="140"/>
      <c r="B64" s="152" t="s">
        <v>412</v>
      </c>
      <c r="C64" s="152" t="s">
        <v>413</v>
      </c>
      <c r="D64" s="222" t="s">
        <v>3</v>
      </c>
      <c r="E64" s="281" t="s">
        <v>29</v>
      </c>
      <c r="F64" s="152" t="s">
        <v>412</v>
      </c>
      <c r="G64" s="152" t="s">
        <v>413</v>
      </c>
      <c r="H64" s="222" t="s">
        <v>3</v>
      </c>
      <c r="I64" s="281" t="s">
        <v>29</v>
      </c>
      <c r="J64" s="152" t="s">
        <v>412</v>
      </c>
      <c r="K64" s="152" t="s">
        <v>413</v>
      </c>
      <c r="L64" s="222" t="s">
        <v>3</v>
      </c>
      <c r="M64" s="162" t="s">
        <v>29</v>
      </c>
    </row>
    <row r="65" spans="1:14" x14ac:dyDescent="0.2">
      <c r="A65" s="662"/>
      <c r="B65" s="156"/>
      <c r="C65" s="156"/>
      <c r="D65" s="223" t="s">
        <v>4</v>
      </c>
      <c r="E65" s="156" t="s">
        <v>30</v>
      </c>
      <c r="F65" s="161"/>
      <c r="G65" s="161"/>
      <c r="H65" s="222" t="s">
        <v>4</v>
      </c>
      <c r="I65" s="156" t="s">
        <v>30</v>
      </c>
      <c r="J65" s="161"/>
      <c r="K65" s="203"/>
      <c r="L65" s="156" t="s">
        <v>4</v>
      </c>
      <c r="M65" s="156" t="s">
        <v>30</v>
      </c>
    </row>
    <row r="66" spans="1:14" ht="15.75" x14ac:dyDescent="0.2">
      <c r="A66" s="14" t="s">
        <v>23</v>
      </c>
      <c r="B66" s="329">
        <v>24444</v>
      </c>
      <c r="C66" s="329"/>
      <c r="D66" s="326">
        <f>IF(B66=0, "    ---- ", IF(ABS(ROUND(100/B66*C66-100,1))&lt;999,ROUND(100/B66*C66-100,1),IF(ROUND(100/B66*C66-100,1)&gt;999,999,-999)))</f>
        <v>-100</v>
      </c>
      <c r="E66" s="11">
        <f>IFERROR(100/'Skjema total MA'!C66*C66,0)</f>
        <v>0</v>
      </c>
      <c r="F66" s="328">
        <v>155790</v>
      </c>
      <c r="G66" s="328"/>
      <c r="H66" s="326">
        <f>IF(F66=0, "    ---- ", IF(ABS(ROUND(100/F66*G66-100,1))&lt;999,ROUND(100/F66*G66-100,1),IF(ROUND(100/F66*G66-100,1)&gt;999,999,-999)))</f>
        <v>-100</v>
      </c>
      <c r="I66" s="24">
        <f>IFERROR(100/'Skjema total MA'!F66*G66,0)</f>
        <v>0</v>
      </c>
      <c r="J66" s="159">
        <f t="shared" ref="J66:K68" si="0">SUM(B66,F66)</f>
        <v>180234</v>
      </c>
      <c r="K66" s="292">
        <f t="shared" si="0"/>
        <v>0</v>
      </c>
      <c r="L66" s="402">
        <f>IF(J66=0, "    ---- ", IF(ABS(ROUND(100/J66*K66-100,1))&lt;999,ROUND(100/J66*K66-100,1),IF(ROUND(100/J66*K66-100,1)&gt;999,999,-999)))</f>
        <v>-100</v>
      </c>
      <c r="M66" s="11">
        <f>IFERROR(100/'Skjema total MA'!I66*K66,0)</f>
        <v>0</v>
      </c>
    </row>
    <row r="67" spans="1:14" x14ac:dyDescent="0.2">
      <c r="A67" s="393" t="s">
        <v>9</v>
      </c>
      <c r="B67" s="44">
        <v>24444</v>
      </c>
      <c r="C67" s="145"/>
      <c r="D67" s="166">
        <f>IF(B67=0, "    ---- ", IF(ABS(ROUND(100/B67*C67-100,1))&lt;999,ROUND(100/B67*C67-100,1),IF(ROUND(100/B67*C67-100,1)&gt;999,999,-999)))</f>
        <v>-100</v>
      </c>
      <c r="E67" s="23">
        <f>IFERROR(100/'Skjema total MA'!C67*C67,0)</f>
        <v>0</v>
      </c>
      <c r="F67" s="211"/>
      <c r="G67" s="145"/>
      <c r="H67" s="166"/>
      <c r="I67" s="23"/>
      <c r="J67" s="145">
        <f t="shared" si="0"/>
        <v>24444</v>
      </c>
      <c r="K67" s="44">
        <f t="shared" si="0"/>
        <v>0</v>
      </c>
      <c r="L67" s="231">
        <f>IF(J67=0, "    ---- ", IF(ABS(ROUND(100/J67*K67-100,1))&lt;999,ROUND(100/J67*K67-100,1),IF(ROUND(100/J67*K67-100,1)&gt;999,999,-999)))</f>
        <v>-100</v>
      </c>
      <c r="M67" s="27">
        <f>IFERROR(100/'Skjema total MA'!I67*K67,0)</f>
        <v>0</v>
      </c>
    </row>
    <row r="68" spans="1:14" x14ac:dyDescent="0.2">
      <c r="A68" s="21" t="s">
        <v>10</v>
      </c>
      <c r="B68" s="268"/>
      <c r="C68" s="269"/>
      <c r="D68" s="166"/>
      <c r="E68" s="23"/>
      <c r="F68" s="268">
        <v>155790</v>
      </c>
      <c r="G68" s="269"/>
      <c r="H68" s="166">
        <f>IF(F68=0, "    ---- ", IF(ABS(ROUND(100/F68*G68-100,1))&lt;999,ROUND(100/F68*G68-100,1),IF(ROUND(100/F68*G68-100,1)&gt;999,999,-999)))</f>
        <v>-100</v>
      </c>
      <c r="I68" s="23">
        <f>IFERROR(100/'Skjema total MA'!F68*G68,0)</f>
        <v>0</v>
      </c>
      <c r="J68" s="145">
        <f t="shared" si="0"/>
        <v>155790</v>
      </c>
      <c r="K68" s="44">
        <f t="shared" si="0"/>
        <v>0</v>
      </c>
      <c r="L68" s="231">
        <f>IF(J68=0, "    ---- ", IF(ABS(ROUND(100/J68*K68-100,1))&lt;999,ROUND(100/J68*K68-100,1),IF(ROUND(100/J68*K68-100,1)&gt;999,999,-999)))</f>
        <v>-100</v>
      </c>
      <c r="M68" s="27">
        <f>IFERROR(100/'Skjema total MA'!I68*K68,0)</f>
        <v>0</v>
      </c>
    </row>
    <row r="69" spans="1:14" ht="15.75" x14ac:dyDescent="0.2">
      <c r="A69" s="272" t="s">
        <v>356</v>
      </c>
      <c r="B69" s="295"/>
      <c r="C69" s="295"/>
      <c r="D69" s="166"/>
      <c r="E69" s="23"/>
      <c r="F69" s="295"/>
      <c r="G69" s="295"/>
      <c r="H69" s="166"/>
      <c r="I69" s="23"/>
      <c r="J69" s="295"/>
      <c r="K69" s="295"/>
      <c r="L69" s="166"/>
      <c r="M69" s="23"/>
    </row>
    <row r="70" spans="1:14" x14ac:dyDescent="0.2">
      <c r="A70" s="272" t="s">
        <v>12</v>
      </c>
      <c r="B70" s="270"/>
      <c r="C70" s="271"/>
      <c r="D70" s="166"/>
      <c r="E70" s="23"/>
      <c r="F70" s="270"/>
      <c r="G70" s="271"/>
      <c r="H70" s="166"/>
      <c r="I70" s="23"/>
      <c r="J70" s="270"/>
      <c r="K70" s="271"/>
      <c r="L70" s="166"/>
      <c r="M70" s="23"/>
    </row>
    <row r="71" spans="1:14" x14ac:dyDescent="0.2">
      <c r="A71" s="272" t="s">
        <v>13</v>
      </c>
      <c r="B71" s="212"/>
      <c r="C71" s="266"/>
      <c r="D71" s="166"/>
      <c r="E71" s="23"/>
      <c r="F71" s="212"/>
      <c r="G71" s="266"/>
      <c r="H71" s="166"/>
      <c r="I71" s="23"/>
      <c r="J71" s="212"/>
      <c r="K71" s="266"/>
      <c r="L71" s="166"/>
      <c r="M71" s="23"/>
    </row>
    <row r="72" spans="1:14" ht="15.75" x14ac:dyDescent="0.2">
      <c r="A72" s="272" t="s">
        <v>357</v>
      </c>
      <c r="B72" s="295"/>
      <c r="C72" s="295"/>
      <c r="D72" s="166"/>
      <c r="E72" s="23"/>
      <c r="F72" s="295"/>
      <c r="G72" s="295"/>
      <c r="H72" s="166"/>
      <c r="I72" s="23"/>
      <c r="J72" s="295"/>
      <c r="K72" s="295"/>
      <c r="L72" s="166"/>
      <c r="M72" s="23"/>
    </row>
    <row r="73" spans="1:14" x14ac:dyDescent="0.2">
      <c r="A73" s="272" t="s">
        <v>12</v>
      </c>
      <c r="B73" s="212"/>
      <c r="C73" s="266"/>
      <c r="D73" s="166"/>
      <c r="E73" s="23"/>
      <c r="F73" s="212"/>
      <c r="G73" s="266"/>
      <c r="H73" s="166"/>
      <c r="I73" s="23"/>
      <c r="J73" s="212"/>
      <c r="K73" s="266"/>
      <c r="L73" s="166"/>
      <c r="M73" s="23"/>
    </row>
    <row r="74" spans="1:14" s="3" customFormat="1" x14ac:dyDescent="0.2">
      <c r="A74" s="272" t="s">
        <v>13</v>
      </c>
      <c r="B74" s="212"/>
      <c r="C74" s="266"/>
      <c r="D74" s="166"/>
      <c r="E74" s="23"/>
      <c r="F74" s="212"/>
      <c r="G74" s="266"/>
      <c r="H74" s="166"/>
      <c r="I74" s="23"/>
      <c r="J74" s="212"/>
      <c r="K74" s="266"/>
      <c r="L74" s="166"/>
      <c r="M74" s="23"/>
      <c r="N74" s="148"/>
    </row>
    <row r="75" spans="1:14" s="3" customFormat="1" x14ac:dyDescent="0.2">
      <c r="A75" s="21" t="s">
        <v>326</v>
      </c>
      <c r="B75" s="211"/>
      <c r="C75" s="145"/>
      <c r="D75" s="166"/>
      <c r="E75" s="23"/>
      <c r="F75" s="211"/>
      <c r="G75" s="145"/>
      <c r="H75" s="166"/>
      <c r="I75" s="23"/>
      <c r="J75" s="145"/>
      <c r="K75" s="44"/>
      <c r="L75" s="231"/>
      <c r="M75" s="27"/>
      <c r="N75" s="148"/>
    </row>
    <row r="76" spans="1:14" s="3" customFormat="1" x14ac:dyDescent="0.2">
      <c r="A76" s="21" t="s">
        <v>325</v>
      </c>
      <c r="B76" s="211"/>
      <c r="C76" s="145"/>
      <c r="D76" s="166"/>
      <c r="E76" s="23"/>
      <c r="F76" s="211"/>
      <c r="G76" s="145"/>
      <c r="H76" s="166"/>
      <c r="I76" s="23"/>
      <c r="J76" s="145"/>
      <c r="K76" s="44"/>
      <c r="L76" s="231"/>
      <c r="M76" s="27"/>
      <c r="N76" s="148"/>
    </row>
    <row r="77" spans="1:14" ht="15.75" x14ac:dyDescent="0.2">
      <c r="A77" s="21" t="s">
        <v>358</v>
      </c>
      <c r="B77" s="211">
        <v>24444</v>
      </c>
      <c r="C77" s="211"/>
      <c r="D77" s="166">
        <f>IF(B77=0, "    ---- ", IF(ABS(ROUND(100/B77*C77-100,1))&lt;999,ROUND(100/B77*C77-100,1),IF(ROUND(100/B77*C77-100,1)&gt;999,999,-999)))</f>
        <v>-100</v>
      </c>
      <c r="E77" s="23">
        <f>IFERROR(100/'Skjema total MA'!C77*C77,0)</f>
        <v>0</v>
      </c>
      <c r="F77" s="211">
        <v>155790</v>
      </c>
      <c r="G77" s="145"/>
      <c r="H77" s="166">
        <f>IF(F77=0, "    ---- ", IF(ABS(ROUND(100/F77*G77-100,1))&lt;999,ROUND(100/F77*G77-100,1),IF(ROUND(100/F77*G77-100,1)&gt;999,999,-999)))</f>
        <v>-100</v>
      </c>
      <c r="I77" s="23">
        <f>IFERROR(100/'Skjema total MA'!F77*G77,0)</f>
        <v>0</v>
      </c>
      <c r="J77" s="145">
        <f t="shared" ref="J77:K79" si="1">SUM(B77,F77)</f>
        <v>180234</v>
      </c>
      <c r="K77" s="44">
        <f t="shared" si="1"/>
        <v>0</v>
      </c>
      <c r="L77" s="231">
        <f>IF(J77=0, "    ---- ", IF(ABS(ROUND(100/J77*K77-100,1))&lt;999,ROUND(100/J77*K77-100,1),IF(ROUND(100/J77*K77-100,1)&gt;999,999,-999)))</f>
        <v>-100</v>
      </c>
      <c r="M77" s="27">
        <f>IFERROR(100/'Skjema total MA'!I77*K77,0)</f>
        <v>0</v>
      </c>
    </row>
    <row r="78" spans="1:14" x14ac:dyDescent="0.2">
      <c r="A78" s="21" t="s">
        <v>9</v>
      </c>
      <c r="B78" s="211">
        <v>24444</v>
      </c>
      <c r="C78" s="145"/>
      <c r="D78" s="166">
        <f>IF(B78=0, "    ---- ", IF(ABS(ROUND(100/B78*C78-100,1))&lt;999,ROUND(100/B78*C78-100,1),IF(ROUND(100/B78*C78-100,1)&gt;999,999,-999)))</f>
        <v>-100</v>
      </c>
      <c r="E78" s="23">
        <f>IFERROR(100/'Skjema total MA'!C78*C78,0)</f>
        <v>0</v>
      </c>
      <c r="F78" s="211"/>
      <c r="G78" s="145"/>
      <c r="H78" s="166"/>
      <c r="I78" s="23"/>
      <c r="J78" s="145">
        <f t="shared" si="1"/>
        <v>24444</v>
      </c>
      <c r="K78" s="44">
        <f t="shared" si="1"/>
        <v>0</v>
      </c>
      <c r="L78" s="231">
        <f>IF(J78=0, "    ---- ", IF(ABS(ROUND(100/J78*K78-100,1))&lt;999,ROUND(100/J78*K78-100,1),IF(ROUND(100/J78*K78-100,1)&gt;999,999,-999)))</f>
        <v>-100</v>
      </c>
      <c r="M78" s="27">
        <f>IFERROR(100/'Skjema total MA'!I78*K78,0)</f>
        <v>0</v>
      </c>
    </row>
    <row r="79" spans="1:14" x14ac:dyDescent="0.2">
      <c r="A79" s="38" t="s">
        <v>398</v>
      </c>
      <c r="B79" s="268"/>
      <c r="C79" s="269"/>
      <c r="D79" s="166"/>
      <c r="E79" s="23"/>
      <c r="F79" s="268">
        <v>155790</v>
      </c>
      <c r="G79" s="269"/>
      <c r="H79" s="166">
        <f>IF(F79=0, "    ---- ", IF(ABS(ROUND(100/F79*G79-100,1))&lt;999,ROUND(100/F79*G79-100,1),IF(ROUND(100/F79*G79-100,1)&gt;999,999,-999)))</f>
        <v>-100</v>
      </c>
      <c r="I79" s="23">
        <f>IFERROR(100/'Skjema total MA'!F79*G79,0)</f>
        <v>0</v>
      </c>
      <c r="J79" s="145">
        <f t="shared" si="1"/>
        <v>155790</v>
      </c>
      <c r="K79" s="44">
        <f t="shared" si="1"/>
        <v>0</v>
      </c>
      <c r="L79" s="231">
        <f>IF(J79=0, "    ---- ", IF(ABS(ROUND(100/J79*K79-100,1))&lt;999,ROUND(100/J79*K79-100,1),IF(ROUND(100/J79*K79-100,1)&gt;999,999,-999)))</f>
        <v>-100</v>
      </c>
      <c r="M79" s="27">
        <f>IFERROR(100/'Skjema total MA'!I79*K79,0)</f>
        <v>0</v>
      </c>
    </row>
    <row r="80" spans="1:14" ht="15.75" x14ac:dyDescent="0.2">
      <c r="A80" s="272" t="s">
        <v>356</v>
      </c>
      <c r="B80" s="295"/>
      <c r="C80" s="295"/>
      <c r="D80" s="166"/>
      <c r="E80" s="23"/>
      <c r="F80" s="295"/>
      <c r="G80" s="295"/>
      <c r="H80" s="166"/>
      <c r="I80" s="23"/>
      <c r="J80" s="295"/>
      <c r="K80" s="295"/>
      <c r="L80" s="166"/>
      <c r="M80" s="23"/>
    </row>
    <row r="81" spans="1:13" x14ac:dyDescent="0.2">
      <c r="A81" s="272" t="s">
        <v>12</v>
      </c>
      <c r="B81" s="295"/>
      <c r="C81" s="295"/>
      <c r="D81" s="166"/>
      <c r="E81" s="23"/>
      <c r="F81" s="270"/>
      <c r="G81" s="271"/>
      <c r="H81" s="166"/>
      <c r="I81" s="23"/>
      <c r="J81" s="270"/>
      <c r="K81" s="271"/>
      <c r="L81" s="166"/>
      <c r="M81" s="23"/>
    </row>
    <row r="82" spans="1:13" x14ac:dyDescent="0.2">
      <c r="A82" s="272" t="s">
        <v>13</v>
      </c>
      <c r="B82" s="295"/>
      <c r="C82" s="295"/>
      <c r="D82" s="166"/>
      <c r="E82" s="23"/>
      <c r="F82" s="212"/>
      <c r="G82" s="266"/>
      <c r="H82" s="166"/>
      <c r="I82" s="23"/>
      <c r="J82" s="212"/>
      <c r="K82" s="266"/>
      <c r="L82" s="166"/>
      <c r="M82" s="23"/>
    </row>
    <row r="83" spans="1:13" ht="15.75" x14ac:dyDescent="0.2">
      <c r="A83" s="272" t="s">
        <v>357</v>
      </c>
      <c r="B83" s="295"/>
      <c r="C83" s="295"/>
      <c r="D83" s="166"/>
      <c r="E83" s="23"/>
      <c r="F83" s="295"/>
      <c r="G83" s="295"/>
      <c r="H83" s="166"/>
      <c r="I83" s="23"/>
      <c r="J83" s="295"/>
      <c r="K83" s="295"/>
      <c r="L83" s="166"/>
      <c r="M83" s="23"/>
    </row>
    <row r="84" spans="1:13" x14ac:dyDescent="0.2">
      <c r="A84" s="272" t="s">
        <v>12</v>
      </c>
      <c r="B84" s="212"/>
      <c r="C84" s="266"/>
      <c r="D84" s="166"/>
      <c r="E84" s="23"/>
      <c r="F84" s="212"/>
      <c r="G84" s="266"/>
      <c r="H84" s="166"/>
      <c r="I84" s="23"/>
      <c r="J84" s="212"/>
      <c r="K84" s="266"/>
      <c r="L84" s="166"/>
      <c r="M84" s="23"/>
    </row>
    <row r="85" spans="1:13" x14ac:dyDescent="0.2">
      <c r="A85" s="272" t="s">
        <v>13</v>
      </c>
      <c r="B85" s="212"/>
      <c r="C85" s="266"/>
      <c r="D85" s="166"/>
      <c r="E85" s="23"/>
      <c r="F85" s="212"/>
      <c r="G85" s="266"/>
      <c r="H85" s="166"/>
      <c r="I85" s="23"/>
      <c r="J85" s="212"/>
      <c r="K85" s="266"/>
      <c r="L85" s="166"/>
      <c r="M85" s="23"/>
    </row>
    <row r="86" spans="1:13" ht="15.75" x14ac:dyDescent="0.2">
      <c r="A86" s="21" t="s">
        <v>359</v>
      </c>
      <c r="B86" s="211"/>
      <c r="C86" s="145"/>
      <c r="D86" s="166"/>
      <c r="E86" s="23"/>
      <c r="F86" s="211"/>
      <c r="G86" s="145"/>
      <c r="H86" s="166"/>
      <c r="I86" s="23"/>
      <c r="J86" s="145"/>
      <c r="K86" s="44"/>
      <c r="L86" s="231"/>
      <c r="M86" s="27"/>
    </row>
    <row r="87" spans="1:13" ht="15.75" x14ac:dyDescent="0.2">
      <c r="A87" s="13" t="s">
        <v>341</v>
      </c>
      <c r="B87" s="329">
        <v>1780872</v>
      </c>
      <c r="C87" s="329"/>
      <c r="D87" s="171">
        <f>IF(B87=0, "    ---- ", IF(ABS(ROUND(100/B87*C87-100,1))&lt;999,ROUND(100/B87*C87-100,1),IF(ROUND(100/B87*C87-100,1)&gt;999,999,-999)))</f>
        <v>-100</v>
      </c>
      <c r="E87" s="24">
        <f>IFERROR(100/'Skjema total MA'!C87*C87,0)</f>
        <v>0</v>
      </c>
      <c r="F87" s="328">
        <v>4535748</v>
      </c>
      <c r="G87" s="328"/>
      <c r="H87" s="171">
        <f>IF(F87=0, "    ---- ", IF(ABS(ROUND(100/F87*G87-100,1))&lt;999,ROUND(100/F87*G87-100,1),IF(ROUND(100/F87*G87-100,1)&gt;999,999,-999)))</f>
        <v>-100</v>
      </c>
      <c r="I87" s="24">
        <f>IFERROR(100/'Skjema total MA'!F87*G87,0)</f>
        <v>0</v>
      </c>
      <c r="J87" s="159">
        <f t="shared" ref="J87:K89" si="2">SUM(B87,F87)</f>
        <v>6316620</v>
      </c>
      <c r="K87" s="213">
        <f t="shared" si="2"/>
        <v>0</v>
      </c>
      <c r="L87" s="402">
        <f>IF(J87=0, "    ---- ", IF(ABS(ROUND(100/J87*K87-100,1))&lt;999,ROUND(100/J87*K87-100,1),IF(ROUND(100/J87*K87-100,1)&gt;999,999,-999)))</f>
        <v>-100</v>
      </c>
      <c r="M87" s="11">
        <f>IFERROR(100/'Skjema total MA'!I87*K87,0)</f>
        <v>0</v>
      </c>
    </row>
    <row r="88" spans="1:13" x14ac:dyDescent="0.2">
      <c r="A88" s="21" t="s">
        <v>9</v>
      </c>
      <c r="B88" s="211">
        <v>1780872</v>
      </c>
      <c r="C88" s="145"/>
      <c r="D88" s="166">
        <f>IF(B88=0, "    ---- ", IF(ABS(ROUND(100/B88*C88-100,1))&lt;999,ROUND(100/B88*C88-100,1),IF(ROUND(100/B88*C88-100,1)&gt;999,999,-999)))</f>
        <v>-100</v>
      </c>
      <c r="E88" s="23">
        <f>IFERROR(100/'Skjema total MA'!C88*C88,0)</f>
        <v>0</v>
      </c>
      <c r="F88" s="211"/>
      <c r="G88" s="145"/>
      <c r="H88" s="166"/>
      <c r="I88" s="23"/>
      <c r="J88" s="145">
        <f t="shared" si="2"/>
        <v>1780872</v>
      </c>
      <c r="K88" s="44">
        <f t="shared" si="2"/>
        <v>0</v>
      </c>
      <c r="L88" s="231">
        <f>IF(J88=0, "    ---- ", IF(ABS(ROUND(100/J88*K88-100,1))&lt;999,ROUND(100/J88*K88-100,1),IF(ROUND(100/J88*K88-100,1)&gt;999,999,-999)))</f>
        <v>-100</v>
      </c>
      <c r="M88" s="27">
        <f>IFERROR(100/'Skjema total MA'!I88*K88,0)</f>
        <v>0</v>
      </c>
    </row>
    <row r="89" spans="1:13" x14ac:dyDescent="0.2">
      <c r="A89" s="21" t="s">
        <v>10</v>
      </c>
      <c r="B89" s="211"/>
      <c r="C89" s="145"/>
      <c r="D89" s="166"/>
      <c r="E89" s="23"/>
      <c r="F89" s="211">
        <v>4535748</v>
      </c>
      <c r="G89" s="145"/>
      <c r="H89" s="166">
        <f>IF(F89=0, "    ---- ", IF(ABS(ROUND(100/F89*G89-100,1))&lt;999,ROUND(100/F89*G89-100,1),IF(ROUND(100/F89*G89-100,1)&gt;999,999,-999)))</f>
        <v>-100</v>
      </c>
      <c r="I89" s="23">
        <f>IFERROR(100/'Skjema total MA'!F89*G89,0)</f>
        <v>0</v>
      </c>
      <c r="J89" s="145">
        <f t="shared" si="2"/>
        <v>4535748</v>
      </c>
      <c r="K89" s="44">
        <f t="shared" si="2"/>
        <v>0</v>
      </c>
      <c r="L89" s="231">
        <f>IF(J89=0, "    ---- ", IF(ABS(ROUND(100/J89*K89-100,1))&lt;999,ROUND(100/J89*K89-100,1),IF(ROUND(100/J89*K89-100,1)&gt;999,999,-999)))</f>
        <v>-100</v>
      </c>
      <c r="M89" s="27">
        <f>IFERROR(100/'Skjema total MA'!I89*K89,0)</f>
        <v>0</v>
      </c>
    </row>
    <row r="90" spans="1:13" ht="15.75" x14ac:dyDescent="0.2">
      <c r="A90" s="272" t="s">
        <v>356</v>
      </c>
      <c r="B90" s="295"/>
      <c r="C90" s="295"/>
      <c r="D90" s="166"/>
      <c r="E90" s="23"/>
      <c r="F90" s="295"/>
      <c r="G90" s="295"/>
      <c r="H90" s="166"/>
      <c r="I90" s="23"/>
      <c r="J90" s="295"/>
      <c r="K90" s="295"/>
      <c r="L90" s="166"/>
      <c r="M90" s="23"/>
    </row>
    <row r="91" spans="1:13" x14ac:dyDescent="0.2">
      <c r="A91" s="272" t="s">
        <v>12</v>
      </c>
      <c r="B91" s="295"/>
      <c r="C91" s="295"/>
      <c r="D91" s="166"/>
      <c r="E91" s="23"/>
      <c r="F91" s="270"/>
      <c r="G91" s="271"/>
      <c r="H91" s="166"/>
      <c r="I91" s="23"/>
      <c r="J91" s="270"/>
      <c r="K91" s="271"/>
      <c r="L91" s="166"/>
      <c r="M91" s="23"/>
    </row>
    <row r="92" spans="1:13" x14ac:dyDescent="0.2">
      <c r="A92" s="272" t="s">
        <v>13</v>
      </c>
      <c r="B92" s="295"/>
      <c r="C92" s="295"/>
      <c r="D92" s="166"/>
      <c r="E92" s="23"/>
      <c r="F92" s="212"/>
      <c r="G92" s="266"/>
      <c r="H92" s="166"/>
      <c r="I92" s="23"/>
      <c r="J92" s="212"/>
      <c r="K92" s="266"/>
      <c r="L92" s="166"/>
      <c r="M92" s="23"/>
    </row>
    <row r="93" spans="1:13" ht="15.75" x14ac:dyDescent="0.2">
      <c r="A93" s="272" t="s">
        <v>357</v>
      </c>
      <c r="B93" s="295"/>
      <c r="C93" s="295"/>
      <c r="D93" s="166"/>
      <c r="E93" s="23"/>
      <c r="F93" s="295"/>
      <c r="G93" s="295"/>
      <c r="H93" s="166"/>
      <c r="I93" s="23"/>
      <c r="J93" s="295"/>
      <c r="K93" s="295"/>
      <c r="L93" s="166"/>
      <c r="M93" s="23"/>
    </row>
    <row r="94" spans="1:13" x14ac:dyDescent="0.2">
      <c r="A94" s="272" t="s">
        <v>12</v>
      </c>
      <c r="B94" s="212"/>
      <c r="C94" s="266"/>
      <c r="D94" s="166"/>
      <c r="E94" s="23"/>
      <c r="F94" s="212"/>
      <c r="G94" s="266"/>
      <c r="H94" s="166"/>
      <c r="I94" s="23"/>
      <c r="J94" s="212"/>
      <c r="K94" s="266"/>
      <c r="L94" s="166"/>
      <c r="M94" s="23"/>
    </row>
    <row r="95" spans="1:13" x14ac:dyDescent="0.2">
      <c r="A95" s="272" t="s">
        <v>13</v>
      </c>
      <c r="B95" s="212"/>
      <c r="C95" s="266"/>
      <c r="D95" s="166"/>
      <c r="E95" s="23"/>
      <c r="F95" s="212"/>
      <c r="G95" s="266"/>
      <c r="H95" s="166"/>
      <c r="I95" s="23"/>
      <c r="J95" s="212"/>
      <c r="K95" s="266"/>
      <c r="L95" s="166"/>
      <c r="M95" s="23"/>
    </row>
    <row r="96" spans="1:13" x14ac:dyDescent="0.2">
      <c r="A96" s="21" t="s">
        <v>324</v>
      </c>
      <c r="B96" s="211"/>
      <c r="C96" s="145"/>
      <c r="D96" s="166"/>
      <c r="E96" s="23"/>
      <c r="F96" s="211"/>
      <c r="G96" s="145"/>
      <c r="H96" s="166"/>
      <c r="I96" s="23"/>
      <c r="J96" s="145"/>
      <c r="K96" s="44"/>
      <c r="L96" s="231"/>
      <c r="M96" s="27"/>
    </row>
    <row r="97" spans="1:13" x14ac:dyDescent="0.2">
      <c r="A97" s="21" t="s">
        <v>323</v>
      </c>
      <c r="B97" s="211"/>
      <c r="C97" s="145"/>
      <c r="D97" s="166"/>
      <c r="E97" s="23"/>
      <c r="F97" s="211"/>
      <c r="G97" s="145"/>
      <c r="H97" s="166"/>
      <c r="I97" s="23"/>
      <c r="J97" s="145"/>
      <c r="K97" s="44"/>
      <c r="L97" s="231"/>
      <c r="M97" s="27"/>
    </row>
    <row r="98" spans="1:13" ht="15.75" x14ac:dyDescent="0.2">
      <c r="A98" s="21" t="s">
        <v>358</v>
      </c>
      <c r="B98" s="211">
        <v>1780872</v>
      </c>
      <c r="C98" s="211"/>
      <c r="D98" s="166">
        <f t="shared" ref="D98:D99" si="3">IF(B98=0, "    ---- ", IF(ABS(ROUND(100/B98*C98-100,1))&lt;999,ROUND(100/B98*C98-100,1),IF(ROUND(100/B98*C98-100,1)&gt;999,999,-999)))</f>
        <v>-100</v>
      </c>
      <c r="E98" s="23">
        <f>IFERROR(100/'Skjema total MA'!C98*C98,0)</f>
        <v>0</v>
      </c>
      <c r="F98" s="268">
        <v>4535748</v>
      </c>
      <c r="G98" s="268"/>
      <c r="H98" s="166">
        <f t="shared" ref="H98:H100" si="4">IF(F98=0, "    ---- ", IF(ABS(ROUND(100/F98*G98-100,1))&lt;999,ROUND(100/F98*G98-100,1),IF(ROUND(100/F98*G98-100,1)&gt;999,999,-999)))</f>
        <v>-100</v>
      </c>
      <c r="I98" s="23">
        <f>IFERROR(100/'Skjema total MA'!F98*G98,0)</f>
        <v>0</v>
      </c>
      <c r="J98" s="145">
        <f t="shared" ref="J98:K100" si="5">SUM(B98,F98)</f>
        <v>6316620</v>
      </c>
      <c r="K98" s="44">
        <f t="shared" si="5"/>
        <v>0</v>
      </c>
      <c r="L98" s="231">
        <f t="shared" ref="L98:L100" si="6">IF(J98=0, "    ---- ", IF(ABS(ROUND(100/J98*K98-100,1))&lt;999,ROUND(100/J98*K98-100,1),IF(ROUND(100/J98*K98-100,1)&gt;999,999,-999)))</f>
        <v>-100</v>
      </c>
      <c r="M98" s="27">
        <f>IFERROR(100/'Skjema total MA'!I98*K98,0)</f>
        <v>0</v>
      </c>
    </row>
    <row r="99" spans="1:13" x14ac:dyDescent="0.2">
      <c r="A99" s="21" t="s">
        <v>9</v>
      </c>
      <c r="B99" s="268">
        <v>1780872</v>
      </c>
      <c r="C99" s="269"/>
      <c r="D99" s="166">
        <f t="shared" si="3"/>
        <v>-100</v>
      </c>
      <c r="E99" s="23">
        <f>IFERROR(100/'Skjema total MA'!C99*C99,0)</f>
        <v>0</v>
      </c>
      <c r="F99" s="211"/>
      <c r="G99" s="145"/>
      <c r="H99" s="166"/>
      <c r="I99" s="23"/>
      <c r="J99" s="145">
        <f t="shared" si="5"/>
        <v>1780872</v>
      </c>
      <c r="K99" s="44">
        <f t="shared" si="5"/>
        <v>0</v>
      </c>
      <c r="L99" s="231">
        <f t="shared" si="6"/>
        <v>-100</v>
      </c>
      <c r="M99" s="27">
        <f>IFERROR(100/'Skjema total MA'!I99*K99,0)</f>
        <v>0</v>
      </c>
    </row>
    <row r="100" spans="1:13" ht="15.75" x14ac:dyDescent="0.2">
      <c r="A100" s="38" t="s">
        <v>399</v>
      </c>
      <c r="B100" s="268"/>
      <c r="C100" s="269"/>
      <c r="D100" s="166"/>
      <c r="E100" s="23"/>
      <c r="F100" s="211">
        <v>4535748</v>
      </c>
      <c r="G100" s="211"/>
      <c r="H100" s="166">
        <f t="shared" si="4"/>
        <v>-100</v>
      </c>
      <c r="I100" s="23">
        <f>IFERROR(100/'Skjema total MA'!F100*G100,0)</f>
        <v>0</v>
      </c>
      <c r="J100" s="145">
        <f t="shared" si="5"/>
        <v>4535748</v>
      </c>
      <c r="K100" s="44">
        <f t="shared" si="5"/>
        <v>0</v>
      </c>
      <c r="L100" s="231">
        <f t="shared" si="6"/>
        <v>-100</v>
      </c>
      <c r="M100" s="27">
        <f>IFERROR(100/'Skjema total MA'!I100*K100,0)</f>
        <v>0</v>
      </c>
    </row>
    <row r="101" spans="1:13" ht="15.75" x14ac:dyDescent="0.2">
      <c r="A101" s="38" t="s">
        <v>400</v>
      </c>
      <c r="B101" s="268"/>
      <c r="C101" s="268"/>
      <c r="D101" s="166"/>
      <c r="E101" s="23"/>
      <c r="F101" s="268"/>
      <c r="G101" s="268"/>
      <c r="H101" s="166"/>
      <c r="I101" s="23"/>
      <c r="J101" s="145"/>
      <c r="K101" s="44"/>
      <c r="L101" s="231"/>
      <c r="M101" s="27"/>
    </row>
    <row r="102" spans="1:13" ht="15.75" x14ac:dyDescent="0.2">
      <c r="A102" s="272" t="s">
        <v>356</v>
      </c>
      <c r="B102" s="295"/>
      <c r="C102" s="295"/>
      <c r="D102" s="166"/>
      <c r="E102" s="23"/>
      <c r="F102" s="295"/>
      <c r="G102" s="295"/>
      <c r="H102" s="166"/>
      <c r="I102" s="23"/>
      <c r="J102" s="295"/>
      <c r="K102" s="295"/>
      <c r="L102" s="166"/>
      <c r="M102" s="23"/>
    </row>
    <row r="103" spans="1:13" x14ac:dyDescent="0.2">
      <c r="A103" s="272" t="s">
        <v>12</v>
      </c>
      <c r="B103" s="295"/>
      <c r="C103" s="295"/>
      <c r="D103" s="166"/>
      <c r="E103" s="23"/>
      <c r="F103" s="270"/>
      <c r="G103" s="271"/>
      <c r="H103" s="166"/>
      <c r="I103" s="23"/>
      <c r="J103" s="270"/>
      <c r="K103" s="271"/>
      <c r="L103" s="166"/>
      <c r="M103" s="23"/>
    </row>
    <row r="104" spans="1:13" x14ac:dyDescent="0.2">
      <c r="A104" s="272" t="s">
        <v>13</v>
      </c>
      <c r="B104" s="295"/>
      <c r="C104" s="295"/>
      <c r="D104" s="166"/>
      <c r="E104" s="23"/>
      <c r="F104" s="212"/>
      <c r="G104" s="266"/>
      <c r="H104" s="166"/>
      <c r="I104" s="23"/>
      <c r="J104" s="212"/>
      <c r="K104" s="266"/>
      <c r="L104" s="166"/>
      <c r="M104" s="23"/>
    </row>
    <row r="105" spans="1:13" ht="15.75" x14ac:dyDescent="0.2">
      <c r="A105" s="272" t="s">
        <v>357</v>
      </c>
      <c r="B105" s="295"/>
      <c r="C105" s="295"/>
      <c r="D105" s="166"/>
      <c r="E105" s="23"/>
      <c r="F105" s="295"/>
      <c r="G105" s="295"/>
      <c r="H105" s="166"/>
      <c r="I105" s="23"/>
      <c r="J105" s="295"/>
      <c r="K105" s="295"/>
      <c r="L105" s="166"/>
      <c r="M105" s="23"/>
    </row>
    <row r="106" spans="1:13" x14ac:dyDescent="0.2">
      <c r="A106" s="272" t="s">
        <v>12</v>
      </c>
      <c r="B106" s="212"/>
      <c r="C106" s="266"/>
      <c r="D106" s="166"/>
      <c r="E106" s="23"/>
      <c r="F106" s="212"/>
      <c r="G106" s="266"/>
      <c r="H106" s="166"/>
      <c r="I106" s="23"/>
      <c r="J106" s="212"/>
      <c r="K106" s="266"/>
      <c r="L106" s="166"/>
      <c r="M106" s="23"/>
    </row>
    <row r="107" spans="1:13" x14ac:dyDescent="0.2">
      <c r="A107" s="272" t="s">
        <v>13</v>
      </c>
      <c r="B107" s="212"/>
      <c r="C107" s="266"/>
      <c r="D107" s="166"/>
      <c r="E107" s="23"/>
      <c r="F107" s="212"/>
      <c r="G107" s="266"/>
      <c r="H107" s="166"/>
      <c r="I107" s="23"/>
      <c r="J107" s="212"/>
      <c r="K107" s="266"/>
      <c r="L107" s="166"/>
      <c r="M107" s="23"/>
    </row>
    <row r="108" spans="1:13" ht="15.75" x14ac:dyDescent="0.2">
      <c r="A108" s="21" t="s">
        <v>359</v>
      </c>
      <c r="B108" s="211"/>
      <c r="C108" s="145"/>
      <c r="D108" s="166"/>
      <c r="E108" s="23"/>
      <c r="F108" s="211"/>
      <c r="G108" s="145"/>
      <c r="H108" s="166"/>
      <c r="I108" s="23"/>
      <c r="J108" s="145"/>
      <c r="K108" s="44"/>
      <c r="L108" s="231"/>
      <c r="M108" s="27"/>
    </row>
    <row r="109" spans="1:13" ht="15.75" x14ac:dyDescent="0.2">
      <c r="A109" s="21" t="s">
        <v>360</v>
      </c>
      <c r="B109" s="211">
        <v>977014</v>
      </c>
      <c r="C109" s="211"/>
      <c r="D109" s="166">
        <f t="shared" ref="D109:D112" si="7">IF(B109=0, "    ---- ", IF(ABS(ROUND(100/B109*C109-100,1))&lt;999,ROUND(100/B109*C109-100,1),IF(ROUND(100/B109*C109-100,1)&gt;999,999,-999)))</f>
        <v>-100</v>
      </c>
      <c r="E109" s="23">
        <f>IFERROR(100/'Skjema total MA'!C109*C109,0)</f>
        <v>0</v>
      </c>
      <c r="F109" s="211"/>
      <c r="G109" s="211"/>
      <c r="H109" s="166"/>
      <c r="I109" s="23"/>
      <c r="J109" s="145">
        <f t="shared" ref="J109:K112" si="8">SUM(B109,F109)</f>
        <v>977014</v>
      </c>
      <c r="K109" s="44">
        <f t="shared" si="8"/>
        <v>0</v>
      </c>
      <c r="L109" s="231">
        <f t="shared" ref="L109:L112" si="9">IF(J109=0, "    ---- ", IF(ABS(ROUND(100/J109*K109-100,1))&lt;999,ROUND(100/J109*K109-100,1),IF(ROUND(100/J109*K109-100,1)&gt;999,999,-999)))</f>
        <v>-100</v>
      </c>
      <c r="M109" s="27">
        <f>IFERROR(100/'Skjema total MA'!I109*K109,0)</f>
        <v>0</v>
      </c>
    </row>
    <row r="110" spans="1:13" ht="15.75" x14ac:dyDescent="0.2">
      <c r="A110" s="38" t="s">
        <v>416</v>
      </c>
      <c r="B110" s="211"/>
      <c r="C110" s="211"/>
      <c r="D110" s="166"/>
      <c r="E110" s="23"/>
      <c r="F110" s="211">
        <v>2035160</v>
      </c>
      <c r="G110" s="211"/>
      <c r="H110" s="166">
        <f t="shared" ref="H110:H112" si="10">IF(F110=0, "    ---- ", IF(ABS(ROUND(100/F110*G110-100,1))&lt;999,ROUND(100/F110*G110-100,1),IF(ROUND(100/F110*G110-100,1)&gt;999,999,-999)))</f>
        <v>-100</v>
      </c>
      <c r="I110" s="23">
        <f>IFERROR(100/'Skjema total MA'!F110*G110,0)</f>
        <v>0</v>
      </c>
      <c r="J110" s="145">
        <f t="shared" si="8"/>
        <v>2035160</v>
      </c>
      <c r="K110" s="44">
        <f t="shared" si="8"/>
        <v>0</v>
      </c>
      <c r="L110" s="231">
        <f t="shared" si="9"/>
        <v>-100</v>
      </c>
      <c r="M110" s="27">
        <f>IFERROR(100/'Skjema total MA'!I110*K110,0)</f>
        <v>0</v>
      </c>
    </row>
    <row r="111" spans="1:13" ht="15.75" x14ac:dyDescent="0.2">
      <c r="A111" s="21" t="s">
        <v>362</v>
      </c>
      <c r="B111" s="211"/>
      <c r="C111" s="211"/>
      <c r="D111" s="166"/>
      <c r="E111" s="23"/>
      <c r="F111" s="211"/>
      <c r="G111" s="211"/>
      <c r="H111" s="166"/>
      <c r="I111" s="23"/>
      <c r="J111" s="145"/>
      <c r="K111" s="44"/>
      <c r="L111" s="231"/>
      <c r="M111" s="27"/>
    </row>
    <row r="112" spans="1:13" ht="15.75" x14ac:dyDescent="0.2">
      <c r="A112" s="13" t="s">
        <v>342</v>
      </c>
      <c r="B112" s="284">
        <v>3182</v>
      </c>
      <c r="C112" s="159"/>
      <c r="D112" s="171">
        <f t="shared" si="7"/>
        <v>-100</v>
      </c>
      <c r="E112" s="24">
        <f>IFERROR(100/'Skjema total MA'!C112*C112,0)</f>
        <v>0</v>
      </c>
      <c r="F112" s="284">
        <v>130034</v>
      </c>
      <c r="G112" s="159"/>
      <c r="H112" s="171">
        <f t="shared" si="10"/>
        <v>-100</v>
      </c>
      <c r="I112" s="24">
        <f>IFERROR(100/'Skjema total MA'!F112*G112,0)</f>
        <v>0</v>
      </c>
      <c r="J112" s="159">
        <f t="shared" si="8"/>
        <v>133216</v>
      </c>
      <c r="K112" s="213">
        <f t="shared" si="8"/>
        <v>0</v>
      </c>
      <c r="L112" s="402">
        <f t="shared" si="9"/>
        <v>-100</v>
      </c>
      <c r="M112" s="11">
        <f>IFERROR(100/'Skjema total MA'!I112*K112,0)</f>
        <v>0</v>
      </c>
    </row>
    <row r="113" spans="1:14" x14ac:dyDescent="0.2">
      <c r="A113" s="21" t="s">
        <v>9</v>
      </c>
      <c r="B113" s="211">
        <v>3182</v>
      </c>
      <c r="C113" s="145"/>
      <c r="D113" s="166">
        <f t="shared" ref="D113" si="11">IF(B113=0, "    ---- ", IF(ABS(ROUND(100/B113*C113-100,1))&lt;999,ROUND(100/B113*C113-100,1),IF(ROUND(100/B113*C113-100,1)&gt;999,999,-999)))</f>
        <v>-100</v>
      </c>
      <c r="E113" s="23">
        <f>IFERROR(100/'Skjema total MA'!C113*C113,0)</f>
        <v>0</v>
      </c>
      <c r="F113" s="211"/>
      <c r="G113" s="145"/>
      <c r="H113" s="166"/>
      <c r="I113" s="23"/>
      <c r="J113" s="145">
        <f t="shared" ref="J113:K126" si="12">SUM(B113,F113)</f>
        <v>3182</v>
      </c>
      <c r="K113" s="44">
        <f t="shared" si="12"/>
        <v>0</v>
      </c>
      <c r="L113" s="231">
        <f t="shared" ref="L113:L126" si="13">IF(J113=0, "    ---- ", IF(ABS(ROUND(100/J113*K113-100,1))&lt;999,ROUND(100/J113*K113-100,1),IF(ROUND(100/J113*K113-100,1)&gt;999,999,-999)))</f>
        <v>-100</v>
      </c>
      <c r="M113" s="27">
        <f>IFERROR(100/'Skjema total MA'!I113*K113,0)</f>
        <v>0</v>
      </c>
    </row>
    <row r="114" spans="1:14" x14ac:dyDescent="0.2">
      <c r="A114" s="21" t="s">
        <v>10</v>
      </c>
      <c r="B114" s="211"/>
      <c r="C114" s="145"/>
      <c r="D114" s="166"/>
      <c r="E114" s="23"/>
      <c r="F114" s="211">
        <v>130034</v>
      </c>
      <c r="G114" s="145"/>
      <c r="H114" s="166">
        <f t="shared" ref="H114:H126" si="14">IF(F114=0, "    ---- ", IF(ABS(ROUND(100/F114*G114-100,1))&lt;999,ROUND(100/F114*G114-100,1),IF(ROUND(100/F114*G114-100,1)&gt;999,999,-999)))</f>
        <v>-100</v>
      </c>
      <c r="I114" s="23">
        <f>IFERROR(100/'Skjema total MA'!F114*G114,0)</f>
        <v>0</v>
      </c>
      <c r="J114" s="145">
        <f t="shared" si="12"/>
        <v>130034</v>
      </c>
      <c r="K114" s="44">
        <f t="shared" si="12"/>
        <v>0</v>
      </c>
      <c r="L114" s="231">
        <f t="shared" si="13"/>
        <v>-100</v>
      </c>
      <c r="M114" s="27">
        <f>IFERROR(100/'Skjema total MA'!I114*K114,0)</f>
        <v>0</v>
      </c>
    </row>
    <row r="115" spans="1:14" x14ac:dyDescent="0.2">
      <c r="A115" s="21" t="s">
        <v>26</v>
      </c>
      <c r="B115" s="211"/>
      <c r="C115" s="145"/>
      <c r="D115" s="166"/>
      <c r="E115" s="23"/>
      <c r="F115" s="211"/>
      <c r="G115" s="145"/>
      <c r="H115" s="166"/>
      <c r="I115" s="23"/>
      <c r="J115" s="145"/>
      <c r="K115" s="44"/>
      <c r="L115" s="231"/>
      <c r="M115" s="27"/>
    </row>
    <row r="116" spans="1:14" x14ac:dyDescent="0.2">
      <c r="A116" s="272" t="s">
        <v>15</v>
      </c>
      <c r="B116" s="258"/>
      <c r="C116" s="258"/>
      <c r="D116" s="166"/>
      <c r="E116" s="23"/>
      <c r="F116" s="665"/>
      <c r="G116" s="258"/>
      <c r="H116" s="166"/>
      <c r="I116" s="23"/>
      <c r="J116" s="667"/>
      <c r="K116" s="267"/>
      <c r="L116" s="166"/>
      <c r="M116" s="23"/>
    </row>
    <row r="117" spans="1:14" ht="15.75" x14ac:dyDescent="0.2">
      <c r="A117" s="21" t="s">
        <v>363</v>
      </c>
      <c r="B117" s="211"/>
      <c r="C117" s="211"/>
      <c r="D117" s="166"/>
      <c r="E117" s="23"/>
      <c r="F117" s="211"/>
      <c r="G117" s="211"/>
      <c r="H117" s="166"/>
      <c r="I117" s="23"/>
      <c r="J117" s="145"/>
      <c r="K117" s="44"/>
      <c r="L117" s="231"/>
      <c r="M117" s="27"/>
    </row>
    <row r="118" spans="1:14" ht="15.75" x14ac:dyDescent="0.2">
      <c r="A118" s="21" t="s">
        <v>364</v>
      </c>
      <c r="B118" s="211"/>
      <c r="C118" s="211"/>
      <c r="D118" s="166"/>
      <c r="E118" s="23"/>
      <c r="F118" s="211">
        <v>107979</v>
      </c>
      <c r="G118" s="211"/>
      <c r="H118" s="166">
        <f t="shared" si="14"/>
        <v>-100</v>
      </c>
      <c r="I118" s="23">
        <f>IFERROR(100/'Skjema total MA'!F118*G118,0)</f>
        <v>0</v>
      </c>
      <c r="J118" s="145">
        <f t="shared" si="12"/>
        <v>107979</v>
      </c>
      <c r="K118" s="44">
        <f t="shared" si="12"/>
        <v>0</v>
      </c>
      <c r="L118" s="231">
        <f t="shared" si="13"/>
        <v>-100</v>
      </c>
      <c r="M118" s="27">
        <f>IFERROR(100/'Skjema total MA'!I118*K118,0)</f>
        <v>0</v>
      </c>
    </row>
    <row r="119" spans="1:14" ht="15.75" x14ac:dyDescent="0.2">
      <c r="A119" s="21" t="s">
        <v>362</v>
      </c>
      <c r="B119" s="211"/>
      <c r="C119" s="211"/>
      <c r="D119" s="166"/>
      <c r="E119" s="23"/>
      <c r="F119" s="211"/>
      <c r="G119" s="211"/>
      <c r="H119" s="166"/>
      <c r="I119" s="23"/>
      <c r="J119" s="145"/>
      <c r="K119" s="44"/>
      <c r="L119" s="231"/>
      <c r="M119" s="27"/>
    </row>
    <row r="120" spans="1:14" ht="15.75" x14ac:dyDescent="0.2">
      <c r="A120" s="13" t="s">
        <v>343</v>
      </c>
      <c r="B120" s="284"/>
      <c r="C120" s="159"/>
      <c r="D120" s="171"/>
      <c r="E120" s="24"/>
      <c r="F120" s="284">
        <v>20572</v>
      </c>
      <c r="G120" s="159"/>
      <c r="H120" s="171">
        <f t="shared" si="14"/>
        <v>-100</v>
      </c>
      <c r="I120" s="24">
        <f>IFERROR(100/'Skjema total MA'!F120*G120,0)</f>
        <v>0</v>
      </c>
      <c r="J120" s="159">
        <f t="shared" si="12"/>
        <v>20572</v>
      </c>
      <c r="K120" s="213">
        <f t="shared" si="12"/>
        <v>0</v>
      </c>
      <c r="L120" s="402">
        <f t="shared" si="13"/>
        <v>-100</v>
      </c>
      <c r="M120" s="11">
        <f>IFERROR(100/'Skjema total MA'!I120*K120,0)</f>
        <v>0</v>
      </c>
    </row>
    <row r="121" spans="1:14" x14ac:dyDescent="0.2">
      <c r="A121" s="21" t="s">
        <v>9</v>
      </c>
      <c r="B121" s="211"/>
      <c r="C121" s="145"/>
      <c r="D121" s="166"/>
      <c r="E121" s="23"/>
      <c r="F121" s="211"/>
      <c r="G121" s="145"/>
      <c r="H121" s="166"/>
      <c r="I121" s="23"/>
      <c r="J121" s="145"/>
      <c r="K121" s="44"/>
      <c r="L121" s="231"/>
      <c r="M121" s="27"/>
    </row>
    <row r="122" spans="1:14" x14ac:dyDescent="0.2">
      <c r="A122" s="21" t="s">
        <v>10</v>
      </c>
      <c r="B122" s="211"/>
      <c r="C122" s="145"/>
      <c r="D122" s="166"/>
      <c r="E122" s="23"/>
      <c r="F122" s="211">
        <v>20572</v>
      </c>
      <c r="G122" s="145"/>
      <c r="H122" s="166">
        <f t="shared" si="14"/>
        <v>-100</v>
      </c>
      <c r="I122" s="23">
        <f>IFERROR(100/'Skjema total MA'!F122*G122,0)</f>
        <v>0</v>
      </c>
      <c r="J122" s="145">
        <f t="shared" si="12"/>
        <v>20572</v>
      </c>
      <c r="K122" s="44">
        <f t="shared" si="12"/>
        <v>0</v>
      </c>
      <c r="L122" s="231">
        <f t="shared" si="13"/>
        <v>-100</v>
      </c>
      <c r="M122" s="27">
        <f>IFERROR(100/'Skjema total MA'!I122*K122,0)</f>
        <v>0</v>
      </c>
    </row>
    <row r="123" spans="1:14" x14ac:dyDescent="0.2">
      <c r="A123" s="21" t="s">
        <v>26</v>
      </c>
      <c r="B123" s="211"/>
      <c r="C123" s="145"/>
      <c r="D123" s="166"/>
      <c r="E123" s="23"/>
      <c r="F123" s="211"/>
      <c r="G123" s="145"/>
      <c r="H123" s="166"/>
      <c r="I123" s="23"/>
      <c r="J123" s="145"/>
      <c r="K123" s="44"/>
      <c r="L123" s="231"/>
      <c r="M123" s="27"/>
    </row>
    <row r="124" spans="1:14" x14ac:dyDescent="0.2">
      <c r="A124" s="272" t="s">
        <v>14</v>
      </c>
      <c r="B124" s="258"/>
      <c r="C124" s="258"/>
      <c r="D124" s="166"/>
      <c r="E124" s="23"/>
      <c r="F124" s="665"/>
      <c r="G124" s="258"/>
      <c r="H124" s="166"/>
      <c r="I124" s="23"/>
      <c r="J124" s="667"/>
      <c r="K124" s="267"/>
      <c r="L124" s="166"/>
      <c r="M124" s="23"/>
    </row>
    <row r="125" spans="1:14" ht="15.75" x14ac:dyDescent="0.2">
      <c r="A125" s="21" t="s">
        <v>369</v>
      </c>
      <c r="B125" s="211"/>
      <c r="C125" s="211"/>
      <c r="D125" s="166"/>
      <c r="E125" s="23"/>
      <c r="F125" s="211"/>
      <c r="G125" s="211"/>
      <c r="H125" s="166"/>
      <c r="I125" s="23"/>
      <c r="J125" s="145"/>
      <c r="K125" s="44"/>
      <c r="L125" s="231"/>
      <c r="M125" s="27"/>
    </row>
    <row r="126" spans="1:14" ht="15.75" x14ac:dyDescent="0.2">
      <c r="A126" s="21" t="s">
        <v>361</v>
      </c>
      <c r="B126" s="211"/>
      <c r="C126" s="211"/>
      <c r="D126" s="166"/>
      <c r="E126" s="23"/>
      <c r="F126" s="211">
        <v>18911</v>
      </c>
      <c r="G126" s="211"/>
      <c r="H126" s="166">
        <f t="shared" si="14"/>
        <v>-100</v>
      </c>
      <c r="I126" s="23">
        <f>IFERROR(100/'Skjema total MA'!F126*G126,0)</f>
        <v>0</v>
      </c>
      <c r="J126" s="145">
        <f t="shared" si="12"/>
        <v>18911</v>
      </c>
      <c r="K126" s="44">
        <f t="shared" si="12"/>
        <v>0</v>
      </c>
      <c r="L126" s="231">
        <f t="shared" si="13"/>
        <v>-100</v>
      </c>
      <c r="M126" s="27">
        <f>IFERROR(100/'Skjema total MA'!I126*K126,0)</f>
        <v>0</v>
      </c>
    </row>
    <row r="127" spans="1:14" ht="15.75" x14ac:dyDescent="0.2">
      <c r="A127" s="10" t="s">
        <v>362</v>
      </c>
      <c r="B127" s="45"/>
      <c r="C127" s="45"/>
      <c r="D127" s="167"/>
      <c r="E127" s="22"/>
      <c r="F127" s="666"/>
      <c r="G127" s="45"/>
      <c r="H127" s="167"/>
      <c r="I127" s="22"/>
      <c r="J127" s="668"/>
      <c r="K127" s="45"/>
      <c r="L127" s="232"/>
      <c r="M127" s="22"/>
    </row>
    <row r="128" spans="1:14" x14ac:dyDescent="0.2">
      <c r="A128" s="155"/>
      <c r="L128" s="26"/>
      <c r="M128" s="26"/>
      <c r="N128" s="26"/>
    </row>
    <row r="129" spans="1:14" x14ac:dyDescent="0.2">
      <c r="L129" s="26"/>
      <c r="M129" s="26"/>
      <c r="N129" s="26"/>
    </row>
    <row r="130" spans="1:14" ht="15.75" x14ac:dyDescent="0.25">
      <c r="A130" s="165" t="s">
        <v>27</v>
      </c>
    </row>
    <row r="131" spans="1:14" ht="15.75" x14ac:dyDescent="0.25">
      <c r="B131" s="694"/>
      <c r="C131" s="694"/>
      <c r="D131" s="694"/>
      <c r="E131" s="275"/>
      <c r="F131" s="694"/>
      <c r="G131" s="694"/>
      <c r="H131" s="694"/>
      <c r="I131" s="275"/>
      <c r="J131" s="694"/>
      <c r="K131" s="694"/>
      <c r="L131" s="694"/>
      <c r="M131" s="275"/>
    </row>
    <row r="132" spans="1:14" s="3" customFormat="1" x14ac:dyDescent="0.2">
      <c r="A132" s="144"/>
      <c r="B132" s="695" t="s">
        <v>0</v>
      </c>
      <c r="C132" s="696"/>
      <c r="D132" s="696"/>
      <c r="E132" s="277"/>
      <c r="F132" s="695" t="s">
        <v>1</v>
      </c>
      <c r="G132" s="696"/>
      <c r="H132" s="696"/>
      <c r="I132" s="280"/>
      <c r="J132" s="695" t="s">
        <v>2</v>
      </c>
      <c r="K132" s="696"/>
      <c r="L132" s="696"/>
      <c r="M132" s="280"/>
      <c r="N132" s="148"/>
    </row>
    <row r="133" spans="1:14" s="3" customFormat="1" x14ac:dyDescent="0.2">
      <c r="A133" s="140"/>
      <c r="B133" s="152" t="s">
        <v>412</v>
      </c>
      <c r="C133" s="152" t="s">
        <v>413</v>
      </c>
      <c r="D133" s="222" t="s">
        <v>3</v>
      </c>
      <c r="E133" s="281" t="s">
        <v>29</v>
      </c>
      <c r="F133" s="152" t="s">
        <v>412</v>
      </c>
      <c r="G133" s="152" t="s">
        <v>413</v>
      </c>
      <c r="H133" s="203" t="s">
        <v>3</v>
      </c>
      <c r="I133" s="162" t="s">
        <v>29</v>
      </c>
      <c r="J133" s="152" t="s">
        <v>412</v>
      </c>
      <c r="K133" s="152" t="s">
        <v>413</v>
      </c>
      <c r="L133" s="223" t="s">
        <v>3</v>
      </c>
      <c r="M133" s="162" t="s">
        <v>29</v>
      </c>
      <c r="N133" s="148"/>
    </row>
    <row r="134" spans="1:14" s="3" customFormat="1" x14ac:dyDescent="0.2">
      <c r="A134" s="662"/>
      <c r="B134" s="156"/>
      <c r="C134" s="156"/>
      <c r="D134" s="223" t="s">
        <v>4</v>
      </c>
      <c r="E134" s="156" t="s">
        <v>30</v>
      </c>
      <c r="F134" s="161"/>
      <c r="G134" s="161"/>
      <c r="H134" s="203" t="s">
        <v>4</v>
      </c>
      <c r="I134" s="156" t="s">
        <v>30</v>
      </c>
      <c r="J134" s="156"/>
      <c r="K134" s="156"/>
      <c r="L134" s="150" t="s">
        <v>4</v>
      </c>
      <c r="M134" s="156" t="s">
        <v>30</v>
      </c>
      <c r="N134" s="148"/>
    </row>
    <row r="135" spans="1:14" s="3" customFormat="1" ht="15.75" x14ac:dyDescent="0.2">
      <c r="A135" s="14" t="s">
        <v>365</v>
      </c>
      <c r="B135" s="213"/>
      <c r="C135" s="285"/>
      <c r="D135" s="326"/>
      <c r="E135" s="11"/>
      <c r="F135" s="292"/>
      <c r="G135" s="293"/>
      <c r="H135" s="405"/>
      <c r="I135" s="24"/>
      <c r="J135" s="294"/>
      <c r="K135" s="294"/>
      <c r="L135" s="401"/>
      <c r="M135" s="11"/>
      <c r="N135" s="148"/>
    </row>
    <row r="136" spans="1:14" s="3" customFormat="1" ht="15.75" x14ac:dyDescent="0.2">
      <c r="A136" s="13" t="s">
        <v>370</v>
      </c>
      <c r="B136" s="213"/>
      <c r="C136" s="285"/>
      <c r="D136" s="171"/>
      <c r="E136" s="11"/>
      <c r="F136" s="213"/>
      <c r="G136" s="285"/>
      <c r="H136" s="406"/>
      <c r="I136" s="24"/>
      <c r="J136" s="284"/>
      <c r="K136" s="284"/>
      <c r="L136" s="402"/>
      <c r="M136" s="11"/>
      <c r="N136" s="148"/>
    </row>
    <row r="137" spans="1:14" s="3" customFormat="1" ht="15.75" x14ac:dyDescent="0.2">
      <c r="A137" s="13" t="s">
        <v>367</v>
      </c>
      <c r="B137" s="213"/>
      <c r="C137" s="285"/>
      <c r="D137" s="171"/>
      <c r="E137" s="11"/>
      <c r="F137" s="213"/>
      <c r="G137" s="285"/>
      <c r="H137" s="406"/>
      <c r="I137" s="24"/>
      <c r="J137" s="284"/>
      <c r="K137" s="284"/>
      <c r="L137" s="402"/>
      <c r="M137" s="11"/>
      <c r="N137" s="148"/>
    </row>
    <row r="138" spans="1:14" s="3" customFormat="1" ht="15.75" x14ac:dyDescent="0.2">
      <c r="A138" s="41" t="s">
        <v>368</v>
      </c>
      <c r="B138" s="253"/>
      <c r="C138" s="291"/>
      <c r="D138" s="169"/>
      <c r="E138" s="9"/>
      <c r="F138" s="253"/>
      <c r="G138" s="291"/>
      <c r="H138" s="407"/>
      <c r="I138" s="36"/>
      <c r="J138" s="290"/>
      <c r="K138" s="290"/>
      <c r="L138" s="403"/>
      <c r="M138" s="36"/>
      <c r="N138" s="148"/>
    </row>
    <row r="139" spans="1:14" s="3" customFormat="1"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68"/>
      <c r="B141" s="33"/>
      <c r="C141" s="33"/>
      <c r="D141" s="159"/>
      <c r="E141" s="159"/>
      <c r="F141" s="33"/>
      <c r="G141" s="33"/>
      <c r="H141" s="159"/>
      <c r="I141" s="159"/>
      <c r="J141" s="33"/>
      <c r="K141" s="33"/>
      <c r="L141" s="159"/>
      <c r="M141" s="159"/>
      <c r="N141" s="148"/>
    </row>
    <row r="142" spans="1:14" x14ac:dyDescent="0.2">
      <c r="A142" s="146"/>
      <c r="B142" s="146"/>
      <c r="C142" s="146"/>
      <c r="D142" s="146"/>
      <c r="E142" s="146"/>
      <c r="F142" s="146"/>
      <c r="G142" s="146"/>
      <c r="H142" s="146"/>
      <c r="I142" s="146"/>
      <c r="J142" s="146"/>
      <c r="K142" s="146"/>
      <c r="L142" s="146"/>
      <c r="M142" s="146"/>
      <c r="N142" s="146"/>
    </row>
    <row r="143" spans="1:14" ht="15.75" x14ac:dyDescent="0.25">
      <c r="B143" s="142"/>
      <c r="C143" s="142"/>
      <c r="D143" s="142"/>
      <c r="E143" s="142"/>
      <c r="F143" s="142"/>
      <c r="G143" s="142"/>
      <c r="H143" s="142"/>
      <c r="I143" s="142"/>
      <c r="J143" s="142"/>
      <c r="K143" s="142"/>
      <c r="L143" s="142"/>
      <c r="M143" s="142"/>
      <c r="N143" s="142"/>
    </row>
    <row r="144" spans="1:14" ht="15.75" x14ac:dyDescent="0.25">
      <c r="B144" s="157"/>
      <c r="C144" s="157"/>
      <c r="D144" s="157"/>
      <c r="E144" s="157"/>
      <c r="F144" s="157"/>
      <c r="G144" s="157"/>
      <c r="H144" s="157"/>
      <c r="I144" s="157"/>
      <c r="J144" s="157"/>
      <c r="K144" s="157"/>
      <c r="L144" s="157"/>
      <c r="M144" s="157"/>
      <c r="N144" s="157"/>
    </row>
    <row r="145" spans="2:14" ht="15.75" x14ac:dyDescent="0.25">
      <c r="B145" s="157"/>
      <c r="C145" s="157"/>
      <c r="D145" s="157"/>
      <c r="E145" s="157"/>
      <c r="F145" s="157"/>
      <c r="G145" s="157"/>
      <c r="H145" s="157"/>
      <c r="I145" s="157"/>
      <c r="J145" s="157"/>
      <c r="K145" s="157"/>
      <c r="L145" s="157"/>
      <c r="M145" s="157"/>
      <c r="N145" s="157"/>
    </row>
  </sheetData>
  <mergeCells count="31">
    <mergeCell ref="B132:D132"/>
    <mergeCell ref="F132:H132"/>
    <mergeCell ref="J132:L132"/>
    <mergeCell ref="B63:D63"/>
    <mergeCell ref="F63:H63"/>
    <mergeCell ref="J63:L63"/>
    <mergeCell ref="B131:D131"/>
    <mergeCell ref="F131:H131"/>
    <mergeCell ref="J131:L131"/>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6">
    <cfRule type="expression" dxfId="632" priority="76">
      <formula>kvartal &lt; 4</formula>
    </cfRule>
  </conditionalFormatting>
  <conditionalFormatting sqref="C116">
    <cfRule type="expression" dxfId="631" priority="75">
      <formula>kvartal &lt; 4</formula>
    </cfRule>
  </conditionalFormatting>
  <conditionalFormatting sqref="B124">
    <cfRule type="expression" dxfId="630" priority="74">
      <formula>kvartal &lt; 4</formula>
    </cfRule>
  </conditionalFormatting>
  <conditionalFormatting sqref="C124">
    <cfRule type="expression" dxfId="629" priority="73">
      <formula>kvartal &lt; 4</formula>
    </cfRule>
  </conditionalFormatting>
  <conditionalFormatting sqref="F116">
    <cfRule type="expression" dxfId="628" priority="58">
      <formula>kvartal &lt; 4</formula>
    </cfRule>
  </conditionalFormatting>
  <conditionalFormatting sqref="G116">
    <cfRule type="expression" dxfId="627" priority="57">
      <formula>kvartal &lt; 4</formula>
    </cfRule>
  </conditionalFormatting>
  <conditionalFormatting sqref="F124:G124">
    <cfRule type="expression" dxfId="626" priority="56">
      <formula>kvartal &lt; 4</formula>
    </cfRule>
  </conditionalFormatting>
  <conditionalFormatting sqref="J116:K116">
    <cfRule type="expression" dxfId="625" priority="32">
      <formula>kvartal &lt; 4</formula>
    </cfRule>
  </conditionalFormatting>
  <conditionalFormatting sqref="J124:K124">
    <cfRule type="expression" dxfId="624" priority="31">
      <formula>kvartal &lt; 4</formula>
    </cfRule>
  </conditionalFormatting>
  <conditionalFormatting sqref="A50:A52">
    <cfRule type="expression" dxfId="623" priority="12">
      <formula>kvartal &lt; 4</formula>
    </cfRule>
  </conditionalFormatting>
  <conditionalFormatting sqref="A69:A74">
    <cfRule type="expression" dxfId="622" priority="10">
      <formula>kvartal &lt; 4</formula>
    </cfRule>
  </conditionalFormatting>
  <conditionalFormatting sqref="A80:A85">
    <cfRule type="expression" dxfId="621" priority="9">
      <formula>kvartal &lt; 4</formula>
    </cfRule>
  </conditionalFormatting>
  <conditionalFormatting sqref="A90:A95">
    <cfRule type="expression" dxfId="620" priority="6">
      <formula>kvartal &lt; 4</formula>
    </cfRule>
  </conditionalFormatting>
  <conditionalFormatting sqref="A102:A107">
    <cfRule type="expression" dxfId="619" priority="5">
      <formula>kvartal &lt; 4</formula>
    </cfRule>
  </conditionalFormatting>
  <conditionalFormatting sqref="A116">
    <cfRule type="expression" dxfId="618" priority="4">
      <formula>kvartal &lt; 4</formula>
    </cfRule>
  </conditionalFormatting>
  <conditionalFormatting sqref="A124">
    <cfRule type="expression" dxfId="617" priority="3">
      <formula>kvartal &lt; 4</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7"/>
  <dimension ref="A1:Q145"/>
  <sheetViews>
    <sheetView showGridLines="0" zoomScaleNormal="100" workbookViewId="0">
      <selection activeCell="A111" sqref="A111"/>
    </sheetView>
  </sheetViews>
  <sheetFormatPr baseColWidth="10" defaultColWidth="11.42578125" defaultRowHeight="12.75" x14ac:dyDescent="0.2"/>
  <cols>
    <col min="1" max="1" width="41.57031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7" x14ac:dyDescent="0.2">
      <c r="A1" s="172" t="s">
        <v>134</v>
      </c>
      <c r="B1" s="663"/>
      <c r="C1" s="225" t="s">
        <v>123</v>
      </c>
      <c r="D1" s="26"/>
      <c r="E1" s="26"/>
      <c r="F1" s="26"/>
      <c r="G1" s="26"/>
      <c r="H1" s="26"/>
      <c r="I1" s="26"/>
      <c r="J1" s="26"/>
      <c r="K1" s="26"/>
      <c r="L1" s="26"/>
      <c r="M1" s="26"/>
    </row>
    <row r="2" spans="1:17" ht="15.75" x14ac:dyDescent="0.25">
      <c r="A2" s="165" t="s">
        <v>28</v>
      </c>
      <c r="B2" s="699"/>
      <c r="C2" s="699"/>
      <c r="D2" s="699"/>
      <c r="E2" s="275"/>
      <c r="F2" s="699"/>
      <c r="G2" s="699"/>
      <c r="H2" s="699"/>
      <c r="I2" s="275"/>
      <c r="J2" s="699"/>
      <c r="K2" s="699"/>
      <c r="L2" s="699"/>
      <c r="M2" s="275"/>
    </row>
    <row r="3" spans="1:17" ht="15.75" x14ac:dyDescent="0.25">
      <c r="A3" s="163"/>
      <c r="B3" s="275"/>
      <c r="C3" s="275"/>
      <c r="D3" s="275"/>
      <c r="E3" s="275"/>
      <c r="F3" s="275"/>
      <c r="G3" s="275"/>
      <c r="H3" s="275"/>
      <c r="I3" s="275"/>
      <c r="J3" s="275"/>
      <c r="K3" s="275"/>
      <c r="L3" s="275"/>
      <c r="M3" s="275"/>
    </row>
    <row r="4" spans="1:17" x14ac:dyDescent="0.2">
      <c r="A4" s="144"/>
      <c r="B4" s="695" t="s">
        <v>0</v>
      </c>
      <c r="C4" s="696"/>
      <c r="D4" s="696"/>
      <c r="E4" s="277"/>
      <c r="F4" s="695" t="s">
        <v>1</v>
      </c>
      <c r="G4" s="696"/>
      <c r="H4" s="696"/>
      <c r="I4" s="280"/>
      <c r="J4" s="695" t="s">
        <v>2</v>
      </c>
      <c r="K4" s="696"/>
      <c r="L4" s="696"/>
      <c r="M4" s="280"/>
    </row>
    <row r="5" spans="1:17" x14ac:dyDescent="0.2">
      <c r="A5" s="158"/>
      <c r="B5" s="152" t="s">
        <v>412</v>
      </c>
      <c r="C5" s="152" t="s">
        <v>413</v>
      </c>
      <c r="D5" s="222" t="s">
        <v>3</v>
      </c>
      <c r="E5" s="281" t="s">
        <v>29</v>
      </c>
      <c r="F5" s="152" t="s">
        <v>412</v>
      </c>
      <c r="G5" s="152" t="s">
        <v>413</v>
      </c>
      <c r="H5" s="222" t="s">
        <v>3</v>
      </c>
      <c r="I5" s="162" t="s">
        <v>29</v>
      </c>
      <c r="J5" s="152" t="s">
        <v>412</v>
      </c>
      <c r="K5" s="152" t="s">
        <v>413</v>
      </c>
      <c r="L5" s="222" t="s">
        <v>3</v>
      </c>
      <c r="M5" s="162" t="s">
        <v>29</v>
      </c>
    </row>
    <row r="6" spans="1:17" x14ac:dyDescent="0.2">
      <c r="A6" s="661"/>
      <c r="B6" s="156"/>
      <c r="C6" s="156"/>
      <c r="D6" s="223" t="s">
        <v>4</v>
      </c>
      <c r="E6" s="156" t="s">
        <v>30</v>
      </c>
      <c r="F6" s="161"/>
      <c r="G6" s="161"/>
      <c r="H6" s="222" t="s">
        <v>4</v>
      </c>
      <c r="I6" s="156" t="s">
        <v>30</v>
      </c>
      <c r="J6" s="161"/>
      <c r="K6" s="161"/>
      <c r="L6" s="222" t="s">
        <v>4</v>
      </c>
      <c r="M6" s="156" t="s">
        <v>30</v>
      </c>
    </row>
    <row r="7" spans="1:17" ht="15.75" x14ac:dyDescent="0.2">
      <c r="A7" s="14" t="s">
        <v>23</v>
      </c>
      <c r="B7" s="282">
        <v>82386</v>
      </c>
      <c r="C7" s="283">
        <v>77701</v>
      </c>
      <c r="D7" s="326">
        <f t="shared" ref="D7:D12" si="0">IF(B7=0, "    ---- ", IF(ABS(ROUND(100/B7*C7-100,1))&lt;999,ROUND(100/B7*C7-100,1),IF(ROUND(100/B7*C7-100,1)&gt;999,999,-999)))</f>
        <v>-5.7</v>
      </c>
      <c r="E7" s="11">
        <f>IFERROR(100/'Skjema total MA'!C7*C7,0)</f>
        <v>4.6110671672263717</v>
      </c>
      <c r="F7" s="282">
        <v>146895</v>
      </c>
      <c r="G7" s="283">
        <v>145281.44618</v>
      </c>
      <c r="H7" s="326">
        <f t="shared" ref="H7:H12" si="1">IF(F7=0, "    ---- ", IF(ABS(ROUND(100/F7*G7-100,1))&lt;999,ROUND(100/F7*G7-100,1),IF(ROUND(100/F7*G7-100,1)&gt;999,999,-999)))</f>
        <v>-1.1000000000000001</v>
      </c>
      <c r="I7" s="160">
        <f>IFERROR(100/'Skjema total MA'!F7*G7,0)</f>
        <v>3.7227246783425385</v>
      </c>
      <c r="J7" s="284">
        <f t="shared" ref="J7:K12" si="2">SUM(B7,F7)</f>
        <v>229281</v>
      </c>
      <c r="K7" s="285">
        <f t="shared" si="2"/>
        <v>222982.44618</v>
      </c>
      <c r="L7" s="401">
        <f t="shared" ref="L7:L12" si="3">IF(J7=0, "    ---- ", IF(ABS(ROUND(100/J7*K7-100,1))&lt;999,ROUND(100/J7*K7-100,1),IF(ROUND(100/J7*K7-100,1)&gt;999,999,-999)))</f>
        <v>-2.7</v>
      </c>
      <c r="M7" s="11">
        <f>IFERROR(100/'Skjema total MA'!I7*K7,0)</f>
        <v>3.9906267211030451</v>
      </c>
    </row>
    <row r="8" spans="1:17" ht="15.75" x14ac:dyDescent="0.2">
      <c r="A8" s="21" t="s">
        <v>25</v>
      </c>
      <c r="B8" s="258">
        <v>9877.59</v>
      </c>
      <c r="C8" s="259">
        <v>9551.3739999999998</v>
      </c>
      <c r="D8" s="166">
        <f t="shared" si="0"/>
        <v>-3.3</v>
      </c>
      <c r="E8" s="27">
        <f>IFERROR(100/'Skjema total MA'!C8*C8,0)</f>
        <v>0.83766100738313531</v>
      </c>
      <c r="F8" s="262"/>
      <c r="G8" s="263"/>
      <c r="H8" s="166"/>
      <c r="I8" s="175"/>
      <c r="J8" s="211">
        <f t="shared" si="2"/>
        <v>9877.59</v>
      </c>
      <c r="K8" s="264">
        <f t="shared" si="2"/>
        <v>9551.3739999999998</v>
      </c>
      <c r="L8" s="166">
        <f t="shared" si="3"/>
        <v>-3.3</v>
      </c>
      <c r="M8" s="27">
        <f>IFERROR(100/'Skjema total MA'!I8*K8,0)</f>
        <v>0.83766100738313531</v>
      </c>
    </row>
    <row r="9" spans="1:17" ht="15.75" x14ac:dyDescent="0.2">
      <c r="A9" s="21" t="s">
        <v>24</v>
      </c>
      <c r="B9" s="258">
        <v>6113.1310000000003</v>
      </c>
      <c r="C9" s="259">
        <v>5853.4560000000001</v>
      </c>
      <c r="D9" s="166">
        <f t="shared" si="0"/>
        <v>-4.2</v>
      </c>
      <c r="E9" s="27">
        <f>IFERROR(100/'Skjema total MA'!C9*C9,0)</f>
        <v>1.6411553838486106</v>
      </c>
      <c r="F9" s="262"/>
      <c r="G9" s="263"/>
      <c r="H9" s="166"/>
      <c r="I9" s="175"/>
      <c r="J9" s="211">
        <f t="shared" si="2"/>
        <v>6113.1310000000003</v>
      </c>
      <c r="K9" s="264">
        <f t="shared" si="2"/>
        <v>5853.4560000000001</v>
      </c>
      <c r="L9" s="166">
        <f t="shared" si="3"/>
        <v>-4.2</v>
      </c>
      <c r="M9" s="27">
        <f>IFERROR(100/'Skjema total MA'!I9*K9,0)</f>
        <v>1.6411553838486106</v>
      </c>
    </row>
    <row r="10" spans="1:17" ht="15.75" x14ac:dyDescent="0.2">
      <c r="A10" s="13" t="s">
        <v>341</v>
      </c>
      <c r="B10" s="286">
        <v>12520432</v>
      </c>
      <c r="C10" s="287">
        <v>11290371</v>
      </c>
      <c r="D10" s="171">
        <f t="shared" si="0"/>
        <v>-9.8000000000000007</v>
      </c>
      <c r="E10" s="11">
        <f>IFERROR(100/'Skjema total MA'!C10*C10,0)</f>
        <v>63.984986099109896</v>
      </c>
      <c r="F10" s="286">
        <v>5403210.9129999997</v>
      </c>
      <c r="G10" s="287">
        <v>7128051.2844805997</v>
      </c>
      <c r="H10" s="171">
        <f t="shared" si="1"/>
        <v>31.9</v>
      </c>
      <c r="I10" s="160">
        <f>IFERROR(100/'Skjema total MA'!F10*G10,0)</f>
        <v>10.926867044674918</v>
      </c>
      <c r="J10" s="284">
        <f t="shared" si="2"/>
        <v>17923642.912999999</v>
      </c>
      <c r="K10" s="285">
        <f t="shared" si="2"/>
        <v>18418422.284480602</v>
      </c>
      <c r="L10" s="402">
        <f t="shared" si="3"/>
        <v>2.8</v>
      </c>
      <c r="M10" s="11">
        <f>IFERROR(100/'Skjema total MA'!I10*K10,0)</f>
        <v>22.223129495048386</v>
      </c>
      <c r="Q10" s="149"/>
    </row>
    <row r="11" spans="1:17" s="43" customFormat="1" ht="15.75" x14ac:dyDescent="0.2">
      <c r="A11" s="13" t="s">
        <v>342</v>
      </c>
      <c r="B11" s="286">
        <v>12545</v>
      </c>
      <c r="C11" s="287">
        <v>8831</v>
      </c>
      <c r="D11" s="171">
        <f t="shared" si="0"/>
        <v>-29.6</v>
      </c>
      <c r="E11" s="11">
        <f>IFERROR(100/'Skjema total MA'!C11*C11,0)</f>
        <v>100</v>
      </c>
      <c r="F11" s="286">
        <v>28412</v>
      </c>
      <c r="G11" s="287">
        <v>18964</v>
      </c>
      <c r="H11" s="171">
        <f t="shared" si="1"/>
        <v>-33.299999999999997</v>
      </c>
      <c r="I11" s="160">
        <f>IFERROR(100/'Skjema total MA'!F11*G11,0)</f>
        <v>17.682499037549988</v>
      </c>
      <c r="J11" s="284">
        <f t="shared" si="2"/>
        <v>40957</v>
      </c>
      <c r="K11" s="285">
        <f t="shared" si="2"/>
        <v>27795</v>
      </c>
      <c r="L11" s="402">
        <f t="shared" si="3"/>
        <v>-32.1</v>
      </c>
      <c r="M11" s="11">
        <f>IFERROR(100/'Skjema total MA'!I11*K11,0)</f>
        <v>23.945047247012106</v>
      </c>
      <c r="N11" s="143"/>
    </row>
    <row r="12" spans="1:17" s="43" customFormat="1" ht="15.75" x14ac:dyDescent="0.2">
      <c r="A12" s="41" t="s">
        <v>343</v>
      </c>
      <c r="B12" s="288">
        <v>1342</v>
      </c>
      <c r="C12" s="289">
        <v>3501</v>
      </c>
      <c r="D12" s="169">
        <f t="shared" si="0"/>
        <v>160.9</v>
      </c>
      <c r="E12" s="36">
        <f>IFERROR(100/'Skjema total MA'!C12*C12,0)</f>
        <v>100</v>
      </c>
      <c r="F12" s="288">
        <v>51493</v>
      </c>
      <c r="G12" s="289">
        <v>11995</v>
      </c>
      <c r="H12" s="169">
        <f t="shared" si="1"/>
        <v>-76.7</v>
      </c>
      <c r="I12" s="169">
        <f>IFERROR(100/'Skjema total MA'!F12*G12,0)</f>
        <v>24.896004770017232</v>
      </c>
      <c r="J12" s="290">
        <f t="shared" si="2"/>
        <v>52835</v>
      </c>
      <c r="K12" s="291">
        <f t="shared" si="2"/>
        <v>15496</v>
      </c>
      <c r="L12" s="403">
        <f t="shared" si="3"/>
        <v>-70.7</v>
      </c>
      <c r="M12" s="36">
        <f>IFERROR(100/'Skjema total MA'!I12*K12,0)</f>
        <v>29.983695479384547</v>
      </c>
      <c r="N12" s="143"/>
      <c r="Q12" s="143"/>
    </row>
    <row r="13" spans="1:17" s="43" customFormat="1" x14ac:dyDescent="0.2">
      <c r="A13" s="168"/>
      <c r="B13" s="145"/>
      <c r="C13" s="33"/>
      <c r="D13" s="159"/>
      <c r="E13" s="159"/>
      <c r="F13" s="145"/>
      <c r="G13" s="33"/>
      <c r="H13" s="159"/>
      <c r="I13" s="159"/>
      <c r="J13" s="48"/>
      <c r="K13" s="48"/>
      <c r="L13" s="159"/>
      <c r="M13" s="159"/>
      <c r="N13" s="143"/>
    </row>
    <row r="14" spans="1:17" x14ac:dyDescent="0.2">
      <c r="A14" s="153" t="s">
        <v>251</v>
      </c>
      <c r="B14" s="26"/>
    </row>
    <row r="15" spans="1:17" x14ac:dyDescent="0.2">
      <c r="F15" s="146"/>
      <c r="G15" s="146"/>
      <c r="H15" s="146"/>
      <c r="I15" s="146"/>
      <c r="J15" s="146"/>
      <c r="K15" s="146"/>
      <c r="L15" s="146"/>
      <c r="M15" s="146"/>
    </row>
    <row r="16" spans="1:17" s="3" customFormat="1" ht="15.75" x14ac:dyDescent="0.25">
      <c r="A16" s="164"/>
      <c r="B16" s="148"/>
      <c r="C16" s="154"/>
      <c r="D16" s="154"/>
      <c r="E16" s="154"/>
      <c r="F16" s="154"/>
      <c r="G16" s="154"/>
      <c r="H16" s="154"/>
      <c r="I16" s="154"/>
      <c r="J16" s="154"/>
      <c r="K16" s="154"/>
      <c r="L16" s="154"/>
      <c r="M16" s="154"/>
      <c r="N16" s="148"/>
    </row>
    <row r="17" spans="1:14" ht="15.75" x14ac:dyDescent="0.25">
      <c r="A17" s="147" t="s">
        <v>248</v>
      </c>
      <c r="B17" s="157"/>
      <c r="C17" s="157"/>
      <c r="D17" s="151"/>
      <c r="E17" s="151"/>
      <c r="F17" s="157"/>
      <c r="G17" s="157"/>
      <c r="H17" s="157"/>
      <c r="I17" s="157"/>
      <c r="J17" s="157"/>
      <c r="K17" s="157"/>
      <c r="L17" s="157"/>
      <c r="M17" s="157"/>
    </row>
    <row r="18" spans="1:14" ht="15.75" x14ac:dyDescent="0.25">
      <c r="B18" s="694"/>
      <c r="C18" s="694"/>
      <c r="D18" s="694"/>
      <c r="E18" s="275"/>
      <c r="F18" s="694"/>
      <c r="G18" s="694"/>
      <c r="H18" s="694"/>
      <c r="I18" s="275"/>
      <c r="J18" s="694"/>
      <c r="K18" s="694"/>
      <c r="L18" s="694"/>
      <c r="M18" s="275"/>
    </row>
    <row r="19" spans="1:14" x14ac:dyDescent="0.2">
      <c r="A19" s="144"/>
      <c r="B19" s="695" t="s">
        <v>0</v>
      </c>
      <c r="C19" s="696"/>
      <c r="D19" s="696"/>
      <c r="E19" s="277"/>
      <c r="F19" s="695" t="s">
        <v>1</v>
      </c>
      <c r="G19" s="696"/>
      <c r="H19" s="696"/>
      <c r="I19" s="280"/>
      <c r="J19" s="695" t="s">
        <v>2</v>
      </c>
      <c r="K19" s="696"/>
      <c r="L19" s="696"/>
      <c r="M19" s="280"/>
    </row>
    <row r="20" spans="1:14" x14ac:dyDescent="0.2">
      <c r="A20" s="140" t="s">
        <v>5</v>
      </c>
      <c r="B20" s="152" t="s">
        <v>412</v>
      </c>
      <c r="C20" s="152" t="s">
        <v>413</v>
      </c>
      <c r="D20" s="162" t="s">
        <v>3</v>
      </c>
      <c r="E20" s="281" t="s">
        <v>29</v>
      </c>
      <c r="F20" s="152" t="s">
        <v>412</v>
      </c>
      <c r="G20" s="152" t="s">
        <v>413</v>
      </c>
      <c r="H20" s="162" t="s">
        <v>3</v>
      </c>
      <c r="I20" s="162" t="s">
        <v>29</v>
      </c>
      <c r="J20" s="152" t="s">
        <v>412</v>
      </c>
      <c r="K20" s="152" t="s">
        <v>413</v>
      </c>
      <c r="L20" s="162" t="s">
        <v>3</v>
      </c>
      <c r="M20" s="162" t="s">
        <v>29</v>
      </c>
    </row>
    <row r="21" spans="1:14" x14ac:dyDescent="0.2">
      <c r="A21" s="662"/>
      <c r="B21" s="156"/>
      <c r="C21" s="156"/>
      <c r="D21" s="223" t="s">
        <v>4</v>
      </c>
      <c r="E21" s="156" t="s">
        <v>30</v>
      </c>
      <c r="F21" s="161"/>
      <c r="G21" s="161"/>
      <c r="H21" s="222" t="s">
        <v>4</v>
      </c>
      <c r="I21" s="156" t="s">
        <v>30</v>
      </c>
      <c r="J21" s="161"/>
      <c r="K21" s="161"/>
      <c r="L21" s="156" t="s">
        <v>4</v>
      </c>
      <c r="M21" s="156" t="s">
        <v>30</v>
      </c>
    </row>
    <row r="22" spans="1:14" ht="15.75" x14ac:dyDescent="0.2">
      <c r="A22" s="14" t="s">
        <v>23</v>
      </c>
      <c r="B22" s="286">
        <v>95240</v>
      </c>
      <c r="C22" s="286">
        <v>93926.115739999994</v>
      </c>
      <c r="D22" s="326">
        <f t="shared" ref="D22:D39" si="4">IF(B22=0, "    ---- ", IF(ABS(ROUND(100/B22*C22-100,1))&lt;999,ROUND(100/B22*C22-100,1),IF(ROUND(100/B22*C22-100,1)&gt;999,999,-999)))</f>
        <v>-1.4</v>
      </c>
      <c r="E22" s="11">
        <f>IFERROR(100/'Skjema total MA'!C22*C22,0)</f>
        <v>13.790042865920013</v>
      </c>
      <c r="F22" s="294">
        <v>26142.304</v>
      </c>
      <c r="G22" s="294">
        <v>59206.292070000003</v>
      </c>
      <c r="H22" s="326">
        <f t="shared" ref="H22:H35" si="5">IF(F22=0, "    ---- ", IF(ABS(ROUND(100/F22*G22-100,1))&lt;999,ROUND(100/F22*G22-100,1),IF(ROUND(100/F22*G22-100,1)&gt;999,999,-999)))</f>
        <v>126.5</v>
      </c>
      <c r="I22" s="11">
        <f>IFERROR(100/'Skjema total MA'!F22*G22,0)</f>
        <v>13.986848012557481</v>
      </c>
      <c r="J22" s="292">
        <f t="shared" ref="J22:J39" si="6">SUM(B22,F22)</f>
        <v>121382.304</v>
      </c>
      <c r="K22" s="292">
        <f t="shared" ref="K22:K39" si="7">SUM(C22,G22)</f>
        <v>153132.40781</v>
      </c>
      <c r="L22" s="401">
        <f t="shared" ref="L22:L35" si="8">IF(J22=0, "    ---- ", IF(ABS(ROUND(100/J22*K22-100,1))&lt;999,ROUND(100/J22*K22-100,1),IF(ROUND(100/J22*K22-100,1)&gt;999,999,-999)))</f>
        <v>26.2</v>
      </c>
      <c r="M22" s="24">
        <f>IFERROR(100/'Skjema total MA'!I22*K22,0)</f>
        <v>13.865474249958455</v>
      </c>
    </row>
    <row r="23" spans="1:14" ht="15.75" x14ac:dyDescent="0.2">
      <c r="A23" s="545" t="s">
        <v>344</v>
      </c>
      <c r="B23" s="258">
        <v>79705</v>
      </c>
      <c r="C23" s="258">
        <v>78605.428969515997</v>
      </c>
      <c r="D23" s="166">
        <f t="shared" si="4"/>
        <v>-1.4</v>
      </c>
      <c r="E23" s="27">
        <f>IFERROR(100/'Skjema total MA'!C23*C23,0)</f>
        <v>23.56115019205571</v>
      </c>
      <c r="F23" s="267">
        <v>20514.137999999999</v>
      </c>
      <c r="G23" s="267">
        <v>56689.705320000001</v>
      </c>
      <c r="H23" s="166">
        <f t="shared" si="5"/>
        <v>176.3</v>
      </c>
      <c r="I23" s="391">
        <f>IFERROR(100/'Skjema total MA'!F23*G23,0)</f>
        <v>84.229439173556045</v>
      </c>
      <c r="J23" s="267">
        <f t="shared" si="6"/>
        <v>100219.13800000001</v>
      </c>
      <c r="K23" s="267">
        <f t="shared" si="7"/>
        <v>135295.13428951599</v>
      </c>
      <c r="L23" s="166">
        <f t="shared" si="8"/>
        <v>35</v>
      </c>
      <c r="M23" s="23">
        <f>IFERROR(100/'Skjema total MA'!I23*K23,0)</f>
        <v>33.745581235975074</v>
      </c>
    </row>
    <row r="24" spans="1:14" ht="15.75" x14ac:dyDescent="0.2">
      <c r="A24" s="545" t="s">
        <v>345</v>
      </c>
      <c r="B24" s="258">
        <v>5648</v>
      </c>
      <c r="C24" s="258">
        <v>5570.0829661856396</v>
      </c>
      <c r="D24" s="166">
        <f t="shared" si="4"/>
        <v>-1.4</v>
      </c>
      <c r="E24" s="27">
        <f>IFERROR(100/'Skjema total MA'!C24*C24,0)</f>
        <v>75.059321807310297</v>
      </c>
      <c r="F24" s="267">
        <v>102.34399999999999</v>
      </c>
      <c r="G24" s="267">
        <v>6.8077500000000004</v>
      </c>
      <c r="H24" s="166">
        <f t="shared" si="5"/>
        <v>-93.3</v>
      </c>
      <c r="I24" s="391">
        <f>IFERROR(100/'Skjema total MA'!F24*G24,0)</f>
        <v>14.176598424357325</v>
      </c>
      <c r="J24" s="267">
        <f t="shared" si="6"/>
        <v>5750.3440000000001</v>
      </c>
      <c r="K24" s="267">
        <f t="shared" si="7"/>
        <v>5576.8907161856396</v>
      </c>
      <c r="L24" s="166">
        <f t="shared" si="8"/>
        <v>-3</v>
      </c>
      <c r="M24" s="23">
        <f>IFERROR(100/'Skjema total MA'!I24*K24,0)</f>
        <v>74.667879900459525</v>
      </c>
    </row>
    <row r="25" spans="1:14" ht="15.75" x14ac:dyDescent="0.2">
      <c r="A25" s="545" t="s">
        <v>346</v>
      </c>
      <c r="B25" s="258">
        <v>9887</v>
      </c>
      <c r="C25" s="258">
        <v>9750.6038042984001</v>
      </c>
      <c r="D25" s="166">
        <f t="shared" si="4"/>
        <v>-1.4</v>
      </c>
      <c r="E25" s="27">
        <f>IFERROR(100/'Skjema total MA'!C25*C25,0)</f>
        <v>99.105564145579734</v>
      </c>
      <c r="F25" s="267">
        <v>5525.8220000000001</v>
      </c>
      <c r="G25" s="267">
        <v>2509.779</v>
      </c>
      <c r="H25" s="166">
        <f t="shared" si="5"/>
        <v>-54.6</v>
      </c>
      <c r="I25" s="391">
        <f>IFERROR(100/'Skjema total MA'!F25*G25,0)</f>
        <v>68.521204291782837</v>
      </c>
      <c r="J25" s="267">
        <f t="shared" si="6"/>
        <v>15412.822</v>
      </c>
      <c r="K25" s="267">
        <f t="shared" si="7"/>
        <v>12260.382804298401</v>
      </c>
      <c r="L25" s="166">
        <f t="shared" si="8"/>
        <v>-20.5</v>
      </c>
      <c r="M25" s="23">
        <f>IFERROR(100/'Skjema total MA'!I25*K25,0)</f>
        <v>90.808361485102509</v>
      </c>
    </row>
    <row r="26" spans="1:14" ht="15.75" x14ac:dyDescent="0.2">
      <c r="A26" s="545" t="s">
        <v>347</v>
      </c>
      <c r="B26" s="258"/>
      <c r="C26" s="258"/>
      <c r="D26" s="166"/>
      <c r="E26" s="11"/>
      <c r="F26" s="267"/>
      <c r="G26" s="267"/>
      <c r="H26" s="166"/>
      <c r="I26" s="391"/>
      <c r="J26" s="267"/>
      <c r="K26" s="267"/>
      <c r="L26" s="166"/>
      <c r="M26" s="23"/>
    </row>
    <row r="27" spans="1:14" x14ac:dyDescent="0.2">
      <c r="A27" s="545" t="s">
        <v>11</v>
      </c>
      <c r="B27" s="258"/>
      <c r="C27" s="258"/>
      <c r="D27" s="166"/>
      <c r="E27" s="11"/>
      <c r="F27" s="267"/>
      <c r="G27" s="267"/>
      <c r="H27" s="166"/>
      <c r="I27" s="391"/>
      <c r="J27" s="267"/>
      <c r="K27" s="267"/>
      <c r="L27" s="166"/>
      <c r="M27" s="23"/>
    </row>
    <row r="28" spans="1:14" ht="15.75" x14ac:dyDescent="0.2">
      <c r="A28" s="49" t="s">
        <v>252</v>
      </c>
      <c r="B28" s="44">
        <v>29603.864000000001</v>
      </c>
      <c r="C28" s="264">
        <v>28850.674999999999</v>
      </c>
      <c r="D28" s="166">
        <f t="shared" si="4"/>
        <v>-2.5</v>
      </c>
      <c r="E28" s="11">
        <f>IFERROR(100/'Skjema total MA'!C28*C28,0)</f>
        <v>3.9658972618247663</v>
      </c>
      <c r="F28" s="211"/>
      <c r="G28" s="264"/>
      <c r="H28" s="166"/>
      <c r="I28" s="27"/>
      <c r="J28" s="44">
        <f t="shared" si="6"/>
        <v>29603.864000000001</v>
      </c>
      <c r="K28" s="44">
        <f t="shared" si="7"/>
        <v>28850.674999999999</v>
      </c>
      <c r="L28" s="231">
        <f t="shared" si="8"/>
        <v>-2.5</v>
      </c>
      <c r="M28" s="23">
        <f>IFERROR(100/'Skjema total MA'!I28*K28,0)</f>
        <v>3.9658972618247663</v>
      </c>
    </row>
    <row r="29" spans="1:14" s="3" customFormat="1" ht="15.75" x14ac:dyDescent="0.2">
      <c r="A29" s="13" t="s">
        <v>341</v>
      </c>
      <c r="B29" s="213">
        <v>24783335</v>
      </c>
      <c r="C29" s="213">
        <v>23346872</v>
      </c>
      <c r="D29" s="171">
        <f t="shared" si="4"/>
        <v>-5.8</v>
      </c>
      <c r="E29" s="11">
        <f>IFERROR(100/'Skjema total MA'!C29*C29,0)</f>
        <v>50.960045620118187</v>
      </c>
      <c r="F29" s="284">
        <v>5019383.1310000001</v>
      </c>
      <c r="G29" s="284">
        <v>5937063.0000893902</v>
      </c>
      <c r="H29" s="171">
        <f t="shared" si="5"/>
        <v>18.3</v>
      </c>
      <c r="I29" s="11">
        <f>IFERROR(100/'Skjema total MA'!F29*G29,0)</f>
        <v>23.360756871928565</v>
      </c>
      <c r="J29" s="213">
        <f t="shared" si="6"/>
        <v>29802718.131000001</v>
      </c>
      <c r="K29" s="213">
        <f t="shared" si="7"/>
        <v>29283935.000089392</v>
      </c>
      <c r="L29" s="402">
        <f t="shared" si="8"/>
        <v>-1.7</v>
      </c>
      <c r="M29" s="24">
        <f>IFERROR(100/'Skjema total MA'!I29*K29,0)</f>
        <v>41.112516666563614</v>
      </c>
      <c r="N29" s="148"/>
    </row>
    <row r="30" spans="1:14" s="3" customFormat="1" ht="15.75" x14ac:dyDescent="0.2">
      <c r="A30" s="545" t="s">
        <v>344</v>
      </c>
      <c r="B30" s="258">
        <v>9849958</v>
      </c>
      <c r="C30" s="258">
        <v>9279046.1264142208</v>
      </c>
      <c r="D30" s="166">
        <f t="shared" si="4"/>
        <v>-5.8</v>
      </c>
      <c r="E30" s="27">
        <f>IFERROR(100/'Skjema total MA'!C30*C30,0)</f>
        <v>67.670166805102554</v>
      </c>
      <c r="F30" s="267">
        <v>1829957.0619999999</v>
      </c>
      <c r="G30" s="267">
        <v>2357951.28339</v>
      </c>
      <c r="H30" s="166">
        <f t="shared" si="5"/>
        <v>28.9</v>
      </c>
      <c r="I30" s="391">
        <f>IFERROR(100/'Skjema total MA'!F30*G30,0)</f>
        <v>51.083295075498157</v>
      </c>
      <c r="J30" s="267">
        <f t="shared" si="6"/>
        <v>11679915.061999999</v>
      </c>
      <c r="K30" s="267">
        <f t="shared" si="7"/>
        <v>11636997.409804221</v>
      </c>
      <c r="L30" s="166">
        <f t="shared" si="8"/>
        <v>-0.4</v>
      </c>
      <c r="M30" s="23">
        <f>IFERROR(100/'Skjema total MA'!I30*K30,0)</f>
        <v>63.492787891308438</v>
      </c>
      <c r="N30" s="148"/>
    </row>
    <row r="31" spans="1:14" s="3" customFormat="1" ht="15.75" x14ac:dyDescent="0.2">
      <c r="A31" s="545" t="s">
        <v>345</v>
      </c>
      <c r="B31" s="258">
        <v>12389706</v>
      </c>
      <c r="C31" s="258">
        <v>11671588.1901944</v>
      </c>
      <c r="D31" s="166">
        <f t="shared" si="4"/>
        <v>-5.8</v>
      </c>
      <c r="E31" s="27">
        <f>IFERROR(100/'Skjema total MA'!C31*C31,0)</f>
        <v>50.350989391305319</v>
      </c>
      <c r="F31" s="267">
        <v>2795857.9350000001</v>
      </c>
      <c r="G31" s="267">
        <v>3074585.9263493898</v>
      </c>
      <c r="H31" s="166">
        <f t="shared" si="5"/>
        <v>10</v>
      </c>
      <c r="I31" s="391">
        <f>IFERROR(100/'Skjema total MA'!F31*G31,0)</f>
        <v>31.522916295041735</v>
      </c>
      <c r="J31" s="267">
        <f t="shared" si="6"/>
        <v>15185563.935000001</v>
      </c>
      <c r="K31" s="267">
        <f t="shared" si="7"/>
        <v>14746174.11654379</v>
      </c>
      <c r="L31" s="166">
        <f t="shared" si="8"/>
        <v>-2.9</v>
      </c>
      <c r="M31" s="23">
        <f>IFERROR(100/'Skjema total MA'!I31*K31,0)</f>
        <v>44.774995205018882</v>
      </c>
      <c r="N31" s="148"/>
    </row>
    <row r="32" spans="1:14" ht="15.75" x14ac:dyDescent="0.2">
      <c r="A32" s="545" t="s">
        <v>346</v>
      </c>
      <c r="B32" s="258">
        <v>2543671</v>
      </c>
      <c r="C32" s="258">
        <v>2396237.6833913601</v>
      </c>
      <c r="D32" s="166">
        <f t="shared" si="4"/>
        <v>-5.8</v>
      </c>
      <c r="E32" s="27">
        <f>IFERROR(100/'Skjema total MA'!C32*C32,0)</f>
        <v>81.272056393222087</v>
      </c>
      <c r="F32" s="267">
        <v>393568.13400000002</v>
      </c>
      <c r="G32" s="267">
        <v>504525.79035000002</v>
      </c>
      <c r="H32" s="166">
        <f t="shared" si="5"/>
        <v>28.2</v>
      </c>
      <c r="I32" s="391">
        <f>IFERROR(100/'Skjema total MA'!F32*G32,0)</f>
        <v>9.2627121945805104</v>
      </c>
      <c r="J32" s="267">
        <f t="shared" si="6"/>
        <v>2937239.1340000001</v>
      </c>
      <c r="K32" s="267">
        <f t="shared" si="7"/>
        <v>2900763.47374136</v>
      </c>
      <c r="L32" s="166">
        <f t="shared" si="8"/>
        <v>-1.2</v>
      </c>
      <c r="M32" s="23">
        <f>IFERROR(100/'Skjema total MA'!I32*K32,0)</f>
        <v>34.552385476583218</v>
      </c>
    </row>
    <row r="33" spans="1:14" ht="15.75" x14ac:dyDescent="0.2">
      <c r="A33" s="545" t="s">
        <v>347</v>
      </c>
      <c r="B33" s="258"/>
      <c r="C33" s="258"/>
      <c r="D33" s="166"/>
      <c r="E33" s="11"/>
      <c r="F33" s="267"/>
      <c r="G33" s="267"/>
      <c r="H33" s="166"/>
      <c r="I33" s="391"/>
      <c r="J33" s="267"/>
      <c r="K33" s="267"/>
      <c r="L33" s="166"/>
      <c r="M33" s="23"/>
    </row>
    <row r="34" spans="1:14" ht="15.75" x14ac:dyDescent="0.2">
      <c r="A34" s="13" t="s">
        <v>342</v>
      </c>
      <c r="B34" s="213">
        <v>3431</v>
      </c>
      <c r="C34" s="285">
        <v>-211</v>
      </c>
      <c r="D34" s="171">
        <f t="shared" si="4"/>
        <v>-106.1</v>
      </c>
      <c r="E34" s="11">
        <f>IFERROR(100/'Skjema total MA'!C34*C34,0)</f>
        <v>-4.7524117363398011</v>
      </c>
      <c r="F34" s="284">
        <v>-20788</v>
      </c>
      <c r="G34" s="285">
        <v>-48757</v>
      </c>
      <c r="H34" s="171">
        <f t="shared" si="5"/>
        <v>134.5</v>
      </c>
      <c r="I34" s="11">
        <f>IFERROR(100/'Skjema total MA'!F34*G34,0)</f>
        <v>188.98729228546711</v>
      </c>
      <c r="J34" s="213">
        <f t="shared" si="6"/>
        <v>-17357</v>
      </c>
      <c r="K34" s="213">
        <f t="shared" si="7"/>
        <v>-48968</v>
      </c>
      <c r="L34" s="402">
        <f t="shared" si="8"/>
        <v>182.1</v>
      </c>
      <c r="M34" s="24">
        <f>IFERROR(100/'Skjema total MA'!I34*K34,0)</f>
        <v>229.25911345262992</v>
      </c>
    </row>
    <row r="35" spans="1:14" ht="15.75" x14ac:dyDescent="0.2">
      <c r="A35" s="13" t="s">
        <v>343</v>
      </c>
      <c r="B35" s="213">
        <v>-22916</v>
      </c>
      <c r="C35" s="285">
        <v>-51891</v>
      </c>
      <c r="D35" s="171">
        <f t="shared" si="4"/>
        <v>126.4</v>
      </c>
      <c r="E35" s="11">
        <f>IFERROR(100/'Skjema total MA'!C35*C35,0)</f>
        <v>100.49114414893116</v>
      </c>
      <c r="F35" s="284">
        <v>17553</v>
      </c>
      <c r="G35" s="285">
        <v>12002</v>
      </c>
      <c r="H35" s="171">
        <f t="shared" si="5"/>
        <v>-31.6</v>
      </c>
      <c r="I35" s="11">
        <f>IFERROR(100/'Skjema total MA'!F35*G35,0)</f>
        <v>19.882571926607916</v>
      </c>
      <c r="J35" s="213">
        <f t="shared" si="6"/>
        <v>-5363</v>
      </c>
      <c r="K35" s="213">
        <f t="shared" si="7"/>
        <v>-39889</v>
      </c>
      <c r="L35" s="402">
        <f t="shared" si="8"/>
        <v>643.79999999999995</v>
      </c>
      <c r="M35" s="24">
        <f>IFERROR(100/'Skjema total MA'!I35*K35,0)</f>
        <v>-457.07375695022426</v>
      </c>
    </row>
    <row r="36" spans="1:14" ht="15.75" x14ac:dyDescent="0.2">
      <c r="A36" s="12" t="s">
        <v>260</v>
      </c>
      <c r="B36" s="213">
        <v>649</v>
      </c>
      <c r="C36" s="285">
        <v>958</v>
      </c>
      <c r="D36" s="171">
        <f t="shared" si="4"/>
        <v>47.6</v>
      </c>
      <c r="E36" s="11">
        <f>IFERROR(100/'Skjema total MA'!C36*C36,0)</f>
        <v>95.870944498929205</v>
      </c>
      <c r="F36" s="295"/>
      <c r="G36" s="296"/>
      <c r="H36" s="171"/>
      <c r="I36" s="408"/>
      <c r="J36" s="213">
        <f t="shared" si="6"/>
        <v>649</v>
      </c>
      <c r="K36" s="213">
        <f t="shared" si="7"/>
        <v>958</v>
      </c>
      <c r="L36" s="402"/>
      <c r="M36" s="24">
        <f>IFERROR(100/'Skjema total MA'!I36*K36,0)</f>
        <v>95.870944498929205</v>
      </c>
    </row>
    <row r="37" spans="1:14" ht="15.75" x14ac:dyDescent="0.2">
      <c r="A37" s="12" t="s">
        <v>349</v>
      </c>
      <c r="B37" s="213">
        <v>3107950</v>
      </c>
      <c r="C37" s="285">
        <v>2896004</v>
      </c>
      <c r="D37" s="171">
        <f t="shared" si="4"/>
        <v>-6.8</v>
      </c>
      <c r="E37" s="11">
        <f>IFERROR(100/'Skjema total MA'!C37*C37,0)</f>
        <v>86.483618132179657</v>
      </c>
      <c r="F37" s="295"/>
      <c r="G37" s="297"/>
      <c r="H37" s="171"/>
      <c r="I37" s="408"/>
      <c r="J37" s="213">
        <f t="shared" si="6"/>
        <v>3107950</v>
      </c>
      <c r="K37" s="213">
        <f t="shared" si="7"/>
        <v>2896004</v>
      </c>
      <c r="L37" s="402"/>
      <c r="M37" s="24">
        <f>IFERROR(100/'Skjema total MA'!I37*K37,0)</f>
        <v>86.483618132179657</v>
      </c>
    </row>
    <row r="38" spans="1:14" ht="15.75" x14ac:dyDescent="0.2">
      <c r="A38" s="12" t="s">
        <v>350</v>
      </c>
      <c r="B38" s="213"/>
      <c r="C38" s="285"/>
      <c r="D38" s="171"/>
      <c r="E38" s="24"/>
      <c r="F38" s="295"/>
      <c r="G38" s="296"/>
      <c r="H38" s="171"/>
      <c r="I38" s="408"/>
      <c r="J38" s="213"/>
      <c r="K38" s="213"/>
      <c r="L38" s="402"/>
      <c r="M38" s="24"/>
    </row>
    <row r="39" spans="1:14" ht="15.75" x14ac:dyDescent="0.2">
      <c r="A39" s="18" t="s">
        <v>351</v>
      </c>
      <c r="B39" s="253">
        <v>0</v>
      </c>
      <c r="C39" s="291">
        <v>2</v>
      </c>
      <c r="D39" s="169" t="str">
        <f t="shared" si="4"/>
        <v xml:space="preserve">    ---- </v>
      </c>
      <c r="E39" s="36">
        <f>IFERROR(100/'Skjema total MA'!C38*C39,0)</f>
        <v>0</v>
      </c>
      <c r="F39" s="298"/>
      <c r="G39" s="299"/>
      <c r="H39" s="169"/>
      <c r="I39" s="36"/>
      <c r="J39" s="213">
        <f t="shared" si="6"/>
        <v>0</v>
      </c>
      <c r="K39" s="213">
        <f t="shared" si="7"/>
        <v>2</v>
      </c>
      <c r="L39" s="403"/>
      <c r="M39" s="36">
        <f>IFERROR(100/'Skjema total MA'!I39*K39,0)</f>
        <v>100</v>
      </c>
    </row>
    <row r="40" spans="1:14" ht="15.75" x14ac:dyDescent="0.25">
      <c r="A40" s="47"/>
      <c r="B40" s="230"/>
      <c r="C40" s="230"/>
      <c r="D40" s="698"/>
      <c r="E40" s="698"/>
      <c r="F40" s="698"/>
      <c r="G40" s="698"/>
      <c r="H40" s="698"/>
      <c r="I40" s="698"/>
      <c r="J40" s="698"/>
      <c r="K40" s="698"/>
      <c r="L40" s="698"/>
      <c r="M40" s="278"/>
    </row>
    <row r="41" spans="1:14" x14ac:dyDescent="0.2">
      <c r="A41" s="155"/>
    </row>
    <row r="42" spans="1:14" ht="15.75" x14ac:dyDescent="0.25">
      <c r="A42" s="147" t="s">
        <v>249</v>
      </c>
      <c r="B42" s="699"/>
      <c r="C42" s="699"/>
      <c r="D42" s="699"/>
      <c r="E42" s="275"/>
      <c r="F42" s="700"/>
      <c r="G42" s="700"/>
      <c r="H42" s="700"/>
      <c r="I42" s="278"/>
      <c r="J42" s="700"/>
      <c r="K42" s="700"/>
      <c r="L42" s="700"/>
      <c r="M42" s="278"/>
    </row>
    <row r="43" spans="1:14" ht="15.75" x14ac:dyDescent="0.25">
      <c r="A43" s="163"/>
      <c r="B43" s="279"/>
      <c r="C43" s="279"/>
      <c r="D43" s="279"/>
      <c r="E43" s="279"/>
      <c r="F43" s="278"/>
      <c r="G43" s="278"/>
      <c r="H43" s="278"/>
      <c r="I43" s="278"/>
      <c r="J43" s="278"/>
      <c r="K43" s="278"/>
      <c r="L43" s="278"/>
      <c r="M43" s="278"/>
    </row>
    <row r="44" spans="1:14" ht="15.75" x14ac:dyDescent="0.25">
      <c r="A44" s="224"/>
      <c r="B44" s="695" t="s">
        <v>0</v>
      </c>
      <c r="C44" s="696"/>
      <c r="D44" s="696"/>
      <c r="E44" s="220"/>
      <c r="F44" s="278"/>
      <c r="G44" s="278"/>
      <c r="H44" s="278"/>
      <c r="I44" s="278"/>
      <c r="J44" s="278"/>
      <c r="K44" s="278"/>
      <c r="L44" s="278"/>
      <c r="M44" s="278"/>
    </row>
    <row r="45" spans="1:14" s="3" customFormat="1" x14ac:dyDescent="0.2">
      <c r="A45" s="140"/>
      <c r="B45" s="152" t="s">
        <v>412</v>
      </c>
      <c r="C45" s="152" t="s">
        <v>413</v>
      </c>
      <c r="D45" s="162" t="s">
        <v>3</v>
      </c>
      <c r="E45" s="162" t="s">
        <v>29</v>
      </c>
      <c r="F45" s="174"/>
      <c r="G45" s="174"/>
      <c r="H45" s="173"/>
      <c r="I45" s="173"/>
      <c r="J45" s="174"/>
      <c r="K45" s="174"/>
      <c r="L45" s="173"/>
      <c r="M45" s="173"/>
      <c r="N45" s="148"/>
    </row>
    <row r="46" spans="1:14" s="3" customFormat="1" x14ac:dyDescent="0.2">
      <c r="A46" s="662"/>
      <c r="B46" s="221"/>
      <c r="C46" s="221"/>
      <c r="D46" s="222" t="s">
        <v>4</v>
      </c>
      <c r="E46" s="156" t="s">
        <v>30</v>
      </c>
      <c r="F46" s="173"/>
      <c r="G46" s="173"/>
      <c r="H46" s="173"/>
      <c r="I46" s="173"/>
      <c r="J46" s="173"/>
      <c r="K46" s="173"/>
      <c r="L46" s="173"/>
      <c r="M46" s="173"/>
      <c r="N46" s="148"/>
    </row>
    <row r="47" spans="1:14" s="3" customFormat="1" ht="15.75" x14ac:dyDescent="0.2">
      <c r="A47" s="14" t="s">
        <v>23</v>
      </c>
      <c r="B47" s="286">
        <v>266239</v>
      </c>
      <c r="C47" s="287">
        <v>276364</v>
      </c>
      <c r="D47" s="401">
        <f t="shared" ref="D47:D57" si="9">IF(B47=0, "    ---- ", IF(ABS(ROUND(100/B47*C47-100,1))&lt;999,ROUND(100/B47*C47-100,1),IF(ROUND(100/B47*C47-100,1)&gt;999,999,-999)))</f>
        <v>3.8</v>
      </c>
      <c r="E47" s="11">
        <f>IFERROR(100/'Skjema total MA'!C47*C47,0)</f>
        <v>8.7358275441026745</v>
      </c>
      <c r="F47" s="145"/>
      <c r="G47" s="33"/>
      <c r="H47" s="159"/>
      <c r="I47" s="159"/>
      <c r="J47" s="37"/>
      <c r="K47" s="37"/>
      <c r="L47" s="159"/>
      <c r="M47" s="159"/>
      <c r="N47" s="148"/>
    </row>
    <row r="48" spans="1:14" s="3" customFormat="1" ht="15.75" x14ac:dyDescent="0.2">
      <c r="A48" s="38" t="s">
        <v>352</v>
      </c>
      <c r="B48" s="258">
        <v>266239</v>
      </c>
      <c r="C48" s="259">
        <v>276364</v>
      </c>
      <c r="D48" s="231">
        <f t="shared" si="9"/>
        <v>3.8</v>
      </c>
      <c r="E48" s="27">
        <f>IFERROR(100/'Skjema total MA'!C48*C48,0)</f>
        <v>16.111974106283007</v>
      </c>
      <c r="F48" s="145"/>
      <c r="G48" s="33"/>
      <c r="H48" s="145"/>
      <c r="I48" s="145"/>
      <c r="J48" s="33"/>
      <c r="K48" s="33"/>
      <c r="L48" s="159"/>
      <c r="M48" s="159"/>
      <c r="N48" s="148"/>
    </row>
    <row r="49" spans="1:14" s="3" customFormat="1" ht="15.75" x14ac:dyDescent="0.2">
      <c r="A49" s="38" t="s">
        <v>353</v>
      </c>
      <c r="B49" s="44"/>
      <c r="C49" s="264"/>
      <c r="D49" s="231"/>
      <c r="E49" s="27"/>
      <c r="F49" s="145"/>
      <c r="G49" s="33"/>
      <c r="H49" s="145"/>
      <c r="I49" s="145"/>
      <c r="J49" s="37"/>
      <c r="K49" s="37"/>
      <c r="L49" s="159"/>
      <c r="M49" s="159"/>
      <c r="N49" s="148"/>
    </row>
    <row r="50" spans="1:14" s="3" customFormat="1" x14ac:dyDescent="0.2">
      <c r="A50" s="272" t="s">
        <v>6</v>
      </c>
      <c r="B50" s="295"/>
      <c r="C50" s="295"/>
      <c r="D50" s="231"/>
      <c r="E50" s="23"/>
      <c r="F50" s="145"/>
      <c r="G50" s="33"/>
      <c r="H50" s="145"/>
      <c r="I50" s="145"/>
      <c r="J50" s="33"/>
      <c r="K50" s="33"/>
      <c r="L50" s="159"/>
      <c r="M50" s="159"/>
      <c r="N50" s="148"/>
    </row>
    <row r="51" spans="1:14" s="3" customFormat="1" x14ac:dyDescent="0.2">
      <c r="A51" s="272" t="s">
        <v>7</v>
      </c>
      <c r="B51" s="295"/>
      <c r="C51" s="295"/>
      <c r="D51" s="231"/>
      <c r="E51" s="23"/>
      <c r="F51" s="145"/>
      <c r="G51" s="33"/>
      <c r="H51" s="145"/>
      <c r="I51" s="145"/>
      <c r="J51" s="33"/>
      <c r="K51" s="33"/>
      <c r="L51" s="159"/>
      <c r="M51" s="159"/>
      <c r="N51" s="148"/>
    </row>
    <row r="52" spans="1:14" s="3" customFormat="1" x14ac:dyDescent="0.2">
      <c r="A52" s="272" t="s">
        <v>8</v>
      </c>
      <c r="B52" s="295"/>
      <c r="C52" s="295"/>
      <c r="D52" s="231"/>
      <c r="E52" s="23"/>
      <c r="F52" s="145"/>
      <c r="G52" s="33"/>
      <c r="H52" s="145"/>
      <c r="I52" s="145"/>
      <c r="J52" s="33"/>
      <c r="K52" s="33"/>
      <c r="L52" s="159"/>
      <c r="M52" s="159"/>
      <c r="N52" s="148"/>
    </row>
    <row r="53" spans="1:14" s="3" customFormat="1" ht="15.75" x14ac:dyDescent="0.2">
      <c r="A53" s="39" t="s">
        <v>354</v>
      </c>
      <c r="B53" s="286">
        <v>41435</v>
      </c>
      <c r="C53" s="287">
        <v>14900</v>
      </c>
      <c r="D53" s="402">
        <f t="shared" si="9"/>
        <v>-64</v>
      </c>
      <c r="E53" s="11">
        <f>IFERROR(100/'Skjema total MA'!C53*C53,0)</f>
        <v>6.7835598816563518</v>
      </c>
      <c r="F53" s="145"/>
      <c r="G53" s="33"/>
      <c r="H53" s="145"/>
      <c r="I53" s="145"/>
      <c r="J53" s="33"/>
      <c r="K53" s="33"/>
      <c r="L53" s="159"/>
      <c r="M53" s="159"/>
      <c r="N53" s="148"/>
    </row>
    <row r="54" spans="1:14" s="3" customFormat="1" ht="15.75" x14ac:dyDescent="0.2">
      <c r="A54" s="38" t="s">
        <v>352</v>
      </c>
      <c r="B54" s="258">
        <v>41435</v>
      </c>
      <c r="C54" s="259">
        <v>14900</v>
      </c>
      <c r="D54" s="231">
        <f t="shared" si="9"/>
        <v>-64</v>
      </c>
      <c r="E54" s="27">
        <f>IFERROR(100/'Skjema total MA'!C54*C54,0)</f>
        <v>7.4207466791163101</v>
      </c>
      <c r="F54" s="145"/>
      <c r="G54" s="33"/>
      <c r="H54" s="145"/>
      <c r="I54" s="145"/>
      <c r="J54" s="33"/>
      <c r="K54" s="33"/>
      <c r="L54" s="159"/>
      <c r="M54" s="159"/>
      <c r="N54" s="148"/>
    </row>
    <row r="55" spans="1:14" s="3" customFormat="1" ht="15.75" x14ac:dyDescent="0.2">
      <c r="A55" s="38" t="s">
        <v>353</v>
      </c>
      <c r="B55" s="258"/>
      <c r="C55" s="259"/>
      <c r="D55" s="231"/>
      <c r="E55" s="27"/>
      <c r="F55" s="145"/>
      <c r="G55" s="33"/>
      <c r="H55" s="145"/>
      <c r="I55" s="145"/>
      <c r="J55" s="33"/>
      <c r="K55" s="33"/>
      <c r="L55" s="159"/>
      <c r="M55" s="159"/>
      <c r="N55" s="148"/>
    </row>
    <row r="56" spans="1:14" s="3" customFormat="1" ht="15.75" x14ac:dyDescent="0.2">
      <c r="A56" s="39" t="s">
        <v>355</v>
      </c>
      <c r="B56" s="286">
        <v>7747</v>
      </c>
      <c r="C56" s="287">
        <v>12348</v>
      </c>
      <c r="D56" s="402">
        <f t="shared" si="9"/>
        <v>59.4</v>
      </c>
      <c r="E56" s="11">
        <f>IFERROR(100/'Skjema total MA'!C56*C56,0)</f>
        <v>26.170615244078181</v>
      </c>
      <c r="F56" s="145"/>
      <c r="G56" s="33"/>
      <c r="H56" s="145"/>
      <c r="I56" s="145"/>
      <c r="J56" s="33"/>
      <c r="K56" s="33"/>
      <c r="L56" s="159"/>
      <c r="M56" s="159"/>
      <c r="N56" s="148"/>
    </row>
    <row r="57" spans="1:14" s="3" customFormat="1" ht="15.75" x14ac:dyDescent="0.2">
      <c r="A57" s="38" t="s">
        <v>352</v>
      </c>
      <c r="B57" s="258">
        <v>7747</v>
      </c>
      <c r="C57" s="259">
        <v>12348</v>
      </c>
      <c r="D57" s="231">
        <f t="shared" si="9"/>
        <v>59.4</v>
      </c>
      <c r="E57" s="27">
        <f>IFERROR(100/'Skjema total MA'!C57*C57,0)</f>
        <v>26.170615244078181</v>
      </c>
      <c r="F57" s="145"/>
      <c r="G57" s="33"/>
      <c r="H57" s="145"/>
      <c r="I57" s="145"/>
      <c r="J57" s="33"/>
      <c r="K57" s="33"/>
      <c r="L57" s="159"/>
      <c r="M57" s="159"/>
      <c r="N57" s="148"/>
    </row>
    <row r="58" spans="1:14" s="3" customFormat="1" ht="15.75" x14ac:dyDescent="0.2">
      <c r="A58" s="46" t="s">
        <v>353</v>
      </c>
      <c r="B58" s="260"/>
      <c r="C58" s="261"/>
      <c r="D58" s="232"/>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250</v>
      </c>
      <c r="C61" s="26"/>
      <c r="D61" s="26"/>
      <c r="E61" s="26"/>
      <c r="F61" s="26"/>
      <c r="G61" s="26"/>
      <c r="H61" s="26"/>
      <c r="I61" s="26"/>
      <c r="J61" s="26"/>
      <c r="K61" s="26"/>
      <c r="L61" s="26"/>
      <c r="M61" s="26"/>
    </row>
    <row r="62" spans="1:14" ht="15.75" x14ac:dyDescent="0.25">
      <c r="B62" s="694"/>
      <c r="C62" s="694"/>
      <c r="D62" s="694"/>
      <c r="E62" s="275"/>
      <c r="F62" s="694"/>
      <c r="G62" s="694"/>
      <c r="H62" s="694"/>
      <c r="I62" s="275"/>
      <c r="J62" s="694"/>
      <c r="K62" s="694"/>
      <c r="L62" s="694"/>
      <c r="M62" s="275"/>
    </row>
    <row r="63" spans="1:14" x14ac:dyDescent="0.2">
      <c r="A63" s="144"/>
      <c r="B63" s="695" t="s">
        <v>0</v>
      </c>
      <c r="C63" s="696"/>
      <c r="D63" s="697"/>
      <c r="E63" s="276"/>
      <c r="F63" s="696" t="s">
        <v>1</v>
      </c>
      <c r="G63" s="696"/>
      <c r="H63" s="696"/>
      <c r="I63" s="280"/>
      <c r="J63" s="695" t="s">
        <v>2</v>
      </c>
      <c r="K63" s="696"/>
      <c r="L63" s="696"/>
      <c r="M63" s="280"/>
    </row>
    <row r="64" spans="1:14" x14ac:dyDescent="0.2">
      <c r="A64" s="140"/>
      <c r="B64" s="152" t="s">
        <v>412</v>
      </c>
      <c r="C64" s="152" t="s">
        <v>413</v>
      </c>
      <c r="D64" s="222" t="s">
        <v>3</v>
      </c>
      <c r="E64" s="281" t="s">
        <v>29</v>
      </c>
      <c r="F64" s="152" t="s">
        <v>412</v>
      </c>
      <c r="G64" s="152" t="s">
        <v>413</v>
      </c>
      <c r="H64" s="222" t="s">
        <v>3</v>
      </c>
      <c r="I64" s="281" t="s">
        <v>29</v>
      </c>
      <c r="J64" s="152" t="s">
        <v>412</v>
      </c>
      <c r="K64" s="152" t="s">
        <v>413</v>
      </c>
      <c r="L64" s="222" t="s">
        <v>3</v>
      </c>
      <c r="M64" s="162" t="s">
        <v>29</v>
      </c>
    </row>
    <row r="65" spans="1:14" x14ac:dyDescent="0.2">
      <c r="A65" s="662"/>
      <c r="B65" s="156"/>
      <c r="C65" s="156"/>
      <c r="D65" s="223" t="s">
        <v>4</v>
      </c>
      <c r="E65" s="156" t="s">
        <v>30</v>
      </c>
      <c r="F65" s="161"/>
      <c r="G65" s="161"/>
      <c r="H65" s="222" t="s">
        <v>4</v>
      </c>
      <c r="I65" s="156" t="s">
        <v>30</v>
      </c>
      <c r="J65" s="161"/>
      <c r="K65" s="203"/>
      <c r="L65" s="156" t="s">
        <v>4</v>
      </c>
      <c r="M65" s="156" t="s">
        <v>30</v>
      </c>
    </row>
    <row r="66" spans="1:14" ht="15.75" x14ac:dyDescent="0.2">
      <c r="A66" s="14" t="s">
        <v>23</v>
      </c>
      <c r="B66" s="329">
        <v>948059.16899999999</v>
      </c>
      <c r="C66" s="329">
        <v>894626.75300000003</v>
      </c>
      <c r="D66" s="326">
        <f>IF(B66=0, "    ---- ", IF(ABS(ROUND(100/B66*C66-100,1))&lt;999,ROUND(100/B66*C66-100,1),IF(ROUND(100/B66*C66-100,1)&gt;999,999,-999)))</f>
        <v>-5.6</v>
      </c>
      <c r="E66" s="11">
        <f>IFERROR(100/'Skjema total MA'!C66*C66,0)</f>
        <v>28.669498148047754</v>
      </c>
      <c r="F66" s="328">
        <v>2284188</v>
      </c>
      <c r="G66" s="328">
        <v>2659565.7910000002</v>
      </c>
      <c r="H66" s="326">
        <f>IF(F66=0, "    ---- ", IF(ABS(ROUND(100/F66*G66-100,1))&lt;999,ROUND(100/F66*G66-100,1),IF(ROUND(100/F66*G66-100,1)&gt;999,999,-999)))</f>
        <v>16.399999999999999</v>
      </c>
      <c r="I66" s="11">
        <f>IFERROR(100/'Skjema total MA'!F66*G66,0)</f>
        <v>27.907352105022941</v>
      </c>
      <c r="J66" s="285">
        <f t="shared" ref="J66:K68" si="10">SUM(B66,F66)</f>
        <v>3232247.1689999998</v>
      </c>
      <c r="K66" s="292">
        <f t="shared" si="10"/>
        <v>3554192.5440000002</v>
      </c>
      <c r="L66" s="402">
        <f>IF(J66=0, "    ---- ", IF(ABS(ROUND(100/J66*K66-100,1))&lt;999,ROUND(100/J66*K66-100,1),IF(ROUND(100/J66*K66-100,1)&gt;999,999,-999)))</f>
        <v>10</v>
      </c>
      <c r="M66" s="11">
        <f>IFERROR(100/'Skjema total MA'!I66*K66,0)</f>
        <v>28.095350217179401</v>
      </c>
    </row>
    <row r="67" spans="1:14" x14ac:dyDescent="0.2">
      <c r="A67" s="21" t="s">
        <v>9</v>
      </c>
      <c r="B67" s="44">
        <v>877785</v>
      </c>
      <c r="C67" s="145">
        <v>820449</v>
      </c>
      <c r="D67" s="166">
        <f>IF(B67=0, "    ---- ", IF(ABS(ROUND(100/B67*C67-100,1))&lt;999,ROUND(100/B67*C67-100,1),IF(ROUND(100/B67*C67-100,1)&gt;999,999,-999)))</f>
        <v>-6.5</v>
      </c>
      <c r="E67" s="27">
        <f>IFERROR(100/'Skjema total MA'!C67*C67,0)</f>
        <v>33.867458496363305</v>
      </c>
      <c r="F67" s="211"/>
      <c r="G67" s="145"/>
      <c r="H67" s="166"/>
      <c r="I67" s="27"/>
      <c r="J67" s="264">
        <f t="shared" si="10"/>
        <v>877785</v>
      </c>
      <c r="K67" s="44">
        <f t="shared" si="10"/>
        <v>820449</v>
      </c>
      <c r="L67" s="231">
        <f>IF(J67=0, "    ---- ", IF(ABS(ROUND(100/J67*K67-100,1))&lt;999,ROUND(100/J67*K67-100,1),IF(ROUND(100/J67*K67-100,1)&gt;999,999,-999)))</f>
        <v>-6.5</v>
      </c>
      <c r="M67" s="27">
        <f>IFERROR(100/'Skjema total MA'!I67*K67,0)</f>
        <v>33.867458496363305</v>
      </c>
    </row>
    <row r="68" spans="1:14" x14ac:dyDescent="0.2">
      <c r="A68" s="21" t="s">
        <v>10</v>
      </c>
      <c r="B68" s="268"/>
      <c r="C68" s="269"/>
      <c r="D68" s="166"/>
      <c r="E68" s="27"/>
      <c r="F68" s="268">
        <v>2284188</v>
      </c>
      <c r="G68" s="269">
        <v>2659565.7910000002</v>
      </c>
      <c r="H68" s="166">
        <f>IF(F68=0, "    ---- ", IF(ABS(ROUND(100/F68*G68-100,1))&lt;999,ROUND(100/F68*G68-100,1),IF(ROUND(100/F68*G68-100,1)&gt;999,999,-999)))</f>
        <v>16.399999999999999</v>
      </c>
      <c r="I68" s="27">
        <f>IFERROR(100/'Skjema total MA'!F68*G68,0)</f>
        <v>29.038859917223778</v>
      </c>
      <c r="J68" s="264">
        <f t="shared" si="10"/>
        <v>2284188</v>
      </c>
      <c r="K68" s="44">
        <f t="shared" si="10"/>
        <v>2659565.7910000002</v>
      </c>
      <c r="L68" s="231">
        <f>IF(J68=0, "    ---- ", IF(ABS(ROUND(100/J68*K68-100,1))&lt;999,ROUND(100/J68*K68-100,1),IF(ROUND(100/J68*K68-100,1)&gt;999,999,-999)))</f>
        <v>16.399999999999999</v>
      </c>
      <c r="M68" s="27">
        <f>IFERROR(100/'Skjema total MA'!I68*K68,0)</f>
        <v>28.995154901775866</v>
      </c>
    </row>
    <row r="69" spans="1:14" ht="15.75" x14ac:dyDescent="0.2">
      <c r="A69" s="272" t="s">
        <v>356</v>
      </c>
      <c r="B69" s="295"/>
      <c r="C69" s="295"/>
      <c r="D69" s="166"/>
      <c r="E69" s="23"/>
      <c r="F69" s="295"/>
      <c r="G69" s="295"/>
      <c r="H69" s="166"/>
      <c r="I69" s="23"/>
      <c r="J69" s="295"/>
      <c r="K69" s="295"/>
      <c r="L69" s="166"/>
      <c r="M69" s="23"/>
    </row>
    <row r="70" spans="1:14" x14ac:dyDescent="0.2">
      <c r="A70" s="272" t="s">
        <v>12</v>
      </c>
      <c r="B70" s="270"/>
      <c r="C70" s="271"/>
      <c r="D70" s="166"/>
      <c r="E70" s="23"/>
      <c r="F70" s="270"/>
      <c r="G70" s="271"/>
      <c r="H70" s="166"/>
      <c r="I70" s="23"/>
      <c r="J70" s="270"/>
      <c r="K70" s="271"/>
      <c r="L70" s="166"/>
      <c r="M70" s="23"/>
    </row>
    <row r="71" spans="1:14" x14ac:dyDescent="0.2">
      <c r="A71" s="272" t="s">
        <v>13</v>
      </c>
      <c r="B71" s="212"/>
      <c r="C71" s="266"/>
      <c r="D71" s="166"/>
      <c r="E71" s="23"/>
      <c r="F71" s="212"/>
      <c r="G71" s="266"/>
      <c r="H71" s="166"/>
      <c r="I71" s="23"/>
      <c r="J71" s="212"/>
      <c r="K71" s="266"/>
      <c r="L71" s="166"/>
      <c r="M71" s="23"/>
    </row>
    <row r="72" spans="1:14" ht="15.75" x14ac:dyDescent="0.2">
      <c r="A72" s="272" t="s">
        <v>357</v>
      </c>
      <c r="B72" s="295"/>
      <c r="C72" s="295"/>
      <c r="D72" s="166"/>
      <c r="E72" s="23"/>
      <c r="F72" s="295"/>
      <c r="G72" s="295"/>
      <c r="H72" s="166"/>
      <c r="I72" s="23"/>
      <c r="J72" s="295"/>
      <c r="K72" s="295"/>
      <c r="L72" s="166"/>
      <c r="M72" s="23"/>
    </row>
    <row r="73" spans="1:14" x14ac:dyDescent="0.2">
      <c r="A73" s="272" t="s">
        <v>12</v>
      </c>
      <c r="B73" s="212"/>
      <c r="C73" s="266"/>
      <c r="D73" s="166"/>
      <c r="E73" s="23"/>
      <c r="F73" s="212"/>
      <c r="G73" s="266"/>
      <c r="H73" s="166"/>
      <c r="I73" s="23"/>
      <c r="J73" s="212"/>
      <c r="K73" s="266"/>
      <c r="L73" s="166"/>
      <c r="M73" s="23"/>
    </row>
    <row r="74" spans="1:14" s="3" customFormat="1" x14ac:dyDescent="0.2">
      <c r="A74" s="272" t="s">
        <v>13</v>
      </c>
      <c r="B74" s="212"/>
      <c r="C74" s="266"/>
      <c r="D74" s="166"/>
      <c r="E74" s="23"/>
      <c r="F74" s="212"/>
      <c r="G74" s="266"/>
      <c r="H74" s="166"/>
      <c r="I74" s="23"/>
      <c r="J74" s="212"/>
      <c r="K74" s="266"/>
      <c r="L74" s="166"/>
      <c r="M74" s="23"/>
      <c r="N74" s="148"/>
    </row>
    <row r="75" spans="1:14" s="3" customFormat="1" x14ac:dyDescent="0.2">
      <c r="A75" s="21" t="s">
        <v>326</v>
      </c>
      <c r="B75" s="211"/>
      <c r="C75" s="145"/>
      <c r="D75" s="166"/>
      <c r="E75" s="27"/>
      <c r="F75" s="211"/>
      <c r="G75" s="145"/>
      <c r="H75" s="166"/>
      <c r="I75" s="27"/>
      <c r="J75" s="264"/>
      <c r="K75" s="44"/>
      <c r="L75" s="231"/>
      <c r="M75" s="27"/>
      <c r="N75" s="148"/>
    </row>
    <row r="76" spans="1:14" s="3" customFormat="1" x14ac:dyDescent="0.2">
      <c r="A76" s="21" t="s">
        <v>325</v>
      </c>
      <c r="B76" s="211">
        <v>70274.168999999994</v>
      </c>
      <c r="C76" s="145">
        <v>74177.752999999997</v>
      </c>
      <c r="D76" s="166">
        <f>IF(B76=0, "    ---- ", IF(ABS(ROUND(100/B76*C76-100,1))&lt;999,ROUND(100/B76*C76-100,1),IF(ROUND(100/B76*C76-100,1)&gt;999,999,-999)))</f>
        <v>5.6</v>
      </c>
      <c r="E76" s="27">
        <f>IFERROR(100/'Skjema total MA'!C77*C76,0)</f>
        <v>3.1624153628049343</v>
      </c>
      <c r="F76" s="211"/>
      <c r="G76" s="145"/>
      <c r="H76" s="166"/>
      <c r="I76" s="27"/>
      <c r="J76" s="264">
        <f t="shared" ref="J76:K79" si="11">SUM(B76,F76)</f>
        <v>70274.168999999994</v>
      </c>
      <c r="K76" s="44">
        <f t="shared" si="11"/>
        <v>74177.752999999997</v>
      </c>
      <c r="L76" s="231">
        <f>IF(J76=0, "    ---- ", IF(ABS(ROUND(100/J76*K76-100,1))&lt;999,ROUND(100/J76*K76-100,1),IF(ROUND(100/J76*K76-100,1)&gt;999,999,-999)))</f>
        <v>5.6</v>
      </c>
      <c r="M76" s="27">
        <f>IFERROR(100/'Skjema total MA'!I77*K76,0)</f>
        <v>0.64495423951127706</v>
      </c>
      <c r="N76" s="148"/>
    </row>
    <row r="77" spans="1:14" ht="15.75" x14ac:dyDescent="0.2">
      <c r="A77" s="21" t="s">
        <v>358</v>
      </c>
      <c r="B77" s="211">
        <v>835768.96</v>
      </c>
      <c r="C77" s="211">
        <v>792224.902</v>
      </c>
      <c r="D77" s="166">
        <f>IF(B77=0, "    ---- ", IF(ABS(ROUND(100/B77*C77-100,1))&lt;999,ROUND(100/B77*C77-100,1),IF(ROUND(100/B77*C77-100,1)&gt;999,999,-999)))</f>
        <v>-5.2</v>
      </c>
      <c r="E77" s="27">
        <f>IFERROR(100/'Skjema total MA'!C77*C77,0)</f>
        <v>33.774873187132449</v>
      </c>
      <c r="F77" s="211">
        <v>2284188</v>
      </c>
      <c r="G77" s="145">
        <v>2659565.7910000002</v>
      </c>
      <c r="H77" s="166">
        <f>IF(F77=0, "    ---- ", IF(ABS(ROUND(100/F77*G77-100,1))&lt;999,ROUND(100/F77*G77-100,1),IF(ROUND(100/F77*G77-100,1)&gt;999,999,-999)))</f>
        <v>16.399999999999999</v>
      </c>
      <c r="I77" s="27">
        <f>IFERROR(100/'Skjema total MA'!F77*G77,0)</f>
        <v>29.04839256591783</v>
      </c>
      <c r="J77" s="264">
        <f t="shared" si="11"/>
        <v>3119956.96</v>
      </c>
      <c r="K77" s="44">
        <f t="shared" si="11"/>
        <v>3451790.693</v>
      </c>
      <c r="L77" s="231">
        <f>IF(J77=0, "    ---- ", IF(ABS(ROUND(100/J77*K77-100,1))&lt;999,ROUND(100/J77*K77-100,1),IF(ROUND(100/J77*K77-100,1)&gt;999,999,-999)))</f>
        <v>10.6</v>
      </c>
      <c r="M77" s="27">
        <f>IFERROR(100/'Skjema total MA'!I77*K77,0)</f>
        <v>30.012327838454734</v>
      </c>
    </row>
    <row r="78" spans="1:14" x14ac:dyDescent="0.2">
      <c r="A78" s="21" t="s">
        <v>9</v>
      </c>
      <c r="B78" s="211">
        <v>835768.96</v>
      </c>
      <c r="C78" s="145">
        <v>792224.902</v>
      </c>
      <c r="D78" s="166">
        <f>IF(B78=0, "    ---- ", IF(ABS(ROUND(100/B78*C78-100,1))&lt;999,ROUND(100/B78*C78-100,1),IF(ROUND(100/B78*C78-100,1)&gt;999,999,-999)))</f>
        <v>-5.2</v>
      </c>
      <c r="E78" s="27">
        <f>IFERROR(100/'Skjema total MA'!C78*C78,0)</f>
        <v>33.962873608319462</v>
      </c>
      <c r="F78" s="211"/>
      <c r="G78" s="145"/>
      <c r="H78" s="166"/>
      <c r="I78" s="27"/>
      <c r="J78" s="264">
        <f t="shared" si="11"/>
        <v>835768.96</v>
      </c>
      <c r="K78" s="44">
        <f t="shared" si="11"/>
        <v>792224.902</v>
      </c>
      <c r="L78" s="231">
        <f>IF(J78=0, "    ---- ", IF(ABS(ROUND(100/J78*K78-100,1))&lt;999,ROUND(100/J78*K78-100,1),IF(ROUND(100/J78*K78-100,1)&gt;999,999,-999)))</f>
        <v>-5.2</v>
      </c>
      <c r="M78" s="27">
        <f>IFERROR(100/'Skjema total MA'!I78*K78,0)</f>
        <v>33.962873608319462</v>
      </c>
    </row>
    <row r="79" spans="1:14" x14ac:dyDescent="0.2">
      <c r="A79" s="38" t="s">
        <v>398</v>
      </c>
      <c r="B79" s="268"/>
      <c r="C79" s="269"/>
      <c r="D79" s="166"/>
      <c r="E79" s="27"/>
      <c r="F79" s="268">
        <v>2284188</v>
      </c>
      <c r="G79" s="269">
        <v>2659565.7910000002</v>
      </c>
      <c r="H79" s="166">
        <f>IF(F79=0, "    ---- ", IF(ABS(ROUND(100/F79*G79-100,1))&lt;999,ROUND(100/F79*G79-100,1),IF(ROUND(100/F79*G79-100,1)&gt;999,999,-999)))</f>
        <v>16.399999999999999</v>
      </c>
      <c r="I79" s="27">
        <f>IFERROR(100/'Skjema total MA'!F79*G79,0)</f>
        <v>29.04839256591783</v>
      </c>
      <c r="J79" s="264">
        <f t="shared" si="11"/>
        <v>2284188</v>
      </c>
      <c r="K79" s="44">
        <f t="shared" si="11"/>
        <v>2659565.7910000002</v>
      </c>
      <c r="L79" s="231">
        <f>IF(J79=0, "    ---- ", IF(ABS(ROUND(100/J79*K79-100,1))&lt;999,ROUND(100/J79*K79-100,1),IF(ROUND(100/J79*K79-100,1)&gt;999,999,-999)))</f>
        <v>16.399999999999999</v>
      </c>
      <c r="M79" s="27">
        <f>IFERROR(100/'Skjema total MA'!I79*K79,0)</f>
        <v>29.007256081676246</v>
      </c>
    </row>
    <row r="80" spans="1:14" ht="15.75" x14ac:dyDescent="0.2">
      <c r="A80" s="272" t="s">
        <v>356</v>
      </c>
      <c r="B80" s="295"/>
      <c r="C80" s="295"/>
      <c r="D80" s="166"/>
      <c r="E80" s="23"/>
      <c r="F80" s="295"/>
      <c r="G80" s="295"/>
      <c r="H80" s="166"/>
      <c r="I80" s="23"/>
      <c r="J80" s="295"/>
      <c r="K80" s="295"/>
      <c r="L80" s="166"/>
      <c r="M80" s="23"/>
    </row>
    <row r="81" spans="1:13" x14ac:dyDescent="0.2">
      <c r="A81" s="272" t="s">
        <v>12</v>
      </c>
      <c r="B81" s="295"/>
      <c r="C81" s="295"/>
      <c r="D81" s="166"/>
      <c r="E81" s="23"/>
      <c r="F81" s="270"/>
      <c r="G81" s="271"/>
      <c r="H81" s="166"/>
      <c r="I81" s="23"/>
      <c r="J81" s="270"/>
      <c r="K81" s="271"/>
      <c r="L81" s="166"/>
      <c r="M81" s="23"/>
    </row>
    <row r="82" spans="1:13" x14ac:dyDescent="0.2">
      <c r="A82" s="272" t="s">
        <v>13</v>
      </c>
      <c r="B82" s="295"/>
      <c r="C82" s="295"/>
      <c r="D82" s="166"/>
      <c r="E82" s="23"/>
      <c r="F82" s="212"/>
      <c r="G82" s="266"/>
      <c r="H82" s="166"/>
      <c r="I82" s="23"/>
      <c r="J82" s="212"/>
      <c r="K82" s="266"/>
      <c r="L82" s="166"/>
      <c r="M82" s="23"/>
    </row>
    <row r="83" spans="1:13" ht="15.75" x14ac:dyDescent="0.2">
      <c r="A83" s="272" t="s">
        <v>357</v>
      </c>
      <c r="B83" s="295"/>
      <c r="C83" s="295"/>
      <c r="D83" s="166"/>
      <c r="E83" s="23"/>
      <c r="F83" s="295"/>
      <c r="G83" s="295"/>
      <c r="H83" s="166"/>
      <c r="I83" s="23"/>
      <c r="J83" s="295"/>
      <c r="K83" s="295"/>
      <c r="L83" s="166"/>
      <c r="M83" s="23"/>
    </row>
    <row r="84" spans="1:13" x14ac:dyDescent="0.2">
      <c r="A84" s="272" t="s">
        <v>12</v>
      </c>
      <c r="B84" s="212"/>
      <c r="C84" s="266"/>
      <c r="D84" s="166"/>
      <c r="E84" s="23"/>
      <c r="F84" s="212"/>
      <c r="G84" s="266"/>
      <c r="H84" s="166"/>
      <c r="I84" s="23"/>
      <c r="J84" s="212"/>
      <c r="K84" s="266"/>
      <c r="L84" s="166"/>
      <c r="M84" s="23"/>
    </row>
    <row r="85" spans="1:13" x14ac:dyDescent="0.2">
      <c r="A85" s="272" t="s">
        <v>13</v>
      </c>
      <c r="B85" s="212"/>
      <c r="C85" s="266"/>
      <c r="D85" s="166"/>
      <c r="E85" s="23"/>
      <c r="F85" s="212"/>
      <c r="G85" s="266"/>
      <c r="H85" s="166"/>
      <c r="I85" s="23"/>
      <c r="J85" s="212"/>
      <c r="K85" s="266"/>
      <c r="L85" s="166"/>
      <c r="M85" s="23"/>
    </row>
    <row r="86" spans="1:13" ht="15.75" x14ac:dyDescent="0.2">
      <c r="A86" s="21" t="s">
        <v>359</v>
      </c>
      <c r="B86" s="211">
        <v>42016.04</v>
      </c>
      <c r="C86" s="145">
        <v>28224.098000000002</v>
      </c>
      <c r="D86" s="166">
        <f>IF(B86=0, "    ---- ", IF(ABS(ROUND(100/B86*C86-100,1))&lt;999,ROUND(100/B86*C86-100,1),IF(ROUND(100/B86*C86-100,1)&gt;999,999,-999)))</f>
        <v>-32.799999999999997</v>
      </c>
      <c r="E86" s="27">
        <f>IFERROR(100/'Skjema total MA'!C86*C86,0)</f>
        <v>31.107790489449908</v>
      </c>
      <c r="F86" s="211"/>
      <c r="G86" s="145"/>
      <c r="H86" s="166"/>
      <c r="I86" s="27"/>
      <c r="J86" s="264">
        <f t="shared" ref="J86:K89" si="12">SUM(B86,F86)</f>
        <v>42016.04</v>
      </c>
      <c r="K86" s="44">
        <f t="shared" si="12"/>
        <v>28224.098000000002</v>
      </c>
      <c r="L86" s="231">
        <f>IF(J86=0, "    ---- ", IF(ABS(ROUND(100/J86*K86-100,1))&lt;999,ROUND(100/J86*K86-100,1),IF(ROUND(100/J86*K86-100,1)&gt;999,999,-999)))</f>
        <v>-32.799999999999997</v>
      </c>
      <c r="M86" s="27">
        <f>IFERROR(100/'Skjema total MA'!I86*K86,0)</f>
        <v>30.110264585966782</v>
      </c>
    </row>
    <row r="87" spans="1:13" ht="15.75" x14ac:dyDescent="0.2">
      <c r="A87" s="13" t="s">
        <v>341</v>
      </c>
      <c r="B87" s="329">
        <v>156752478.84099999</v>
      </c>
      <c r="C87" s="329">
        <v>159056891.16999999</v>
      </c>
      <c r="D87" s="171">
        <f>IF(B87=0, "    ---- ", IF(ABS(ROUND(100/B87*C87-100,1))&lt;999,ROUND(100/B87*C87-100,1),IF(ROUND(100/B87*C87-100,1)&gt;999,999,-999)))</f>
        <v>1.5</v>
      </c>
      <c r="E87" s="11">
        <f>IFERROR(100/'Skjema total MA'!C87*C87,0)</f>
        <v>39.866923874444268</v>
      </c>
      <c r="F87" s="328">
        <v>74368036.662</v>
      </c>
      <c r="G87" s="328">
        <v>109594324.941726</v>
      </c>
      <c r="H87" s="171">
        <f>IF(F87=0, "    ---- ", IF(ABS(ROUND(100/F87*G87-100,1))&lt;999,ROUND(100/F87*G87-100,1),IF(ROUND(100/F87*G87-100,1)&gt;999,999,-999)))</f>
        <v>47.4</v>
      </c>
      <c r="I87" s="11">
        <f>IFERROR(100/'Skjema total MA'!F87*G87,0)</f>
        <v>27.846240696039239</v>
      </c>
      <c r="J87" s="285">
        <f t="shared" si="12"/>
        <v>231120515.50299999</v>
      </c>
      <c r="K87" s="213">
        <f t="shared" si="12"/>
        <v>268651216.11172599</v>
      </c>
      <c r="L87" s="402">
        <f>IF(J87=0, "    ---- ", IF(ABS(ROUND(100/J87*K87-100,1))&lt;999,ROUND(100/J87*K87-100,1),IF(ROUND(100/J87*K87-100,1)&gt;999,999,-999)))</f>
        <v>16.2</v>
      </c>
      <c r="M87" s="11">
        <f>IFERROR(100/'Skjema total MA'!I87*K87,0)</f>
        <v>33.897534074460012</v>
      </c>
    </row>
    <row r="88" spans="1:13" x14ac:dyDescent="0.2">
      <c r="A88" s="21" t="s">
        <v>9</v>
      </c>
      <c r="B88" s="211">
        <v>156622362</v>
      </c>
      <c r="C88" s="145">
        <v>158916476</v>
      </c>
      <c r="D88" s="166">
        <f>IF(B88=0, "    ---- ", IF(ABS(ROUND(100/B88*C88-100,1))&lt;999,ROUND(100/B88*C88-100,1),IF(ROUND(100/B88*C88-100,1)&gt;999,999,-999)))</f>
        <v>1.5</v>
      </c>
      <c r="E88" s="27">
        <f>IFERROR(100/'Skjema total MA'!C88*C88,0)</f>
        <v>41.113586793026926</v>
      </c>
      <c r="F88" s="211"/>
      <c r="G88" s="145"/>
      <c r="H88" s="166"/>
      <c r="I88" s="27"/>
      <c r="J88" s="264">
        <f t="shared" si="12"/>
        <v>156622362</v>
      </c>
      <c r="K88" s="44">
        <f t="shared" si="12"/>
        <v>158916476</v>
      </c>
      <c r="L88" s="231">
        <f>IF(J88=0, "    ---- ", IF(ABS(ROUND(100/J88*K88-100,1))&lt;999,ROUND(100/J88*K88-100,1),IF(ROUND(100/J88*K88-100,1)&gt;999,999,-999)))</f>
        <v>1.5</v>
      </c>
      <c r="M88" s="27">
        <f>IFERROR(100/'Skjema total MA'!I88*K88,0)</f>
        <v>41.113586793026926</v>
      </c>
    </row>
    <row r="89" spans="1:13" x14ac:dyDescent="0.2">
      <c r="A89" s="21" t="s">
        <v>10</v>
      </c>
      <c r="B89" s="211">
        <v>97633</v>
      </c>
      <c r="C89" s="145">
        <v>96169</v>
      </c>
      <c r="D89" s="166">
        <f>IF(B89=0, "    ---- ", IF(ABS(ROUND(100/B89*C89-100,1))&lt;999,ROUND(100/B89*C89-100,1),IF(ROUND(100/B89*C89-100,1)&gt;999,999,-999)))</f>
        <v>-1.5</v>
      </c>
      <c r="E89" s="27">
        <f>IFERROR(100/'Skjema total MA'!C89*C89,0)</f>
        <v>3.1467127073530663</v>
      </c>
      <c r="F89" s="211">
        <v>74368036.662</v>
      </c>
      <c r="G89" s="145">
        <v>109594324.941726</v>
      </c>
      <c r="H89" s="166">
        <f>IF(F89=0, "    ---- ", IF(ABS(ROUND(100/F89*G89-100,1))&lt;999,ROUND(100/F89*G89-100,1),IF(ROUND(100/F89*G89-100,1)&gt;999,999,-999)))</f>
        <v>47.4</v>
      </c>
      <c r="I89" s="27">
        <f>IFERROR(100/'Skjema total MA'!F89*G89,0)</f>
        <v>28.102692231798745</v>
      </c>
      <c r="J89" s="264">
        <f t="shared" si="12"/>
        <v>74465669.662</v>
      </c>
      <c r="K89" s="44">
        <f t="shared" si="12"/>
        <v>109690493.941726</v>
      </c>
      <c r="L89" s="231">
        <f>IF(J89=0, "    ---- ", IF(ABS(ROUND(100/J89*K89-100,1))&lt;999,ROUND(100/J89*K89-100,1),IF(ROUND(100/J89*K89-100,1)&gt;999,999,-999)))</f>
        <v>47.3</v>
      </c>
      <c r="M89" s="27">
        <f>IFERROR(100/'Skjema total MA'!I89*K89,0)</f>
        <v>27.908638373084422</v>
      </c>
    </row>
    <row r="90" spans="1:13" ht="15.75" x14ac:dyDescent="0.2">
      <c r="A90" s="272" t="s">
        <v>356</v>
      </c>
      <c r="B90" s="295"/>
      <c r="C90" s="295"/>
      <c r="D90" s="166"/>
      <c r="E90" s="23"/>
      <c r="F90" s="295"/>
      <c r="G90" s="295"/>
      <c r="H90" s="166"/>
      <c r="I90" s="23"/>
      <c r="J90" s="295"/>
      <c r="K90" s="295"/>
      <c r="L90" s="166"/>
      <c r="M90" s="23"/>
    </row>
    <row r="91" spans="1:13" x14ac:dyDescent="0.2">
      <c r="A91" s="272" t="s">
        <v>12</v>
      </c>
      <c r="B91" s="295"/>
      <c r="C91" s="295"/>
      <c r="D91" s="166"/>
      <c r="E91" s="23"/>
      <c r="F91" s="270"/>
      <c r="G91" s="271"/>
      <c r="H91" s="166"/>
      <c r="I91" s="23"/>
      <c r="J91" s="270"/>
      <c r="K91" s="271"/>
      <c r="L91" s="166"/>
      <c r="M91" s="23"/>
    </row>
    <row r="92" spans="1:13" x14ac:dyDescent="0.2">
      <c r="A92" s="272" t="s">
        <v>13</v>
      </c>
      <c r="B92" s="295"/>
      <c r="C92" s="295"/>
      <c r="D92" s="166"/>
      <c r="E92" s="23"/>
      <c r="F92" s="212"/>
      <c r="G92" s="266"/>
      <c r="H92" s="166"/>
      <c r="I92" s="23"/>
      <c r="J92" s="212"/>
      <c r="K92" s="266"/>
      <c r="L92" s="166"/>
      <c r="M92" s="23"/>
    </row>
    <row r="93" spans="1:13" ht="15.75" x14ac:dyDescent="0.2">
      <c r="A93" s="272" t="s">
        <v>357</v>
      </c>
      <c r="B93" s="295"/>
      <c r="C93" s="295"/>
      <c r="D93" s="166"/>
      <c r="E93" s="23"/>
      <c r="F93" s="295"/>
      <c r="G93" s="295"/>
      <c r="H93" s="166"/>
      <c r="I93" s="23"/>
      <c r="J93" s="295"/>
      <c r="K93" s="295"/>
      <c r="L93" s="166"/>
      <c r="M93" s="23"/>
    </row>
    <row r="94" spans="1:13" x14ac:dyDescent="0.2">
      <c r="A94" s="272" t="s">
        <v>12</v>
      </c>
      <c r="B94" s="212"/>
      <c r="C94" s="266"/>
      <c r="D94" s="166"/>
      <c r="E94" s="23"/>
      <c r="F94" s="212"/>
      <c r="G94" s="266"/>
      <c r="H94" s="166"/>
      <c r="I94" s="23"/>
      <c r="J94" s="212"/>
      <c r="K94" s="266"/>
      <c r="L94" s="166"/>
      <c r="M94" s="23"/>
    </row>
    <row r="95" spans="1:13" x14ac:dyDescent="0.2">
      <c r="A95" s="272" t="s">
        <v>13</v>
      </c>
      <c r="B95" s="212"/>
      <c r="C95" s="266"/>
      <c r="D95" s="166"/>
      <c r="E95" s="23"/>
      <c r="F95" s="212"/>
      <c r="G95" s="266"/>
      <c r="H95" s="166"/>
      <c r="I95" s="23"/>
      <c r="J95" s="212"/>
      <c r="K95" s="266"/>
      <c r="L95" s="166"/>
      <c r="M95" s="23"/>
    </row>
    <row r="96" spans="1:13" x14ac:dyDescent="0.2">
      <c r="A96" s="21" t="s">
        <v>324</v>
      </c>
      <c r="B96" s="211"/>
      <c r="C96" s="145"/>
      <c r="D96" s="166"/>
      <c r="E96" s="27"/>
      <c r="F96" s="211"/>
      <c r="G96" s="145"/>
      <c r="H96" s="166"/>
      <c r="I96" s="27"/>
      <c r="J96" s="264"/>
      <c r="K96" s="44"/>
      <c r="L96" s="231"/>
      <c r="M96" s="27"/>
    </row>
    <row r="97" spans="1:13" x14ac:dyDescent="0.2">
      <c r="A97" s="21" t="s">
        <v>323</v>
      </c>
      <c r="B97" s="211">
        <v>32483.841</v>
      </c>
      <c r="C97" s="145">
        <v>44246.17</v>
      </c>
      <c r="D97" s="166">
        <f t="shared" ref="D97:D100" si="13">IF(B97=0, "    ---- ", IF(ABS(ROUND(100/B97*C97-100,1))&lt;999,ROUND(100/B97*C97-100,1),IF(ROUND(100/B97*C97-100,1)&gt;999,999,-999)))</f>
        <v>36.200000000000003</v>
      </c>
      <c r="E97" s="27">
        <f>IFERROR(100/'Skjema total MA'!C98*C97,0)</f>
        <v>1.1488330685381146E-2</v>
      </c>
      <c r="F97" s="211"/>
      <c r="G97" s="145"/>
      <c r="H97" s="166"/>
      <c r="I97" s="27"/>
      <c r="J97" s="264">
        <f t="shared" ref="J97:K100" si="14">SUM(B97,F97)</f>
        <v>32483.841</v>
      </c>
      <c r="K97" s="44">
        <f t="shared" si="14"/>
        <v>44246.17</v>
      </c>
      <c r="L97" s="231">
        <f t="shared" ref="L97:L100" si="15">IF(J97=0, "    ---- ", IF(ABS(ROUND(100/J97*K97-100,1))&lt;999,ROUND(100/J97*K97-100,1),IF(ROUND(100/J97*K97-100,1)&gt;999,999,-999)))</f>
        <v>36.200000000000003</v>
      </c>
      <c r="M97" s="27">
        <f>IFERROR(100/'Skjema total MA'!I98*K97,0)</f>
        <v>5.7162657677680877E-3</v>
      </c>
    </row>
    <row r="98" spans="1:13" ht="15.75" x14ac:dyDescent="0.2">
      <c r="A98" s="21" t="s">
        <v>358</v>
      </c>
      <c r="B98" s="211">
        <v>155416056</v>
      </c>
      <c r="C98" s="211">
        <v>157845699.179616</v>
      </c>
      <c r="D98" s="166">
        <f t="shared" si="13"/>
        <v>1.6</v>
      </c>
      <c r="E98" s="27">
        <f>IFERROR(100/'Skjema total MA'!C98*C98,0)</f>
        <v>40.983967413238794</v>
      </c>
      <c r="F98" s="268">
        <v>74270676.504999995</v>
      </c>
      <c r="G98" s="268">
        <v>109493592.616396</v>
      </c>
      <c r="H98" s="166">
        <f t="shared" ref="H98:H100" si="16">IF(F98=0, "    ---- ", IF(ABS(ROUND(100/F98*G98-100,1))&lt;999,ROUND(100/F98*G98-100,1),IF(ROUND(100/F98*G98-100,1)&gt;999,999,-999)))</f>
        <v>47.4</v>
      </c>
      <c r="I98" s="27">
        <f>IFERROR(100/'Skjema total MA'!F98*G98,0)</f>
        <v>28.154716301060184</v>
      </c>
      <c r="J98" s="264">
        <f t="shared" si="14"/>
        <v>229686732.505</v>
      </c>
      <c r="K98" s="44">
        <f t="shared" si="14"/>
        <v>267339291.79601198</v>
      </c>
      <c r="L98" s="231">
        <f t="shared" si="15"/>
        <v>16.399999999999999</v>
      </c>
      <c r="M98" s="27">
        <f>IFERROR(100/'Skjema total MA'!I98*K98,0)</f>
        <v>34.538185837845568</v>
      </c>
    </row>
    <row r="99" spans="1:13" x14ac:dyDescent="0.2">
      <c r="A99" s="21" t="s">
        <v>9</v>
      </c>
      <c r="B99" s="268">
        <v>155318423</v>
      </c>
      <c r="C99" s="269">
        <v>157749530.179616</v>
      </c>
      <c r="D99" s="166">
        <f t="shared" si="13"/>
        <v>1.6</v>
      </c>
      <c r="E99" s="27">
        <f>IFERROR(100/'Skjema total MA'!C99*C99,0)</f>
        <v>41.286616131913881</v>
      </c>
      <c r="F99" s="211"/>
      <c r="G99" s="145"/>
      <c r="H99" s="166"/>
      <c r="I99" s="27"/>
      <c r="J99" s="264">
        <f t="shared" si="14"/>
        <v>155318423</v>
      </c>
      <c r="K99" s="44">
        <f t="shared" si="14"/>
        <v>157749530.179616</v>
      </c>
      <c r="L99" s="231">
        <f t="shared" si="15"/>
        <v>1.6</v>
      </c>
      <c r="M99" s="27">
        <f>IFERROR(100/'Skjema total MA'!I99*K99,0)</f>
        <v>41.286616131913881</v>
      </c>
    </row>
    <row r="100" spans="1:13" ht="15.75" x14ac:dyDescent="0.2">
      <c r="A100" s="38" t="s">
        <v>399</v>
      </c>
      <c r="B100" s="268">
        <v>97633</v>
      </c>
      <c r="C100" s="269">
        <v>96169</v>
      </c>
      <c r="D100" s="166">
        <f t="shared" si="13"/>
        <v>-1.5</v>
      </c>
      <c r="E100" s="27">
        <f>IFERROR(100/'Skjema total MA'!C100*C100,0)</f>
        <v>3.1467127073530663</v>
      </c>
      <c r="F100" s="211">
        <v>74270676.504999995</v>
      </c>
      <c r="G100" s="211">
        <v>109493592.616396</v>
      </c>
      <c r="H100" s="166">
        <f t="shared" si="16"/>
        <v>47.4</v>
      </c>
      <c r="I100" s="27">
        <f>IFERROR(100/'Skjema total MA'!F100*G100,0)</f>
        <v>28.154716301060184</v>
      </c>
      <c r="J100" s="264">
        <f t="shared" si="14"/>
        <v>74368309.504999995</v>
      </c>
      <c r="K100" s="44">
        <f t="shared" si="14"/>
        <v>109589761.616396</v>
      </c>
      <c r="L100" s="231">
        <f t="shared" si="15"/>
        <v>47.4</v>
      </c>
      <c r="M100" s="27">
        <f>IFERROR(100/'Skjema total MA'!I100*K100,0)</f>
        <v>27.959722901925481</v>
      </c>
    </row>
    <row r="101" spans="1:13" ht="15.75" x14ac:dyDescent="0.2">
      <c r="A101" s="38" t="s">
        <v>400</v>
      </c>
      <c r="B101" s="268"/>
      <c r="C101" s="268"/>
      <c r="D101" s="166"/>
      <c r="E101" s="27"/>
      <c r="F101" s="268"/>
      <c r="G101" s="268"/>
      <c r="H101" s="166"/>
      <c r="I101" s="27"/>
      <c r="J101" s="264"/>
      <c r="K101" s="44"/>
      <c r="L101" s="231"/>
      <c r="M101" s="27"/>
    </row>
    <row r="102" spans="1:13" ht="15.75" x14ac:dyDescent="0.2">
      <c r="A102" s="272" t="s">
        <v>356</v>
      </c>
      <c r="B102" s="295"/>
      <c r="C102" s="295"/>
      <c r="D102" s="166"/>
      <c r="E102" s="23"/>
      <c r="F102" s="295"/>
      <c r="G102" s="295"/>
      <c r="H102" s="166"/>
      <c r="I102" s="23"/>
      <c r="J102" s="295"/>
      <c r="K102" s="295"/>
      <c r="L102" s="166"/>
      <c r="M102" s="23"/>
    </row>
    <row r="103" spans="1:13" x14ac:dyDescent="0.2">
      <c r="A103" s="272" t="s">
        <v>12</v>
      </c>
      <c r="B103" s="295"/>
      <c r="C103" s="295"/>
      <c r="D103" s="166"/>
      <c r="E103" s="23"/>
      <c r="F103" s="270"/>
      <c r="G103" s="271"/>
      <c r="H103" s="166"/>
      <c r="I103" s="23"/>
      <c r="J103" s="270"/>
      <c r="K103" s="271"/>
      <c r="L103" s="166"/>
      <c r="M103" s="23"/>
    </row>
    <row r="104" spans="1:13" x14ac:dyDescent="0.2">
      <c r="A104" s="272" t="s">
        <v>13</v>
      </c>
      <c r="B104" s="295"/>
      <c r="C104" s="295"/>
      <c r="D104" s="166"/>
      <c r="E104" s="23"/>
      <c r="F104" s="212"/>
      <c r="G104" s="266"/>
      <c r="H104" s="166"/>
      <c r="I104" s="23"/>
      <c r="J104" s="212"/>
      <c r="K104" s="266"/>
      <c r="L104" s="166"/>
      <c r="M104" s="23"/>
    </row>
    <row r="105" spans="1:13" ht="15.75" x14ac:dyDescent="0.2">
      <c r="A105" s="272" t="s">
        <v>357</v>
      </c>
      <c r="B105" s="295"/>
      <c r="C105" s="295"/>
      <c r="D105" s="166"/>
      <c r="E105" s="23"/>
      <c r="F105" s="295"/>
      <c r="G105" s="295"/>
      <c r="H105" s="166"/>
      <c r="I105" s="23"/>
      <c r="J105" s="295"/>
      <c r="K105" s="295"/>
      <c r="L105" s="166"/>
      <c r="M105" s="23"/>
    </row>
    <row r="106" spans="1:13" x14ac:dyDescent="0.2">
      <c r="A106" s="272" t="s">
        <v>12</v>
      </c>
      <c r="B106" s="212"/>
      <c r="C106" s="266"/>
      <c r="D106" s="166"/>
      <c r="E106" s="23"/>
      <c r="F106" s="212"/>
      <c r="G106" s="266"/>
      <c r="H106" s="166"/>
      <c r="I106" s="23"/>
      <c r="J106" s="212"/>
      <c r="K106" s="266"/>
      <c r="L106" s="166"/>
      <c r="M106" s="23"/>
    </row>
    <row r="107" spans="1:13" x14ac:dyDescent="0.2">
      <c r="A107" s="272" t="s">
        <v>13</v>
      </c>
      <c r="B107" s="212"/>
      <c r="C107" s="266"/>
      <c r="D107" s="166"/>
      <c r="E107" s="23"/>
      <c r="F107" s="212"/>
      <c r="G107" s="266"/>
      <c r="H107" s="166"/>
      <c r="I107" s="23"/>
      <c r="J107" s="212"/>
      <c r="K107" s="266"/>
      <c r="L107" s="166"/>
      <c r="M107" s="23"/>
    </row>
    <row r="108" spans="1:13" ht="15.75" x14ac:dyDescent="0.2">
      <c r="A108" s="21" t="s">
        <v>359</v>
      </c>
      <c r="B108" s="211">
        <v>1303939</v>
      </c>
      <c r="C108" s="145">
        <v>1166946</v>
      </c>
      <c r="D108" s="166">
        <f t="shared" ref="D108:D112" si="17">IF(B108=0, "    ---- ", IF(ABS(ROUND(100/B108*C108-100,1))&lt;999,ROUND(100/B108*C108-100,1),IF(ROUND(100/B108*C108-100,1)&gt;999,999,-999)))</f>
        <v>-10.5</v>
      </c>
      <c r="E108" s="27">
        <f>IFERROR(100/'Skjema total MA'!C108*C108,0)</f>
        <v>26.244899705307819</v>
      </c>
      <c r="F108" s="211">
        <v>97360.157000000007</v>
      </c>
      <c r="G108" s="145">
        <v>100732.32533000001</v>
      </c>
      <c r="H108" s="166">
        <f t="shared" ref="H108:H112" si="18">IF(F108=0, "    ---- ", IF(ABS(ROUND(100/F108*G108-100,1))&lt;999,ROUND(100/F108*G108-100,1),IF(ROUND(100/F108*G108-100,1)&gt;999,999,-999)))</f>
        <v>3.5</v>
      </c>
      <c r="I108" s="27">
        <f>IFERROR(100/'Skjema total MA'!F108*G108,0)</f>
        <v>9.3410807780948346</v>
      </c>
      <c r="J108" s="264">
        <f t="shared" ref="J108:K112" si="19">SUM(B108,F108)</f>
        <v>1401299.1570000001</v>
      </c>
      <c r="K108" s="44">
        <f t="shared" si="19"/>
        <v>1267678.3253299999</v>
      </c>
      <c r="L108" s="231">
        <f t="shared" ref="L108:L112" si="20">IF(J108=0, "    ---- ", IF(ABS(ROUND(100/J108*K108-100,1))&lt;999,ROUND(100/J108*K108-100,1),IF(ROUND(100/J108*K108-100,1)&gt;999,999,-999)))</f>
        <v>-9.5</v>
      </c>
      <c r="M108" s="27">
        <f>IFERROR(100/'Skjema total MA'!I108*K108,0)</f>
        <v>22.945432959309549</v>
      </c>
    </row>
    <row r="109" spans="1:13" ht="15.75" x14ac:dyDescent="0.2">
      <c r="A109" s="21" t="s">
        <v>360</v>
      </c>
      <c r="B109" s="211">
        <v>135150650</v>
      </c>
      <c r="C109" s="211">
        <v>138703474</v>
      </c>
      <c r="D109" s="166">
        <f t="shared" si="17"/>
        <v>2.6</v>
      </c>
      <c r="E109" s="27">
        <f>IFERROR(100/'Skjema total MA'!C109*C109,0)</f>
        <v>42.01335290485553</v>
      </c>
      <c r="F109" s="211">
        <v>452866.49</v>
      </c>
      <c r="G109" s="211">
        <v>769903.375</v>
      </c>
      <c r="H109" s="166">
        <f t="shared" si="18"/>
        <v>70</v>
      </c>
      <c r="I109" s="27">
        <f>IFERROR(100/'Skjema total MA'!F109*G109,0)</f>
        <v>3.959119004420367</v>
      </c>
      <c r="J109" s="264">
        <f t="shared" si="19"/>
        <v>135603516.49000001</v>
      </c>
      <c r="K109" s="44">
        <f t="shared" si="19"/>
        <v>139473377.375</v>
      </c>
      <c r="L109" s="231">
        <f t="shared" si="20"/>
        <v>2.9</v>
      </c>
      <c r="M109" s="27">
        <f>IFERROR(100/'Skjema total MA'!I109*K109,0)</f>
        <v>39.896530317123251</v>
      </c>
    </row>
    <row r="110" spans="1:13" ht="15.75" x14ac:dyDescent="0.2">
      <c r="A110" s="38" t="s">
        <v>416</v>
      </c>
      <c r="B110" s="211">
        <v>97633</v>
      </c>
      <c r="C110" s="211">
        <v>96169</v>
      </c>
      <c r="D110" s="166">
        <f t="shared" si="17"/>
        <v>-1.5</v>
      </c>
      <c r="E110" s="27">
        <f>IFERROR(100/'Skjema total MA'!C110*C110,0)</f>
        <v>6.0287251612416144</v>
      </c>
      <c r="F110" s="211">
        <v>26693503.157000002</v>
      </c>
      <c r="G110" s="211">
        <v>39598724.325000003</v>
      </c>
      <c r="H110" s="166">
        <f t="shared" si="18"/>
        <v>48.3</v>
      </c>
      <c r="I110" s="27">
        <f>IFERROR(100/'Skjema total MA'!F110*G110,0)</f>
        <v>29.274807798136091</v>
      </c>
      <c r="J110" s="264">
        <f t="shared" si="19"/>
        <v>26791136.157000002</v>
      </c>
      <c r="K110" s="44">
        <f t="shared" si="19"/>
        <v>39694893.325000003</v>
      </c>
      <c r="L110" s="231">
        <f t="shared" si="20"/>
        <v>48.2</v>
      </c>
      <c r="M110" s="27">
        <f>IFERROR(100/'Skjema total MA'!I110*K110,0)</f>
        <v>29.003863135784535</v>
      </c>
    </row>
    <row r="111" spans="1:13" ht="15.75" x14ac:dyDescent="0.2">
      <c r="A111" s="21" t="s">
        <v>362</v>
      </c>
      <c r="B111" s="211"/>
      <c r="C111" s="211"/>
      <c r="D111" s="166"/>
      <c r="E111" s="27"/>
      <c r="F111" s="211"/>
      <c r="G111" s="211"/>
      <c r="H111" s="166"/>
      <c r="I111" s="27"/>
      <c r="J111" s="264"/>
      <c r="K111" s="44"/>
      <c r="L111" s="231"/>
      <c r="M111" s="27"/>
    </row>
    <row r="112" spans="1:13" ht="15.75" x14ac:dyDescent="0.2">
      <c r="A112" s="13" t="s">
        <v>342</v>
      </c>
      <c r="B112" s="284">
        <v>35738</v>
      </c>
      <c r="C112" s="159">
        <v>564444</v>
      </c>
      <c r="D112" s="171">
        <f t="shared" si="17"/>
        <v>999</v>
      </c>
      <c r="E112" s="11">
        <f>IFERROR(100/'Skjema total MA'!C112*C112,0)</f>
        <v>84.392058072817534</v>
      </c>
      <c r="F112" s="284">
        <v>1079878</v>
      </c>
      <c r="G112" s="159">
        <v>3534325</v>
      </c>
      <c r="H112" s="171">
        <f t="shared" si="18"/>
        <v>227.3</v>
      </c>
      <c r="I112" s="11">
        <f>IFERROR(100/'Skjema total MA'!F112*G112,0)</f>
        <v>36.676455128015995</v>
      </c>
      <c r="J112" s="285">
        <f t="shared" si="19"/>
        <v>1115616</v>
      </c>
      <c r="K112" s="213">
        <f t="shared" si="19"/>
        <v>4098769</v>
      </c>
      <c r="L112" s="402">
        <f t="shared" si="20"/>
        <v>267.39999999999998</v>
      </c>
      <c r="M112" s="11">
        <f>IFERROR(100/'Skjema total MA'!I112*K112,0)</f>
        <v>39.773287865402494</v>
      </c>
    </row>
    <row r="113" spans="1:14" x14ac:dyDescent="0.2">
      <c r="A113" s="21" t="s">
        <v>9</v>
      </c>
      <c r="B113" s="211">
        <v>35738</v>
      </c>
      <c r="C113" s="145">
        <v>564444</v>
      </c>
      <c r="D113" s="166">
        <f t="shared" ref="D113:D125" si="21">IF(B113=0, "    ---- ", IF(ABS(ROUND(100/B113*C113-100,1))&lt;999,ROUND(100/B113*C113-100,1),IF(ROUND(100/B113*C113-100,1)&gt;999,999,-999)))</f>
        <v>999</v>
      </c>
      <c r="E113" s="27">
        <f>IFERROR(100/'Skjema total MA'!C113*C113,0)</f>
        <v>92.896971696903549</v>
      </c>
      <c r="F113" s="211"/>
      <c r="G113" s="145"/>
      <c r="H113" s="166"/>
      <c r="I113" s="27"/>
      <c r="J113" s="264">
        <f t="shared" ref="J113:K126" si="22">SUM(B113,F113)</f>
        <v>35738</v>
      </c>
      <c r="K113" s="44">
        <f t="shared" si="22"/>
        <v>564444</v>
      </c>
      <c r="L113" s="231">
        <f t="shared" ref="L113:L126" si="23">IF(J113=0, "    ---- ", IF(ABS(ROUND(100/J113*K113-100,1))&lt;999,ROUND(100/J113*K113-100,1),IF(ROUND(100/J113*K113-100,1)&gt;999,999,-999)))</f>
        <v>999</v>
      </c>
      <c r="M113" s="27">
        <f>IFERROR(100/'Skjema total MA'!I113*K113,0)</f>
        <v>91.376821246342018</v>
      </c>
    </row>
    <row r="114" spans="1:14" x14ac:dyDescent="0.2">
      <c r="A114" s="21" t="s">
        <v>10</v>
      </c>
      <c r="B114" s="211"/>
      <c r="C114" s="145"/>
      <c r="D114" s="166"/>
      <c r="E114" s="27"/>
      <c r="F114" s="211">
        <v>1079878</v>
      </c>
      <c r="G114" s="145">
        <v>3534325</v>
      </c>
      <c r="H114" s="166">
        <f t="shared" ref="H114:H126" si="24">IF(F114=0, "    ---- ", IF(ABS(ROUND(100/F114*G114-100,1))&lt;999,ROUND(100/F114*G114-100,1),IF(ROUND(100/F114*G114-100,1)&gt;999,999,-999)))</f>
        <v>227.3</v>
      </c>
      <c r="I114" s="27">
        <f>IFERROR(100/'Skjema total MA'!F114*G114,0)</f>
        <v>36.714966930233821</v>
      </c>
      <c r="J114" s="264">
        <f t="shared" si="22"/>
        <v>1079878</v>
      </c>
      <c r="K114" s="44">
        <f t="shared" si="22"/>
        <v>3534325</v>
      </c>
      <c r="L114" s="231">
        <f t="shared" si="23"/>
        <v>227.3</v>
      </c>
      <c r="M114" s="27">
        <f>IFERROR(100/'Skjema total MA'!I114*K114,0)</f>
        <v>36.714195877460291</v>
      </c>
    </row>
    <row r="115" spans="1:14" x14ac:dyDescent="0.2">
      <c r="A115" s="21" t="s">
        <v>26</v>
      </c>
      <c r="B115" s="211"/>
      <c r="C115" s="145"/>
      <c r="D115" s="166"/>
      <c r="E115" s="27"/>
      <c r="F115" s="211"/>
      <c r="G115" s="145"/>
      <c r="H115" s="166"/>
      <c r="I115" s="27"/>
      <c r="J115" s="264"/>
      <c r="K115" s="44"/>
      <c r="L115" s="231"/>
      <c r="M115" s="27"/>
    </row>
    <row r="116" spans="1:14" x14ac:dyDescent="0.2">
      <c r="A116" s="272" t="s">
        <v>15</v>
      </c>
      <c r="B116" s="258"/>
      <c r="C116" s="258"/>
      <c r="D116" s="166"/>
      <c r="E116" s="391"/>
      <c r="F116" s="258"/>
      <c r="G116" s="258"/>
      <c r="H116" s="166"/>
      <c r="I116" s="391"/>
      <c r="J116" s="267"/>
      <c r="K116" s="267"/>
      <c r="L116" s="166"/>
      <c r="M116" s="23"/>
    </row>
    <row r="117" spans="1:14" ht="15.75" x14ac:dyDescent="0.2">
      <c r="A117" s="21" t="s">
        <v>363</v>
      </c>
      <c r="B117" s="211">
        <v>16820</v>
      </c>
      <c r="C117" s="211">
        <v>19999.750520000001</v>
      </c>
      <c r="D117" s="166">
        <f t="shared" si="21"/>
        <v>18.899999999999999</v>
      </c>
      <c r="E117" s="27">
        <f>IFERROR(100/'Skjema total MA'!C117*C117,0)</f>
        <v>46.361798826222007</v>
      </c>
      <c r="F117" s="211"/>
      <c r="G117" s="211"/>
      <c r="H117" s="166"/>
      <c r="I117" s="27"/>
      <c r="J117" s="264">
        <f t="shared" si="22"/>
        <v>16820</v>
      </c>
      <c r="K117" s="44">
        <f t="shared" si="22"/>
        <v>19999.750520000001</v>
      </c>
      <c r="L117" s="231">
        <f t="shared" si="23"/>
        <v>18.899999999999999</v>
      </c>
      <c r="M117" s="27">
        <f>IFERROR(100/'Skjema total MA'!I117*K117,0)</f>
        <v>37.560662071058331</v>
      </c>
    </row>
    <row r="118" spans="1:14" ht="15.75" x14ac:dyDescent="0.2">
      <c r="A118" s="21" t="s">
        <v>364</v>
      </c>
      <c r="B118" s="211"/>
      <c r="C118" s="211"/>
      <c r="D118" s="166"/>
      <c r="E118" s="27"/>
      <c r="F118" s="211">
        <v>0</v>
      </c>
      <c r="G118" s="211">
        <v>233449</v>
      </c>
      <c r="H118" s="166" t="str">
        <f t="shared" si="24"/>
        <v xml:space="preserve">    ---- </v>
      </c>
      <c r="I118" s="27">
        <f>IFERROR(100/'Skjema total MA'!F118*G118,0)</f>
        <v>25.028185925637985</v>
      </c>
      <c r="J118" s="264">
        <f t="shared" si="22"/>
        <v>0</v>
      </c>
      <c r="K118" s="44">
        <f t="shared" si="22"/>
        <v>233449</v>
      </c>
      <c r="L118" s="231" t="str">
        <f t="shared" si="23"/>
        <v xml:space="preserve">    ---- </v>
      </c>
      <c r="M118" s="27">
        <f>IFERROR(100/'Skjema total MA'!I118*K118,0)</f>
        <v>25.028185925637985</v>
      </c>
    </row>
    <row r="119" spans="1:14" ht="15.75" x14ac:dyDescent="0.2">
      <c r="A119" s="21" t="s">
        <v>362</v>
      </c>
      <c r="B119" s="211"/>
      <c r="C119" s="211"/>
      <c r="D119" s="166"/>
      <c r="E119" s="27"/>
      <c r="F119" s="211"/>
      <c r="G119" s="211"/>
      <c r="H119" s="166"/>
      <c r="I119" s="27"/>
      <c r="J119" s="264"/>
      <c r="K119" s="44"/>
      <c r="L119" s="231"/>
      <c r="M119" s="27"/>
    </row>
    <row r="120" spans="1:14" ht="15.75" x14ac:dyDescent="0.2">
      <c r="A120" s="13" t="s">
        <v>343</v>
      </c>
      <c r="B120" s="284">
        <v>311106</v>
      </c>
      <c r="C120" s="159">
        <v>32894</v>
      </c>
      <c r="D120" s="171">
        <f t="shared" si="21"/>
        <v>-89.4</v>
      </c>
      <c r="E120" s="11">
        <f>IFERROR(100/'Skjema total MA'!C120*C120,0)</f>
        <v>25.130788802711379</v>
      </c>
      <c r="F120" s="284">
        <v>4234150</v>
      </c>
      <c r="G120" s="159">
        <v>4175522</v>
      </c>
      <c r="H120" s="171">
        <f t="shared" si="24"/>
        <v>-1.4</v>
      </c>
      <c r="I120" s="11">
        <f>IFERROR(100/'Skjema total MA'!F120*G120,0)</f>
        <v>34.522853982309229</v>
      </c>
      <c r="J120" s="285">
        <f t="shared" si="22"/>
        <v>4545256</v>
      </c>
      <c r="K120" s="213">
        <f t="shared" si="22"/>
        <v>4208416</v>
      </c>
      <c r="L120" s="402">
        <f t="shared" si="23"/>
        <v>-7.4</v>
      </c>
      <c r="M120" s="11">
        <f>IFERROR(100/'Skjema total MA'!I120*K120,0)</f>
        <v>34.422301474535089</v>
      </c>
    </row>
    <row r="121" spans="1:14" x14ac:dyDescent="0.2">
      <c r="A121" s="21" t="s">
        <v>9</v>
      </c>
      <c r="B121" s="211">
        <v>311106</v>
      </c>
      <c r="C121" s="145">
        <v>32894</v>
      </c>
      <c r="D121" s="166">
        <f t="shared" si="21"/>
        <v>-89.4</v>
      </c>
      <c r="E121" s="27">
        <f>IFERROR(100/'Skjema total MA'!C121*C121,0)</f>
        <v>41.819718165619541</v>
      </c>
      <c r="F121" s="211"/>
      <c r="G121" s="145"/>
      <c r="H121" s="166"/>
      <c r="I121" s="27"/>
      <c r="J121" s="264">
        <f t="shared" si="22"/>
        <v>311106</v>
      </c>
      <c r="K121" s="44">
        <f t="shared" si="22"/>
        <v>32894</v>
      </c>
      <c r="L121" s="231">
        <f t="shared" si="23"/>
        <v>-89.4</v>
      </c>
      <c r="M121" s="27">
        <f>IFERROR(100/'Skjema total MA'!I121*K121,0)</f>
        <v>41.819718165619541</v>
      </c>
    </row>
    <row r="122" spans="1:14" x14ac:dyDescent="0.2">
      <c r="A122" s="21" t="s">
        <v>10</v>
      </c>
      <c r="B122" s="211"/>
      <c r="C122" s="145"/>
      <c r="D122" s="166"/>
      <c r="E122" s="27"/>
      <c r="F122" s="211">
        <v>4234150</v>
      </c>
      <c r="G122" s="145">
        <v>4175522</v>
      </c>
      <c r="H122" s="166">
        <f t="shared" si="24"/>
        <v>-1.4</v>
      </c>
      <c r="I122" s="27">
        <f>IFERROR(100/'Skjema total MA'!F122*G122,0)</f>
        <v>34.522853982309229</v>
      </c>
      <c r="J122" s="264">
        <f t="shared" si="22"/>
        <v>4234150</v>
      </c>
      <c r="K122" s="44">
        <f t="shared" si="22"/>
        <v>4175522</v>
      </c>
      <c r="L122" s="231">
        <f t="shared" si="23"/>
        <v>-1.4</v>
      </c>
      <c r="M122" s="27">
        <f>IFERROR(100/'Skjema total MA'!I122*K122,0)</f>
        <v>34.492689849857335</v>
      </c>
    </row>
    <row r="123" spans="1:14" x14ac:dyDescent="0.2">
      <c r="A123" s="21" t="s">
        <v>26</v>
      </c>
      <c r="B123" s="211"/>
      <c r="C123" s="145"/>
      <c r="D123" s="166"/>
      <c r="E123" s="27"/>
      <c r="F123" s="211"/>
      <c r="G123" s="145"/>
      <c r="H123" s="166"/>
      <c r="I123" s="27"/>
      <c r="J123" s="264"/>
      <c r="K123" s="44"/>
      <c r="L123" s="231"/>
      <c r="M123" s="27"/>
    </row>
    <row r="124" spans="1:14" x14ac:dyDescent="0.2">
      <c r="A124" s="272" t="s">
        <v>14</v>
      </c>
      <c r="B124" s="258"/>
      <c r="C124" s="258"/>
      <c r="D124" s="166"/>
      <c r="E124" s="391"/>
      <c r="F124" s="258"/>
      <c r="G124" s="258"/>
      <c r="H124" s="166"/>
      <c r="I124" s="391"/>
      <c r="J124" s="267"/>
      <c r="K124" s="267"/>
      <c r="L124" s="166"/>
      <c r="M124" s="23"/>
    </row>
    <row r="125" spans="1:14" ht="15.75" x14ac:dyDescent="0.2">
      <c r="A125" s="21" t="s">
        <v>369</v>
      </c>
      <c r="B125" s="211">
        <v>15064</v>
      </c>
      <c r="C125" s="211">
        <v>8940.4760000000006</v>
      </c>
      <c r="D125" s="166">
        <f t="shared" si="21"/>
        <v>-40.700000000000003</v>
      </c>
      <c r="E125" s="27">
        <f>IFERROR(100/'Skjema total MA'!C125*C125,0)</f>
        <v>86.879925120099756</v>
      </c>
      <c r="F125" s="211"/>
      <c r="G125" s="211"/>
      <c r="H125" s="166"/>
      <c r="I125" s="27"/>
      <c r="J125" s="264">
        <f t="shared" si="22"/>
        <v>15064</v>
      </c>
      <c r="K125" s="44">
        <f t="shared" si="22"/>
        <v>8940.4760000000006</v>
      </c>
      <c r="L125" s="231">
        <f t="shared" si="23"/>
        <v>-40.700000000000003</v>
      </c>
      <c r="M125" s="27">
        <f>IFERROR(100/'Skjema total MA'!I125*K125,0)</f>
        <v>46.683682154311121</v>
      </c>
    </row>
    <row r="126" spans="1:14" ht="15.75" x14ac:dyDescent="0.2">
      <c r="A126" s="21" t="s">
        <v>361</v>
      </c>
      <c r="B126" s="211"/>
      <c r="C126" s="211"/>
      <c r="D126" s="166"/>
      <c r="E126" s="27"/>
      <c r="F126" s="211">
        <v>0</v>
      </c>
      <c r="G126" s="211">
        <v>317883</v>
      </c>
      <c r="H126" s="166" t="str">
        <f t="shared" si="24"/>
        <v xml:space="preserve">    ---- </v>
      </c>
      <c r="I126" s="27">
        <f>IFERROR(100/'Skjema total MA'!F126*G126,0)</f>
        <v>11.642421687815419</v>
      </c>
      <c r="J126" s="264">
        <f t="shared" si="22"/>
        <v>0</v>
      </c>
      <c r="K126" s="44">
        <f t="shared" si="22"/>
        <v>317883</v>
      </c>
      <c r="L126" s="231" t="str">
        <f t="shared" si="23"/>
        <v xml:space="preserve">    ---- </v>
      </c>
      <c r="M126" s="27">
        <f>IFERROR(100/'Skjema total MA'!I126*K126,0)</f>
        <v>11.641679347753144</v>
      </c>
    </row>
    <row r="127" spans="1:14" ht="15.75" x14ac:dyDescent="0.2">
      <c r="A127" s="10" t="s">
        <v>362</v>
      </c>
      <c r="B127" s="45"/>
      <c r="C127" s="45"/>
      <c r="D127" s="167"/>
      <c r="E127" s="392"/>
      <c r="F127" s="45"/>
      <c r="G127" s="45"/>
      <c r="H127" s="167"/>
      <c r="I127" s="22"/>
      <c r="J127" s="265"/>
      <c r="K127" s="45"/>
      <c r="L127" s="232"/>
      <c r="M127" s="22"/>
    </row>
    <row r="128" spans="1:14" x14ac:dyDescent="0.2">
      <c r="A128" s="155"/>
      <c r="L128" s="26"/>
      <c r="M128" s="26"/>
      <c r="N128" s="26"/>
    </row>
    <row r="129" spans="1:14" x14ac:dyDescent="0.2">
      <c r="L129" s="26"/>
      <c r="M129" s="26"/>
      <c r="N129" s="26"/>
    </row>
    <row r="130" spans="1:14" ht="15.75" x14ac:dyDescent="0.25">
      <c r="A130" s="165" t="s">
        <v>27</v>
      </c>
    </row>
    <row r="131" spans="1:14" ht="15.75" x14ac:dyDescent="0.25">
      <c r="B131" s="694"/>
      <c r="C131" s="694"/>
      <c r="D131" s="694"/>
      <c r="E131" s="275"/>
      <c r="F131" s="694"/>
      <c r="G131" s="694"/>
      <c r="H131" s="694"/>
      <c r="I131" s="275"/>
      <c r="J131" s="694"/>
      <c r="K131" s="694"/>
      <c r="L131" s="694"/>
      <c r="M131" s="275"/>
    </row>
    <row r="132" spans="1:14" s="3" customFormat="1" x14ac:dyDescent="0.2">
      <c r="A132" s="144"/>
      <c r="B132" s="695" t="s">
        <v>0</v>
      </c>
      <c r="C132" s="696"/>
      <c r="D132" s="696"/>
      <c r="E132" s="277"/>
      <c r="F132" s="695" t="s">
        <v>1</v>
      </c>
      <c r="G132" s="696"/>
      <c r="H132" s="696"/>
      <c r="I132" s="280"/>
      <c r="J132" s="695" t="s">
        <v>2</v>
      </c>
      <c r="K132" s="696"/>
      <c r="L132" s="696"/>
      <c r="M132" s="280"/>
      <c r="N132" s="148"/>
    </row>
    <row r="133" spans="1:14" s="3" customFormat="1" x14ac:dyDescent="0.2">
      <c r="A133" s="140"/>
      <c r="B133" s="152" t="s">
        <v>412</v>
      </c>
      <c r="C133" s="152" t="s">
        <v>413</v>
      </c>
      <c r="D133" s="222" t="s">
        <v>3</v>
      </c>
      <c r="E133" s="281" t="s">
        <v>29</v>
      </c>
      <c r="F133" s="152" t="s">
        <v>412</v>
      </c>
      <c r="G133" s="152" t="s">
        <v>413</v>
      </c>
      <c r="H133" s="203" t="s">
        <v>3</v>
      </c>
      <c r="I133" s="162" t="s">
        <v>29</v>
      </c>
      <c r="J133" s="152" t="s">
        <v>412</v>
      </c>
      <c r="K133" s="152" t="s">
        <v>413</v>
      </c>
      <c r="L133" s="223" t="s">
        <v>3</v>
      </c>
      <c r="M133" s="162" t="s">
        <v>29</v>
      </c>
      <c r="N133" s="148"/>
    </row>
    <row r="134" spans="1:14" s="3" customFormat="1" x14ac:dyDescent="0.2">
      <c r="A134" s="662"/>
      <c r="B134" s="156"/>
      <c r="C134" s="156"/>
      <c r="D134" s="223" t="s">
        <v>4</v>
      </c>
      <c r="E134" s="156" t="s">
        <v>30</v>
      </c>
      <c r="F134" s="161"/>
      <c r="G134" s="161"/>
      <c r="H134" s="203" t="s">
        <v>4</v>
      </c>
      <c r="I134" s="156" t="s">
        <v>30</v>
      </c>
      <c r="J134" s="156"/>
      <c r="K134" s="156"/>
      <c r="L134" s="150" t="s">
        <v>4</v>
      </c>
      <c r="M134" s="156" t="s">
        <v>30</v>
      </c>
      <c r="N134" s="148"/>
    </row>
    <row r="135" spans="1:14" s="3" customFormat="1" ht="15.75" x14ac:dyDescent="0.2">
      <c r="A135" s="14" t="s">
        <v>365</v>
      </c>
      <c r="B135" s="213"/>
      <c r="C135" s="285"/>
      <c r="D135" s="326"/>
      <c r="E135" s="11"/>
      <c r="F135" s="292"/>
      <c r="G135" s="293"/>
      <c r="H135" s="405"/>
      <c r="I135" s="24"/>
      <c r="J135" s="294"/>
      <c r="K135" s="294"/>
      <c r="L135" s="401"/>
      <c r="M135" s="11"/>
      <c r="N135" s="148"/>
    </row>
    <row r="136" spans="1:14" s="3" customFormat="1" ht="15.75" x14ac:dyDescent="0.2">
      <c r="A136" s="13" t="s">
        <v>370</v>
      </c>
      <c r="B136" s="213"/>
      <c r="C136" s="285"/>
      <c r="D136" s="171"/>
      <c r="E136" s="11"/>
      <c r="F136" s="213"/>
      <c r="G136" s="285"/>
      <c r="H136" s="406"/>
      <c r="I136" s="24"/>
      <c r="J136" s="284"/>
      <c r="K136" s="284"/>
      <c r="L136" s="402"/>
      <c r="M136" s="11"/>
      <c r="N136" s="148"/>
    </row>
    <row r="137" spans="1:14" s="3" customFormat="1" ht="15.75" x14ac:dyDescent="0.2">
      <c r="A137" s="13" t="s">
        <v>367</v>
      </c>
      <c r="B137" s="213"/>
      <c r="C137" s="285"/>
      <c r="D137" s="171"/>
      <c r="E137" s="11"/>
      <c r="F137" s="213"/>
      <c r="G137" s="285"/>
      <c r="H137" s="406"/>
      <c r="I137" s="24"/>
      <c r="J137" s="284"/>
      <c r="K137" s="284"/>
      <c r="L137" s="402"/>
      <c r="M137" s="11"/>
      <c r="N137" s="148"/>
    </row>
    <row r="138" spans="1:14" s="3" customFormat="1" ht="15.75" x14ac:dyDescent="0.2">
      <c r="A138" s="41" t="s">
        <v>368</v>
      </c>
      <c r="B138" s="253"/>
      <c r="C138" s="291"/>
      <c r="D138" s="169"/>
      <c r="E138" s="9"/>
      <c r="F138" s="253"/>
      <c r="G138" s="291"/>
      <c r="H138" s="407"/>
      <c r="I138" s="36"/>
      <c r="J138" s="290"/>
      <c r="K138" s="290"/>
      <c r="L138" s="403"/>
      <c r="M138" s="36"/>
      <c r="N138" s="148"/>
    </row>
    <row r="139" spans="1:14" s="3" customFormat="1"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68"/>
      <c r="B141" s="33"/>
      <c r="C141" s="33"/>
      <c r="D141" s="159"/>
      <c r="E141" s="159"/>
      <c r="F141" s="33"/>
      <c r="G141" s="33"/>
      <c r="H141" s="159"/>
      <c r="I141" s="159"/>
      <c r="J141" s="33"/>
      <c r="K141" s="33"/>
      <c r="L141" s="159"/>
      <c r="M141" s="159"/>
      <c r="N141" s="148"/>
    </row>
    <row r="142" spans="1:14" x14ac:dyDescent="0.2">
      <c r="A142" s="146"/>
      <c r="B142" s="146"/>
      <c r="C142" s="146"/>
      <c r="D142" s="146"/>
      <c r="E142" s="146"/>
      <c r="F142" s="146"/>
      <c r="G142" s="146"/>
      <c r="H142" s="146"/>
      <c r="I142" s="146"/>
      <c r="J142" s="146"/>
      <c r="K142" s="146"/>
      <c r="L142" s="146"/>
      <c r="M142" s="146"/>
      <c r="N142" s="146"/>
    </row>
    <row r="143" spans="1:14" ht="15.75" x14ac:dyDescent="0.25">
      <c r="B143" s="142"/>
      <c r="C143" s="142"/>
      <c r="D143" s="142"/>
      <c r="E143" s="142"/>
      <c r="F143" s="142"/>
      <c r="G143" s="142"/>
      <c r="H143" s="142"/>
      <c r="I143" s="142"/>
      <c r="J143" s="142"/>
      <c r="K143" s="142"/>
      <c r="L143" s="142"/>
      <c r="M143" s="142"/>
      <c r="N143" s="142"/>
    </row>
    <row r="144" spans="1:14" ht="15.75" x14ac:dyDescent="0.25">
      <c r="B144" s="157"/>
      <c r="C144" s="157"/>
      <c r="D144" s="157"/>
      <c r="E144" s="157"/>
      <c r="F144" s="157"/>
      <c r="G144" s="157"/>
      <c r="H144" s="157"/>
      <c r="I144" s="157"/>
      <c r="J144" s="157"/>
      <c r="K144" s="157"/>
      <c r="L144" s="157"/>
      <c r="M144" s="157"/>
      <c r="N144" s="157"/>
    </row>
    <row r="145" spans="2:14" ht="15.75" x14ac:dyDescent="0.25">
      <c r="B145" s="157"/>
      <c r="C145" s="157"/>
      <c r="D145" s="157"/>
      <c r="E145" s="157"/>
      <c r="F145" s="157"/>
      <c r="G145" s="157"/>
      <c r="H145" s="157"/>
      <c r="I145" s="157"/>
      <c r="J145" s="157"/>
      <c r="K145" s="157"/>
      <c r="L145" s="157"/>
      <c r="M145" s="157"/>
      <c r="N145" s="157"/>
    </row>
  </sheetData>
  <mergeCells count="31">
    <mergeCell ref="B132:D132"/>
    <mergeCell ref="F132:H132"/>
    <mergeCell ref="J132:L132"/>
    <mergeCell ref="B63:D63"/>
    <mergeCell ref="F63:H63"/>
    <mergeCell ref="J63:L63"/>
    <mergeCell ref="B131:D131"/>
    <mergeCell ref="F131:H131"/>
    <mergeCell ref="J131:L131"/>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6">
    <cfRule type="expression" dxfId="616" priority="76">
      <formula>kvartal &lt; 4</formula>
    </cfRule>
  </conditionalFormatting>
  <conditionalFormatting sqref="C116">
    <cfRule type="expression" dxfId="615" priority="75">
      <formula>kvartal &lt; 4</formula>
    </cfRule>
  </conditionalFormatting>
  <conditionalFormatting sqref="B124">
    <cfRule type="expression" dxfId="614" priority="74">
      <formula>kvartal &lt; 4</formula>
    </cfRule>
  </conditionalFormatting>
  <conditionalFormatting sqref="C124">
    <cfRule type="expression" dxfId="613" priority="73">
      <formula>kvartal &lt; 4</formula>
    </cfRule>
  </conditionalFormatting>
  <conditionalFormatting sqref="F116">
    <cfRule type="expression" dxfId="612" priority="58">
      <formula>kvartal &lt; 4</formula>
    </cfRule>
  </conditionalFormatting>
  <conditionalFormatting sqref="G116">
    <cfRule type="expression" dxfId="611" priority="57">
      <formula>kvartal &lt; 4</formula>
    </cfRule>
  </conditionalFormatting>
  <conditionalFormatting sqref="F124:G124">
    <cfRule type="expression" dxfId="610" priority="56">
      <formula>kvartal &lt; 4</formula>
    </cfRule>
  </conditionalFormatting>
  <conditionalFormatting sqref="J116:K116">
    <cfRule type="expression" dxfId="609" priority="32">
      <formula>kvartal &lt; 4</formula>
    </cfRule>
  </conditionalFormatting>
  <conditionalFormatting sqref="J124:K124">
    <cfRule type="expression" dxfId="608" priority="31">
      <formula>kvartal &lt; 4</formula>
    </cfRule>
  </conditionalFormatting>
  <conditionalFormatting sqref="A50:A52">
    <cfRule type="expression" dxfId="607" priority="12">
      <formula>kvartal &lt; 4</formula>
    </cfRule>
  </conditionalFormatting>
  <conditionalFormatting sqref="A69:A74">
    <cfRule type="expression" dxfId="606" priority="10">
      <formula>kvartal &lt; 4</formula>
    </cfRule>
  </conditionalFormatting>
  <conditionalFormatting sqref="A80:A85">
    <cfRule type="expression" dxfId="605" priority="9">
      <formula>kvartal &lt; 4</formula>
    </cfRule>
  </conditionalFormatting>
  <conditionalFormatting sqref="A90:A95">
    <cfRule type="expression" dxfId="604" priority="6">
      <formula>kvartal &lt; 4</formula>
    </cfRule>
  </conditionalFormatting>
  <conditionalFormatting sqref="A102:A107">
    <cfRule type="expression" dxfId="603" priority="5">
      <formula>kvartal &lt; 4</formula>
    </cfRule>
  </conditionalFormatting>
  <conditionalFormatting sqref="A116">
    <cfRule type="expression" dxfId="602" priority="4">
      <formula>kvartal &lt; 4</formula>
    </cfRule>
  </conditionalFormatting>
  <conditionalFormatting sqref="A124">
    <cfRule type="expression" dxfId="601" priority="3">
      <formula>kvartal &lt; 4</formula>
    </cfRule>
  </conditionalFormatting>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3"/>
  <dimension ref="A1:N145"/>
  <sheetViews>
    <sheetView showGridLines="0" zoomScaleNormal="100" workbookViewId="0">
      <selection activeCell="A111" sqref="A111"/>
    </sheetView>
  </sheetViews>
  <sheetFormatPr baseColWidth="10" defaultColWidth="11.42578125" defaultRowHeight="12.75" x14ac:dyDescent="0.2"/>
  <cols>
    <col min="1" max="1" width="41.57031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134</v>
      </c>
      <c r="B1" s="663"/>
      <c r="C1" s="225" t="s">
        <v>124</v>
      </c>
      <c r="D1" s="26"/>
      <c r="E1" s="26"/>
      <c r="F1" s="26"/>
      <c r="G1" s="26"/>
      <c r="H1" s="26"/>
      <c r="I1" s="26"/>
      <c r="J1" s="26"/>
      <c r="K1" s="26"/>
      <c r="L1" s="26"/>
      <c r="M1" s="26"/>
    </row>
    <row r="2" spans="1:14" ht="15.75" x14ac:dyDescent="0.25">
      <c r="A2" s="165" t="s">
        <v>28</v>
      </c>
      <c r="B2" s="699"/>
      <c r="C2" s="699"/>
      <c r="D2" s="699"/>
      <c r="E2" s="275"/>
      <c r="F2" s="699"/>
      <c r="G2" s="699"/>
      <c r="H2" s="699"/>
      <c r="I2" s="275"/>
      <c r="J2" s="699"/>
      <c r="K2" s="699"/>
      <c r="L2" s="699"/>
      <c r="M2" s="275"/>
    </row>
    <row r="3" spans="1:14" ht="15.75" x14ac:dyDescent="0.25">
      <c r="A3" s="163"/>
      <c r="B3" s="275"/>
      <c r="C3" s="275"/>
      <c r="D3" s="275"/>
      <c r="E3" s="275"/>
      <c r="F3" s="275"/>
      <c r="G3" s="275"/>
      <c r="H3" s="275"/>
      <c r="I3" s="275"/>
      <c r="J3" s="275"/>
      <c r="K3" s="275"/>
      <c r="L3" s="275"/>
      <c r="M3" s="275"/>
    </row>
    <row r="4" spans="1:14" x14ac:dyDescent="0.2">
      <c r="A4" s="144"/>
      <c r="B4" s="695" t="s">
        <v>0</v>
      </c>
      <c r="C4" s="696"/>
      <c r="D4" s="696"/>
      <c r="E4" s="277"/>
      <c r="F4" s="695" t="s">
        <v>1</v>
      </c>
      <c r="G4" s="696"/>
      <c r="H4" s="696"/>
      <c r="I4" s="280"/>
      <c r="J4" s="695" t="s">
        <v>2</v>
      </c>
      <c r="K4" s="696"/>
      <c r="L4" s="696"/>
      <c r="M4" s="280"/>
    </row>
    <row r="5" spans="1:14" x14ac:dyDescent="0.2">
      <c r="A5" s="158"/>
      <c r="B5" s="152" t="s">
        <v>412</v>
      </c>
      <c r="C5" s="152" t="s">
        <v>413</v>
      </c>
      <c r="D5" s="222" t="s">
        <v>3</v>
      </c>
      <c r="E5" s="281" t="s">
        <v>29</v>
      </c>
      <c r="F5" s="152" t="s">
        <v>412</v>
      </c>
      <c r="G5" s="152" t="s">
        <v>413</v>
      </c>
      <c r="H5" s="222" t="s">
        <v>3</v>
      </c>
      <c r="I5" s="162" t="s">
        <v>29</v>
      </c>
      <c r="J5" s="152" t="s">
        <v>412</v>
      </c>
      <c r="K5" s="152" t="s">
        <v>413</v>
      </c>
      <c r="L5" s="222" t="s">
        <v>3</v>
      </c>
      <c r="M5" s="162" t="s">
        <v>29</v>
      </c>
    </row>
    <row r="6" spans="1:14" x14ac:dyDescent="0.2">
      <c r="A6" s="661"/>
      <c r="B6" s="156"/>
      <c r="C6" s="156"/>
      <c r="D6" s="223" t="s">
        <v>4</v>
      </c>
      <c r="E6" s="156" t="s">
        <v>30</v>
      </c>
      <c r="F6" s="161"/>
      <c r="G6" s="161"/>
      <c r="H6" s="222" t="s">
        <v>4</v>
      </c>
      <c r="I6" s="156" t="s">
        <v>30</v>
      </c>
      <c r="J6" s="161"/>
      <c r="K6" s="161"/>
      <c r="L6" s="222" t="s">
        <v>4</v>
      </c>
      <c r="M6" s="156" t="s">
        <v>30</v>
      </c>
    </row>
    <row r="7" spans="1:14" ht="15.75" x14ac:dyDescent="0.2">
      <c r="A7" s="14" t="s">
        <v>23</v>
      </c>
      <c r="B7" s="282">
        <v>79342</v>
      </c>
      <c r="C7" s="283">
        <v>86830</v>
      </c>
      <c r="D7" s="326">
        <f t="shared" ref="D7:D9" si="0">IF(B7=0, "    ---- ", IF(ABS(ROUND(100/B7*C7-100,1))&lt;999,ROUND(100/B7*C7-100,1),IF(ROUND(100/B7*C7-100,1)&gt;999,999,-999)))</f>
        <v>9.4</v>
      </c>
      <c r="E7" s="11">
        <f>IFERROR(100/'Skjema total MA'!C7*C7,0)</f>
        <v>5.1528160786896677</v>
      </c>
      <c r="F7" s="282"/>
      <c r="G7" s="283"/>
      <c r="H7" s="326"/>
      <c r="I7" s="160"/>
      <c r="J7" s="284">
        <f t="shared" ref="J7:K9" si="1">SUM(B7,F7)</f>
        <v>79342</v>
      </c>
      <c r="K7" s="285">
        <f t="shared" si="1"/>
        <v>86830</v>
      </c>
      <c r="L7" s="401">
        <f t="shared" ref="L7:L9" si="2">IF(J7=0, "    ---- ", IF(ABS(ROUND(100/J7*K7-100,1))&lt;999,ROUND(100/J7*K7-100,1),IF(ROUND(100/J7*K7-100,1)&gt;999,999,-999)))</f>
        <v>9.4</v>
      </c>
      <c r="M7" s="11">
        <f>IFERROR(100/'Skjema total MA'!I7*K7,0)</f>
        <v>1.5539614177237266</v>
      </c>
    </row>
    <row r="8" spans="1:14" ht="15.75" x14ac:dyDescent="0.2">
      <c r="A8" s="21" t="s">
        <v>25</v>
      </c>
      <c r="B8" s="258">
        <v>38548</v>
      </c>
      <c r="C8" s="259">
        <v>42218</v>
      </c>
      <c r="D8" s="166">
        <f t="shared" si="0"/>
        <v>9.5</v>
      </c>
      <c r="E8" s="27">
        <f>IFERROR(100/'Skjema total MA'!C8*C8,0)</f>
        <v>3.7025429440519453</v>
      </c>
      <c r="F8" s="262"/>
      <c r="G8" s="263"/>
      <c r="H8" s="166"/>
      <c r="I8" s="175"/>
      <c r="J8" s="211">
        <f t="shared" si="1"/>
        <v>38548</v>
      </c>
      <c r="K8" s="264">
        <f t="shared" si="1"/>
        <v>42218</v>
      </c>
      <c r="L8" s="166">
        <f t="shared" si="2"/>
        <v>9.5</v>
      </c>
      <c r="M8" s="27">
        <f>IFERROR(100/'Skjema total MA'!I8*K8,0)</f>
        <v>3.7025429440519453</v>
      </c>
    </row>
    <row r="9" spans="1:14" ht="15.75" x14ac:dyDescent="0.2">
      <c r="A9" s="21" t="s">
        <v>24</v>
      </c>
      <c r="B9" s="258">
        <v>40794</v>
      </c>
      <c r="C9" s="259">
        <v>44612</v>
      </c>
      <c r="D9" s="166">
        <f t="shared" si="0"/>
        <v>9.4</v>
      </c>
      <c r="E9" s="27">
        <f>IFERROR(100/'Skjema total MA'!C9*C9,0)</f>
        <v>12.508033541937312</v>
      </c>
      <c r="F9" s="262"/>
      <c r="G9" s="263"/>
      <c r="H9" s="166"/>
      <c r="I9" s="175"/>
      <c r="J9" s="211">
        <f t="shared" si="1"/>
        <v>40794</v>
      </c>
      <c r="K9" s="264">
        <f t="shared" si="1"/>
        <v>44612</v>
      </c>
      <c r="L9" s="166">
        <f t="shared" si="2"/>
        <v>9.4</v>
      </c>
      <c r="M9" s="27">
        <f>IFERROR(100/'Skjema total MA'!I9*K9,0)</f>
        <v>12.508033541937312</v>
      </c>
    </row>
    <row r="10" spans="1:14" ht="15.75" x14ac:dyDescent="0.2">
      <c r="A10" s="13" t="s">
        <v>341</v>
      </c>
      <c r="B10" s="286"/>
      <c r="C10" s="287"/>
      <c r="D10" s="171"/>
      <c r="E10" s="11"/>
      <c r="F10" s="286"/>
      <c r="G10" s="287"/>
      <c r="H10" s="171"/>
      <c r="I10" s="160"/>
      <c r="J10" s="284"/>
      <c r="K10" s="285"/>
      <c r="L10" s="402"/>
      <c r="M10" s="11"/>
    </row>
    <row r="11" spans="1:14" s="43" customFormat="1" ht="15.75" x14ac:dyDescent="0.2">
      <c r="A11" s="13" t="s">
        <v>342</v>
      </c>
      <c r="B11" s="286"/>
      <c r="C11" s="287"/>
      <c r="D11" s="171"/>
      <c r="E11" s="11"/>
      <c r="F11" s="286"/>
      <c r="G11" s="287"/>
      <c r="H11" s="171"/>
      <c r="I11" s="160"/>
      <c r="J11" s="284"/>
      <c r="K11" s="285"/>
      <c r="L11" s="402"/>
      <c r="M11" s="11"/>
      <c r="N11" s="143"/>
    </row>
    <row r="12" spans="1:14" s="43" customFormat="1" ht="15.75" x14ac:dyDescent="0.2">
      <c r="A12" s="41" t="s">
        <v>343</v>
      </c>
      <c r="B12" s="288"/>
      <c r="C12" s="289"/>
      <c r="D12" s="169"/>
      <c r="E12" s="36"/>
      <c r="F12" s="288"/>
      <c r="G12" s="289"/>
      <c r="H12" s="169"/>
      <c r="I12" s="169"/>
      <c r="J12" s="290"/>
      <c r="K12" s="291"/>
      <c r="L12" s="403"/>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251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248</v>
      </c>
      <c r="B17" s="157"/>
      <c r="C17" s="157"/>
      <c r="D17" s="151"/>
      <c r="E17" s="151"/>
      <c r="F17" s="157"/>
      <c r="G17" s="157"/>
      <c r="H17" s="157"/>
      <c r="I17" s="157"/>
      <c r="J17" s="157"/>
      <c r="K17" s="157"/>
      <c r="L17" s="157"/>
      <c r="M17" s="157"/>
    </row>
    <row r="18" spans="1:14" ht="15.75" x14ac:dyDescent="0.25">
      <c r="B18" s="694"/>
      <c r="C18" s="694"/>
      <c r="D18" s="694"/>
      <c r="E18" s="275"/>
      <c r="F18" s="694"/>
      <c r="G18" s="694"/>
      <c r="H18" s="694"/>
      <c r="I18" s="275"/>
      <c r="J18" s="694"/>
      <c r="K18" s="694"/>
      <c r="L18" s="694"/>
      <c r="M18" s="275"/>
    </row>
    <row r="19" spans="1:14" x14ac:dyDescent="0.2">
      <c r="A19" s="144"/>
      <c r="B19" s="695" t="s">
        <v>0</v>
      </c>
      <c r="C19" s="696"/>
      <c r="D19" s="696"/>
      <c r="E19" s="277"/>
      <c r="F19" s="695" t="s">
        <v>1</v>
      </c>
      <c r="G19" s="696"/>
      <c r="H19" s="696"/>
      <c r="I19" s="280"/>
      <c r="J19" s="695" t="s">
        <v>2</v>
      </c>
      <c r="K19" s="696"/>
      <c r="L19" s="696"/>
      <c r="M19" s="280"/>
    </row>
    <row r="20" spans="1:14" x14ac:dyDescent="0.2">
      <c r="A20" s="140" t="s">
        <v>5</v>
      </c>
      <c r="B20" s="152" t="s">
        <v>412</v>
      </c>
      <c r="C20" s="152" t="s">
        <v>413</v>
      </c>
      <c r="D20" s="162" t="s">
        <v>3</v>
      </c>
      <c r="E20" s="281" t="s">
        <v>29</v>
      </c>
      <c r="F20" s="152" t="s">
        <v>412</v>
      </c>
      <c r="G20" s="152" t="s">
        <v>413</v>
      </c>
      <c r="H20" s="162" t="s">
        <v>3</v>
      </c>
      <c r="I20" s="162" t="s">
        <v>29</v>
      </c>
      <c r="J20" s="152" t="s">
        <v>412</v>
      </c>
      <c r="K20" s="152" t="s">
        <v>413</v>
      </c>
      <c r="L20" s="162" t="s">
        <v>3</v>
      </c>
      <c r="M20" s="162" t="s">
        <v>29</v>
      </c>
    </row>
    <row r="21" spans="1:14" x14ac:dyDescent="0.2">
      <c r="A21" s="662"/>
      <c r="B21" s="156"/>
      <c r="C21" s="156"/>
      <c r="D21" s="223" t="s">
        <v>4</v>
      </c>
      <c r="E21" s="156" t="s">
        <v>30</v>
      </c>
      <c r="F21" s="161"/>
      <c r="G21" s="161"/>
      <c r="H21" s="222" t="s">
        <v>4</v>
      </c>
      <c r="I21" s="156" t="s">
        <v>30</v>
      </c>
      <c r="J21" s="161"/>
      <c r="K21" s="161"/>
      <c r="L21" s="156" t="s">
        <v>4</v>
      </c>
      <c r="M21" s="156" t="s">
        <v>30</v>
      </c>
    </row>
    <row r="22" spans="1:14" ht="15.75" x14ac:dyDescent="0.2">
      <c r="A22" s="14" t="s">
        <v>23</v>
      </c>
      <c r="B22" s="286"/>
      <c r="C22" s="286"/>
      <c r="D22" s="326"/>
      <c r="E22" s="11"/>
      <c r="F22" s="294"/>
      <c r="G22" s="294"/>
      <c r="H22" s="326"/>
      <c r="I22" s="11"/>
      <c r="J22" s="292"/>
      <c r="K22" s="292"/>
      <c r="L22" s="401"/>
      <c r="M22" s="24"/>
    </row>
    <row r="23" spans="1:14" ht="15.75" x14ac:dyDescent="0.2">
      <c r="A23" s="545" t="s">
        <v>344</v>
      </c>
      <c r="B23" s="258"/>
      <c r="C23" s="258"/>
      <c r="D23" s="166"/>
      <c r="E23" s="11"/>
      <c r="F23" s="267"/>
      <c r="G23" s="267"/>
      <c r="H23" s="166"/>
      <c r="I23" s="391"/>
      <c r="J23" s="267"/>
      <c r="K23" s="267"/>
      <c r="L23" s="166"/>
      <c r="M23" s="23"/>
    </row>
    <row r="24" spans="1:14" ht="15.75" x14ac:dyDescent="0.2">
      <c r="A24" s="545" t="s">
        <v>345</v>
      </c>
      <c r="B24" s="258"/>
      <c r="C24" s="258"/>
      <c r="D24" s="166"/>
      <c r="E24" s="11"/>
      <c r="F24" s="267"/>
      <c r="G24" s="267"/>
      <c r="H24" s="166"/>
      <c r="I24" s="391"/>
      <c r="J24" s="267"/>
      <c r="K24" s="267"/>
      <c r="L24" s="166"/>
      <c r="M24" s="23"/>
    </row>
    <row r="25" spans="1:14" ht="15.75" x14ac:dyDescent="0.2">
      <c r="A25" s="545" t="s">
        <v>346</v>
      </c>
      <c r="B25" s="258"/>
      <c r="C25" s="258"/>
      <c r="D25" s="166"/>
      <c r="E25" s="11"/>
      <c r="F25" s="267"/>
      <c r="G25" s="267"/>
      <c r="H25" s="166"/>
      <c r="I25" s="391"/>
      <c r="J25" s="267"/>
      <c r="K25" s="267"/>
      <c r="L25" s="166"/>
      <c r="M25" s="23"/>
    </row>
    <row r="26" spans="1:14" ht="15.75" x14ac:dyDescent="0.2">
      <c r="A26" s="545" t="s">
        <v>347</v>
      </c>
      <c r="B26" s="258"/>
      <c r="C26" s="258"/>
      <c r="D26" s="166"/>
      <c r="E26" s="11"/>
      <c r="F26" s="267"/>
      <c r="G26" s="267"/>
      <c r="H26" s="166"/>
      <c r="I26" s="391"/>
      <c r="J26" s="267"/>
      <c r="K26" s="267"/>
      <c r="L26" s="166"/>
      <c r="M26" s="23"/>
    </row>
    <row r="27" spans="1:14" x14ac:dyDescent="0.2">
      <c r="A27" s="545" t="s">
        <v>11</v>
      </c>
      <c r="B27" s="258"/>
      <c r="C27" s="258"/>
      <c r="D27" s="166"/>
      <c r="E27" s="11"/>
      <c r="F27" s="267"/>
      <c r="G27" s="267"/>
      <c r="H27" s="166"/>
      <c r="I27" s="391"/>
      <c r="J27" s="267"/>
      <c r="K27" s="267"/>
      <c r="L27" s="166"/>
      <c r="M27" s="23"/>
    </row>
    <row r="28" spans="1:14" ht="15.75" x14ac:dyDescent="0.2">
      <c r="A28" s="49" t="s">
        <v>252</v>
      </c>
      <c r="B28" s="44"/>
      <c r="C28" s="264"/>
      <c r="D28" s="166"/>
      <c r="E28" s="11"/>
      <c r="F28" s="211"/>
      <c r="G28" s="264"/>
      <c r="H28" s="166"/>
      <c r="I28" s="27"/>
      <c r="J28" s="44"/>
      <c r="K28" s="44"/>
      <c r="L28" s="231"/>
      <c r="M28" s="23"/>
    </row>
    <row r="29" spans="1:14" s="3" customFormat="1" ht="15.75" x14ac:dyDescent="0.2">
      <c r="A29" s="13" t="s">
        <v>341</v>
      </c>
      <c r="B29" s="213"/>
      <c r="C29" s="213"/>
      <c r="D29" s="171"/>
      <c r="E29" s="11"/>
      <c r="F29" s="284"/>
      <c r="G29" s="284"/>
      <c r="H29" s="171"/>
      <c r="I29" s="11"/>
      <c r="J29" s="213"/>
      <c r="K29" s="213"/>
      <c r="L29" s="402"/>
      <c r="M29" s="24"/>
      <c r="N29" s="148"/>
    </row>
    <row r="30" spans="1:14" s="3" customFormat="1" ht="15.75" x14ac:dyDescent="0.2">
      <c r="A30" s="545" t="s">
        <v>344</v>
      </c>
      <c r="B30" s="258"/>
      <c r="C30" s="258"/>
      <c r="D30" s="166"/>
      <c r="E30" s="11"/>
      <c r="F30" s="267"/>
      <c r="G30" s="267"/>
      <c r="H30" s="166"/>
      <c r="I30" s="391"/>
      <c r="J30" s="267"/>
      <c r="K30" s="267"/>
      <c r="L30" s="166"/>
      <c r="M30" s="23"/>
      <c r="N30" s="148"/>
    </row>
    <row r="31" spans="1:14" s="3" customFormat="1" ht="15.75" x14ac:dyDescent="0.2">
      <c r="A31" s="545" t="s">
        <v>345</v>
      </c>
      <c r="B31" s="258"/>
      <c r="C31" s="258"/>
      <c r="D31" s="166"/>
      <c r="E31" s="11"/>
      <c r="F31" s="267"/>
      <c r="G31" s="267"/>
      <c r="H31" s="166"/>
      <c r="I31" s="391"/>
      <c r="J31" s="267"/>
      <c r="K31" s="267"/>
      <c r="L31" s="166"/>
      <c r="M31" s="23"/>
      <c r="N31" s="148"/>
    </row>
    <row r="32" spans="1:14" ht="15.75" x14ac:dyDescent="0.2">
      <c r="A32" s="545" t="s">
        <v>346</v>
      </c>
      <c r="B32" s="258"/>
      <c r="C32" s="258"/>
      <c r="D32" s="166"/>
      <c r="E32" s="11"/>
      <c r="F32" s="267"/>
      <c r="G32" s="267"/>
      <c r="H32" s="166"/>
      <c r="I32" s="391"/>
      <c r="J32" s="267"/>
      <c r="K32" s="267"/>
      <c r="L32" s="166"/>
      <c r="M32" s="23"/>
    </row>
    <row r="33" spans="1:14" ht="15.75" x14ac:dyDescent="0.2">
      <c r="A33" s="545" t="s">
        <v>347</v>
      </c>
      <c r="B33" s="258"/>
      <c r="C33" s="258"/>
      <c r="D33" s="166"/>
      <c r="E33" s="11"/>
      <c r="F33" s="267"/>
      <c r="G33" s="267"/>
      <c r="H33" s="166"/>
      <c r="I33" s="391"/>
      <c r="J33" s="267"/>
      <c r="K33" s="267"/>
      <c r="L33" s="166"/>
      <c r="M33" s="23"/>
    </row>
    <row r="34" spans="1:14" ht="15.75" x14ac:dyDescent="0.2">
      <c r="A34" s="13" t="s">
        <v>342</v>
      </c>
      <c r="B34" s="213"/>
      <c r="C34" s="285"/>
      <c r="D34" s="171"/>
      <c r="E34" s="11"/>
      <c r="F34" s="284"/>
      <c r="G34" s="285"/>
      <c r="H34" s="171"/>
      <c r="I34" s="11"/>
      <c r="J34" s="213"/>
      <c r="K34" s="213"/>
      <c r="L34" s="402"/>
      <c r="M34" s="24"/>
    </row>
    <row r="35" spans="1:14" ht="15.75" x14ac:dyDescent="0.2">
      <c r="A35" s="13" t="s">
        <v>343</v>
      </c>
      <c r="B35" s="213"/>
      <c r="C35" s="285"/>
      <c r="D35" s="171"/>
      <c r="E35" s="11"/>
      <c r="F35" s="284"/>
      <c r="G35" s="285"/>
      <c r="H35" s="171"/>
      <c r="I35" s="11"/>
      <c r="J35" s="213"/>
      <c r="K35" s="213"/>
      <c r="L35" s="402"/>
      <c r="M35" s="24"/>
    </row>
    <row r="36" spans="1:14" ht="15.75" x14ac:dyDescent="0.2">
      <c r="A36" s="12" t="s">
        <v>260</v>
      </c>
      <c r="B36" s="213"/>
      <c r="C36" s="285"/>
      <c r="D36" s="171"/>
      <c r="E36" s="11"/>
      <c r="F36" s="295"/>
      <c r="G36" s="296"/>
      <c r="H36" s="171"/>
      <c r="I36" s="408"/>
      <c r="J36" s="213"/>
      <c r="K36" s="213"/>
      <c r="L36" s="402"/>
      <c r="M36" s="24"/>
    </row>
    <row r="37" spans="1:14" ht="15.75" x14ac:dyDescent="0.2">
      <c r="A37" s="12" t="s">
        <v>349</v>
      </c>
      <c r="B37" s="213"/>
      <c r="C37" s="285"/>
      <c r="D37" s="171"/>
      <c r="E37" s="11"/>
      <c r="F37" s="295"/>
      <c r="G37" s="297"/>
      <c r="H37" s="171"/>
      <c r="I37" s="408"/>
      <c r="J37" s="213"/>
      <c r="K37" s="213"/>
      <c r="L37" s="402"/>
      <c r="M37" s="24"/>
    </row>
    <row r="38" spans="1:14" ht="15.75" x14ac:dyDescent="0.2">
      <c r="A38" s="12" t="s">
        <v>350</v>
      </c>
      <c r="B38" s="213"/>
      <c r="C38" s="285"/>
      <c r="D38" s="171"/>
      <c r="E38" s="24"/>
      <c r="F38" s="295"/>
      <c r="G38" s="296"/>
      <c r="H38" s="171"/>
      <c r="I38" s="408"/>
      <c r="J38" s="213"/>
      <c r="K38" s="213"/>
      <c r="L38" s="402"/>
      <c r="M38" s="24"/>
    </row>
    <row r="39" spans="1:14" ht="15.75" x14ac:dyDescent="0.2">
      <c r="A39" s="18" t="s">
        <v>351</v>
      </c>
      <c r="B39" s="253"/>
      <c r="C39" s="291"/>
      <c r="D39" s="169"/>
      <c r="E39" s="36"/>
      <c r="F39" s="298"/>
      <c r="G39" s="299"/>
      <c r="H39" s="169"/>
      <c r="I39" s="36"/>
      <c r="J39" s="213"/>
      <c r="K39" s="213"/>
      <c r="L39" s="403"/>
      <c r="M39" s="36"/>
    </row>
    <row r="40" spans="1:14" ht="15.75" x14ac:dyDescent="0.25">
      <c r="A40" s="47"/>
      <c r="B40" s="230"/>
      <c r="C40" s="230"/>
      <c r="D40" s="698"/>
      <c r="E40" s="698"/>
      <c r="F40" s="698"/>
      <c r="G40" s="698"/>
      <c r="H40" s="698"/>
      <c r="I40" s="698"/>
      <c r="J40" s="698"/>
      <c r="K40" s="698"/>
      <c r="L40" s="698"/>
      <c r="M40" s="278"/>
    </row>
    <row r="41" spans="1:14" x14ac:dyDescent="0.2">
      <c r="A41" s="155"/>
    </row>
    <row r="42" spans="1:14" ht="15.75" x14ac:dyDescent="0.25">
      <c r="A42" s="147" t="s">
        <v>249</v>
      </c>
      <c r="B42" s="699"/>
      <c r="C42" s="699"/>
      <c r="D42" s="699"/>
      <c r="E42" s="275"/>
      <c r="F42" s="700"/>
      <c r="G42" s="700"/>
      <c r="H42" s="700"/>
      <c r="I42" s="278"/>
      <c r="J42" s="700"/>
      <c r="K42" s="700"/>
      <c r="L42" s="700"/>
      <c r="M42" s="278"/>
    </row>
    <row r="43" spans="1:14" ht="15.75" x14ac:dyDescent="0.25">
      <c r="A43" s="163"/>
      <c r="B43" s="279"/>
      <c r="C43" s="279"/>
      <c r="D43" s="279"/>
      <c r="E43" s="279"/>
      <c r="F43" s="278"/>
      <c r="G43" s="278"/>
      <c r="H43" s="278"/>
      <c r="I43" s="278"/>
      <c r="J43" s="278"/>
      <c r="K43" s="278"/>
      <c r="L43" s="278"/>
      <c r="M43" s="278"/>
    </row>
    <row r="44" spans="1:14" ht="15.75" x14ac:dyDescent="0.25">
      <c r="A44" s="224"/>
      <c r="B44" s="695" t="s">
        <v>0</v>
      </c>
      <c r="C44" s="696"/>
      <c r="D44" s="696"/>
      <c r="E44" s="220"/>
      <c r="F44" s="278"/>
      <c r="G44" s="278"/>
      <c r="H44" s="278"/>
      <c r="I44" s="278"/>
      <c r="J44" s="278"/>
      <c r="K44" s="278"/>
      <c r="L44" s="278"/>
      <c r="M44" s="278"/>
    </row>
    <row r="45" spans="1:14" s="3" customFormat="1" x14ac:dyDescent="0.2">
      <c r="A45" s="140"/>
      <c r="B45" s="152" t="s">
        <v>412</v>
      </c>
      <c r="C45" s="152" t="s">
        <v>413</v>
      </c>
      <c r="D45" s="162" t="s">
        <v>3</v>
      </c>
      <c r="E45" s="162" t="s">
        <v>29</v>
      </c>
      <c r="F45" s="174"/>
      <c r="G45" s="174"/>
      <c r="H45" s="173"/>
      <c r="I45" s="173"/>
      <c r="J45" s="174"/>
      <c r="K45" s="174"/>
      <c r="L45" s="173"/>
      <c r="M45" s="173"/>
      <c r="N45" s="148"/>
    </row>
    <row r="46" spans="1:14" s="3" customFormat="1" x14ac:dyDescent="0.2">
      <c r="A46" s="662"/>
      <c r="B46" s="221"/>
      <c r="C46" s="221"/>
      <c r="D46" s="222" t="s">
        <v>4</v>
      </c>
      <c r="E46" s="156" t="s">
        <v>30</v>
      </c>
      <c r="F46" s="173"/>
      <c r="G46" s="173"/>
      <c r="H46" s="173"/>
      <c r="I46" s="173"/>
      <c r="J46" s="173"/>
      <c r="K46" s="173"/>
      <c r="L46" s="173"/>
      <c r="M46" s="173"/>
      <c r="N46" s="148"/>
    </row>
    <row r="47" spans="1:14" s="3" customFormat="1" ht="15.75" x14ac:dyDescent="0.2">
      <c r="A47" s="14" t="s">
        <v>23</v>
      </c>
      <c r="B47" s="286"/>
      <c r="C47" s="287"/>
      <c r="D47" s="401"/>
      <c r="E47" s="11"/>
      <c r="F47" s="145"/>
      <c r="G47" s="33"/>
      <c r="H47" s="159"/>
      <c r="I47" s="159"/>
      <c r="J47" s="37"/>
      <c r="K47" s="37"/>
      <c r="L47" s="159"/>
      <c r="M47" s="159"/>
      <c r="N47" s="148"/>
    </row>
    <row r="48" spans="1:14" s="3" customFormat="1" ht="15.75" x14ac:dyDescent="0.2">
      <c r="A48" s="38" t="s">
        <v>352</v>
      </c>
      <c r="B48" s="258"/>
      <c r="C48" s="259"/>
      <c r="D48" s="231"/>
      <c r="E48" s="27"/>
      <c r="F48" s="145"/>
      <c r="G48" s="33"/>
      <c r="H48" s="145"/>
      <c r="I48" s="145"/>
      <c r="J48" s="33"/>
      <c r="K48" s="33"/>
      <c r="L48" s="159"/>
      <c r="M48" s="159"/>
      <c r="N48" s="148"/>
    </row>
    <row r="49" spans="1:14" s="3" customFormat="1" ht="15.75" x14ac:dyDescent="0.2">
      <c r="A49" s="38" t="s">
        <v>353</v>
      </c>
      <c r="B49" s="44"/>
      <c r="C49" s="264"/>
      <c r="D49" s="231"/>
      <c r="E49" s="27"/>
      <c r="F49" s="145"/>
      <c r="G49" s="33"/>
      <c r="H49" s="145"/>
      <c r="I49" s="145"/>
      <c r="J49" s="37"/>
      <c r="K49" s="37"/>
      <c r="L49" s="159"/>
      <c r="M49" s="159"/>
      <c r="N49" s="148"/>
    </row>
    <row r="50" spans="1:14" s="3" customFormat="1" x14ac:dyDescent="0.2">
      <c r="A50" s="272" t="s">
        <v>6</v>
      </c>
      <c r="B50" s="295"/>
      <c r="C50" s="295"/>
      <c r="D50" s="231"/>
      <c r="E50" s="23"/>
      <c r="F50" s="145"/>
      <c r="G50" s="33"/>
      <c r="H50" s="145"/>
      <c r="I50" s="145"/>
      <c r="J50" s="33"/>
      <c r="K50" s="33"/>
      <c r="L50" s="159"/>
      <c r="M50" s="159"/>
      <c r="N50" s="148"/>
    </row>
    <row r="51" spans="1:14" s="3" customFormat="1" x14ac:dyDescent="0.2">
      <c r="A51" s="272" t="s">
        <v>7</v>
      </c>
      <c r="B51" s="295"/>
      <c r="C51" s="295"/>
      <c r="D51" s="231"/>
      <c r="E51" s="23"/>
      <c r="F51" s="145"/>
      <c r="G51" s="33"/>
      <c r="H51" s="145"/>
      <c r="I51" s="145"/>
      <c r="J51" s="33"/>
      <c r="K51" s="33"/>
      <c r="L51" s="159"/>
      <c r="M51" s="159"/>
      <c r="N51" s="148"/>
    </row>
    <row r="52" spans="1:14" s="3" customFormat="1" x14ac:dyDescent="0.2">
      <c r="A52" s="272" t="s">
        <v>8</v>
      </c>
      <c r="B52" s="295"/>
      <c r="C52" s="295"/>
      <c r="D52" s="231"/>
      <c r="E52" s="23"/>
      <c r="F52" s="145"/>
      <c r="G52" s="33"/>
      <c r="H52" s="145"/>
      <c r="I52" s="145"/>
      <c r="J52" s="33"/>
      <c r="K52" s="33"/>
      <c r="L52" s="159"/>
      <c r="M52" s="159"/>
      <c r="N52" s="148"/>
    </row>
    <row r="53" spans="1:14" s="3" customFormat="1" ht="15.75" x14ac:dyDescent="0.2">
      <c r="A53" s="39" t="s">
        <v>354</v>
      </c>
      <c r="B53" s="286"/>
      <c r="C53" s="287"/>
      <c r="D53" s="402"/>
      <c r="E53" s="11"/>
      <c r="F53" s="145"/>
      <c r="G53" s="33"/>
      <c r="H53" s="145"/>
      <c r="I53" s="145"/>
      <c r="J53" s="33"/>
      <c r="K53" s="33"/>
      <c r="L53" s="159"/>
      <c r="M53" s="159"/>
      <c r="N53" s="148"/>
    </row>
    <row r="54" spans="1:14" s="3" customFormat="1" ht="15.75" x14ac:dyDescent="0.2">
      <c r="A54" s="38" t="s">
        <v>352</v>
      </c>
      <c r="B54" s="258"/>
      <c r="C54" s="259"/>
      <c r="D54" s="231"/>
      <c r="E54" s="27"/>
      <c r="F54" s="145"/>
      <c r="G54" s="33"/>
      <c r="H54" s="145"/>
      <c r="I54" s="145"/>
      <c r="J54" s="33"/>
      <c r="K54" s="33"/>
      <c r="L54" s="159"/>
      <c r="M54" s="159"/>
      <c r="N54" s="148"/>
    </row>
    <row r="55" spans="1:14" s="3" customFormat="1" ht="15.75" x14ac:dyDescent="0.2">
      <c r="A55" s="38" t="s">
        <v>353</v>
      </c>
      <c r="B55" s="258"/>
      <c r="C55" s="259"/>
      <c r="D55" s="231"/>
      <c r="E55" s="27"/>
      <c r="F55" s="145"/>
      <c r="G55" s="33"/>
      <c r="H55" s="145"/>
      <c r="I55" s="145"/>
      <c r="J55" s="33"/>
      <c r="K55" s="33"/>
      <c r="L55" s="159"/>
      <c r="M55" s="159"/>
      <c r="N55" s="148"/>
    </row>
    <row r="56" spans="1:14" s="3" customFormat="1" ht="15.75" x14ac:dyDescent="0.2">
      <c r="A56" s="39" t="s">
        <v>355</v>
      </c>
      <c r="B56" s="286"/>
      <c r="C56" s="287"/>
      <c r="D56" s="402"/>
      <c r="E56" s="11"/>
      <c r="F56" s="145"/>
      <c r="G56" s="33"/>
      <c r="H56" s="145"/>
      <c r="I56" s="145"/>
      <c r="J56" s="33"/>
      <c r="K56" s="33"/>
      <c r="L56" s="159"/>
      <c r="M56" s="159"/>
      <c r="N56" s="148"/>
    </row>
    <row r="57" spans="1:14" s="3" customFormat="1" ht="15.75" x14ac:dyDescent="0.2">
      <c r="A57" s="38" t="s">
        <v>352</v>
      </c>
      <c r="B57" s="258"/>
      <c r="C57" s="259"/>
      <c r="D57" s="231"/>
      <c r="E57" s="27"/>
      <c r="F57" s="145"/>
      <c r="G57" s="33"/>
      <c r="H57" s="145"/>
      <c r="I57" s="145"/>
      <c r="J57" s="33"/>
      <c r="K57" s="33"/>
      <c r="L57" s="159"/>
      <c r="M57" s="159"/>
      <c r="N57" s="148"/>
    </row>
    <row r="58" spans="1:14" s="3" customFormat="1" ht="15.75" x14ac:dyDescent="0.2">
      <c r="A58" s="46" t="s">
        <v>353</v>
      </c>
      <c r="B58" s="260"/>
      <c r="C58" s="261"/>
      <c r="D58" s="232"/>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250</v>
      </c>
      <c r="C61" s="26"/>
      <c r="D61" s="26"/>
      <c r="E61" s="26"/>
      <c r="F61" s="26"/>
      <c r="G61" s="26"/>
      <c r="H61" s="26"/>
      <c r="I61" s="26"/>
      <c r="J61" s="26"/>
      <c r="K61" s="26"/>
      <c r="L61" s="26"/>
      <c r="M61" s="26"/>
    </row>
    <row r="62" spans="1:14" ht="15.75" x14ac:dyDescent="0.25">
      <c r="B62" s="694"/>
      <c r="C62" s="694"/>
      <c r="D62" s="694"/>
      <c r="E62" s="275"/>
      <c r="F62" s="694"/>
      <c r="G62" s="694"/>
      <c r="H62" s="694"/>
      <c r="I62" s="275"/>
      <c r="J62" s="694"/>
      <c r="K62" s="694"/>
      <c r="L62" s="694"/>
      <c r="M62" s="275"/>
    </row>
    <row r="63" spans="1:14" x14ac:dyDescent="0.2">
      <c r="A63" s="144"/>
      <c r="B63" s="695" t="s">
        <v>0</v>
      </c>
      <c r="C63" s="696"/>
      <c r="D63" s="697"/>
      <c r="E63" s="276"/>
      <c r="F63" s="696" t="s">
        <v>1</v>
      </c>
      <c r="G63" s="696"/>
      <c r="H63" s="696"/>
      <c r="I63" s="280"/>
      <c r="J63" s="695" t="s">
        <v>2</v>
      </c>
      <c r="K63" s="696"/>
      <c r="L63" s="696"/>
      <c r="M63" s="280"/>
    </row>
    <row r="64" spans="1:14" x14ac:dyDescent="0.2">
      <c r="A64" s="140"/>
      <c r="B64" s="152" t="s">
        <v>412</v>
      </c>
      <c r="C64" s="152" t="s">
        <v>413</v>
      </c>
      <c r="D64" s="222" t="s">
        <v>3</v>
      </c>
      <c r="E64" s="281" t="s">
        <v>29</v>
      </c>
      <c r="F64" s="152" t="s">
        <v>412</v>
      </c>
      <c r="G64" s="152" t="s">
        <v>413</v>
      </c>
      <c r="H64" s="222" t="s">
        <v>3</v>
      </c>
      <c r="I64" s="281" t="s">
        <v>29</v>
      </c>
      <c r="J64" s="152" t="s">
        <v>412</v>
      </c>
      <c r="K64" s="152" t="s">
        <v>413</v>
      </c>
      <c r="L64" s="222" t="s">
        <v>3</v>
      </c>
      <c r="M64" s="162" t="s">
        <v>29</v>
      </c>
    </row>
    <row r="65" spans="1:14" x14ac:dyDescent="0.2">
      <c r="A65" s="662"/>
      <c r="B65" s="156"/>
      <c r="C65" s="156"/>
      <c r="D65" s="223" t="s">
        <v>4</v>
      </c>
      <c r="E65" s="156" t="s">
        <v>30</v>
      </c>
      <c r="F65" s="161"/>
      <c r="G65" s="161"/>
      <c r="H65" s="222" t="s">
        <v>4</v>
      </c>
      <c r="I65" s="156" t="s">
        <v>30</v>
      </c>
      <c r="J65" s="161"/>
      <c r="K65" s="203"/>
      <c r="L65" s="156" t="s">
        <v>4</v>
      </c>
      <c r="M65" s="156" t="s">
        <v>30</v>
      </c>
    </row>
    <row r="66" spans="1:14" ht="15.75" x14ac:dyDescent="0.2">
      <c r="A66" s="14" t="s">
        <v>23</v>
      </c>
      <c r="B66" s="329"/>
      <c r="C66" s="329"/>
      <c r="D66" s="326"/>
      <c r="E66" s="11"/>
      <c r="F66" s="328"/>
      <c r="G66" s="328"/>
      <c r="H66" s="326"/>
      <c r="I66" s="24"/>
      <c r="J66" s="159"/>
      <c r="K66" s="292"/>
      <c r="L66" s="402"/>
      <c r="M66" s="11"/>
    </row>
    <row r="67" spans="1:14" x14ac:dyDescent="0.2">
      <c r="A67" s="393" t="s">
        <v>9</v>
      </c>
      <c r="B67" s="44"/>
      <c r="C67" s="145"/>
      <c r="D67" s="166"/>
      <c r="E67" s="23"/>
      <c r="F67" s="211"/>
      <c r="G67" s="145"/>
      <c r="H67" s="166"/>
      <c r="I67" s="23"/>
      <c r="J67" s="145"/>
      <c r="K67" s="44"/>
      <c r="L67" s="231"/>
      <c r="M67" s="27"/>
    </row>
    <row r="68" spans="1:14" x14ac:dyDescent="0.2">
      <c r="A68" s="21" t="s">
        <v>10</v>
      </c>
      <c r="B68" s="268"/>
      <c r="C68" s="269"/>
      <c r="D68" s="166"/>
      <c r="E68" s="23"/>
      <c r="F68" s="268"/>
      <c r="G68" s="269"/>
      <c r="H68" s="166"/>
      <c r="I68" s="23"/>
      <c r="J68" s="145"/>
      <c r="K68" s="44"/>
      <c r="L68" s="231"/>
      <c r="M68" s="27"/>
    </row>
    <row r="69" spans="1:14" ht="15.75" x14ac:dyDescent="0.2">
      <c r="A69" s="272" t="s">
        <v>356</v>
      </c>
      <c r="B69" s="295"/>
      <c r="C69" s="295"/>
      <c r="D69" s="166"/>
      <c r="E69" s="23"/>
      <c r="F69" s="295"/>
      <c r="G69" s="295"/>
      <c r="H69" s="166"/>
      <c r="I69" s="23"/>
      <c r="J69" s="295"/>
      <c r="K69" s="295"/>
      <c r="L69" s="166"/>
      <c r="M69" s="23"/>
    </row>
    <row r="70" spans="1:14" x14ac:dyDescent="0.2">
      <c r="A70" s="272" t="s">
        <v>12</v>
      </c>
      <c r="B70" s="270"/>
      <c r="C70" s="271"/>
      <c r="D70" s="166"/>
      <c r="E70" s="23"/>
      <c r="F70" s="270"/>
      <c r="G70" s="271"/>
      <c r="H70" s="166"/>
      <c r="I70" s="23"/>
      <c r="J70" s="270"/>
      <c r="K70" s="271"/>
      <c r="L70" s="166"/>
      <c r="M70" s="23"/>
    </row>
    <row r="71" spans="1:14" x14ac:dyDescent="0.2">
      <c r="A71" s="272" t="s">
        <v>13</v>
      </c>
      <c r="B71" s="212"/>
      <c r="C71" s="266"/>
      <c r="D71" s="166"/>
      <c r="E71" s="23"/>
      <c r="F71" s="212"/>
      <c r="G71" s="266"/>
      <c r="H71" s="166"/>
      <c r="I71" s="23"/>
      <c r="J71" s="212"/>
      <c r="K71" s="266"/>
      <c r="L71" s="166"/>
      <c r="M71" s="23"/>
    </row>
    <row r="72" spans="1:14" ht="15.75" x14ac:dyDescent="0.2">
      <c r="A72" s="272" t="s">
        <v>357</v>
      </c>
      <c r="B72" s="295"/>
      <c r="C72" s="295"/>
      <c r="D72" s="166"/>
      <c r="E72" s="23"/>
      <c r="F72" s="295"/>
      <c r="G72" s="295"/>
      <c r="H72" s="166"/>
      <c r="I72" s="23"/>
      <c r="J72" s="295"/>
      <c r="K72" s="295"/>
      <c r="L72" s="166"/>
      <c r="M72" s="23"/>
    </row>
    <row r="73" spans="1:14" x14ac:dyDescent="0.2">
      <c r="A73" s="272" t="s">
        <v>12</v>
      </c>
      <c r="B73" s="212"/>
      <c r="C73" s="266"/>
      <c r="D73" s="166"/>
      <c r="E73" s="23"/>
      <c r="F73" s="212"/>
      <c r="G73" s="266"/>
      <c r="H73" s="166"/>
      <c r="I73" s="23"/>
      <c r="J73" s="212"/>
      <c r="K73" s="266"/>
      <c r="L73" s="166"/>
      <c r="M73" s="23"/>
    </row>
    <row r="74" spans="1:14" s="3" customFormat="1" x14ac:dyDescent="0.2">
      <c r="A74" s="272" t="s">
        <v>13</v>
      </c>
      <c r="B74" s="212"/>
      <c r="C74" s="266"/>
      <c r="D74" s="166"/>
      <c r="E74" s="23"/>
      <c r="F74" s="212"/>
      <c r="G74" s="266"/>
      <c r="H74" s="166"/>
      <c r="I74" s="23"/>
      <c r="J74" s="212"/>
      <c r="K74" s="266"/>
      <c r="L74" s="166"/>
      <c r="M74" s="23"/>
      <c r="N74" s="148"/>
    </row>
    <row r="75" spans="1:14" s="3" customFormat="1" x14ac:dyDescent="0.2">
      <c r="A75" s="21" t="s">
        <v>326</v>
      </c>
      <c r="B75" s="211"/>
      <c r="C75" s="145"/>
      <c r="D75" s="166"/>
      <c r="E75" s="23"/>
      <c r="F75" s="211"/>
      <c r="G75" s="145"/>
      <c r="H75" s="166"/>
      <c r="I75" s="23"/>
      <c r="J75" s="145"/>
      <c r="K75" s="44"/>
      <c r="L75" s="231"/>
      <c r="M75" s="27"/>
      <c r="N75" s="148"/>
    </row>
    <row r="76" spans="1:14" s="3" customFormat="1" x14ac:dyDescent="0.2">
      <c r="A76" s="21" t="s">
        <v>325</v>
      </c>
      <c r="B76" s="211"/>
      <c r="C76" s="145"/>
      <c r="D76" s="166"/>
      <c r="E76" s="23"/>
      <c r="F76" s="211"/>
      <c r="G76" s="145"/>
      <c r="H76" s="166"/>
      <c r="I76" s="23"/>
      <c r="J76" s="145"/>
      <c r="K76" s="44"/>
      <c r="L76" s="231"/>
      <c r="M76" s="27"/>
      <c r="N76" s="148"/>
    </row>
    <row r="77" spans="1:14" ht="15.75" x14ac:dyDescent="0.2">
      <c r="A77" s="21" t="s">
        <v>358</v>
      </c>
      <c r="B77" s="211"/>
      <c r="C77" s="211"/>
      <c r="D77" s="166"/>
      <c r="E77" s="23"/>
      <c r="F77" s="211"/>
      <c r="G77" s="145"/>
      <c r="H77" s="166"/>
      <c r="I77" s="23"/>
      <c r="J77" s="145"/>
      <c r="K77" s="44"/>
      <c r="L77" s="231"/>
      <c r="M77" s="27"/>
    </row>
    <row r="78" spans="1:14" x14ac:dyDescent="0.2">
      <c r="A78" s="21" t="s">
        <v>9</v>
      </c>
      <c r="B78" s="211"/>
      <c r="C78" s="145"/>
      <c r="D78" s="166"/>
      <c r="E78" s="23"/>
      <c r="F78" s="211"/>
      <c r="G78" s="145"/>
      <c r="H78" s="166"/>
      <c r="I78" s="23"/>
      <c r="J78" s="145"/>
      <c r="K78" s="44"/>
      <c r="L78" s="231"/>
      <c r="M78" s="27"/>
    </row>
    <row r="79" spans="1:14" x14ac:dyDescent="0.2">
      <c r="A79" s="38" t="s">
        <v>398</v>
      </c>
      <c r="B79" s="268"/>
      <c r="C79" s="269"/>
      <c r="D79" s="166"/>
      <c r="E79" s="23"/>
      <c r="F79" s="268"/>
      <c r="G79" s="269"/>
      <c r="H79" s="166"/>
      <c r="I79" s="23"/>
      <c r="J79" s="145"/>
      <c r="K79" s="44"/>
      <c r="L79" s="231"/>
      <c r="M79" s="27"/>
    </row>
    <row r="80" spans="1:14" ht="15.75" x14ac:dyDescent="0.2">
      <c r="A80" s="272" t="s">
        <v>356</v>
      </c>
      <c r="B80" s="295"/>
      <c r="C80" s="295"/>
      <c r="D80" s="166"/>
      <c r="E80" s="23"/>
      <c r="F80" s="295"/>
      <c r="G80" s="295"/>
      <c r="H80" s="166"/>
      <c r="I80" s="23"/>
      <c r="J80" s="295"/>
      <c r="K80" s="295"/>
      <c r="L80" s="166"/>
      <c r="M80" s="23"/>
    </row>
    <row r="81" spans="1:13" x14ac:dyDescent="0.2">
      <c r="A81" s="272" t="s">
        <v>12</v>
      </c>
      <c r="B81" s="295"/>
      <c r="C81" s="295"/>
      <c r="D81" s="166"/>
      <c r="E81" s="23"/>
      <c r="F81" s="270"/>
      <c r="G81" s="271"/>
      <c r="H81" s="166"/>
      <c r="I81" s="23"/>
      <c r="J81" s="270"/>
      <c r="K81" s="271"/>
      <c r="L81" s="166"/>
      <c r="M81" s="23"/>
    </row>
    <row r="82" spans="1:13" x14ac:dyDescent="0.2">
      <c r="A82" s="272" t="s">
        <v>13</v>
      </c>
      <c r="B82" s="295"/>
      <c r="C82" s="295"/>
      <c r="D82" s="166"/>
      <c r="E82" s="23"/>
      <c r="F82" s="212"/>
      <c r="G82" s="266"/>
      <c r="H82" s="166"/>
      <c r="I82" s="23"/>
      <c r="J82" s="212"/>
      <c r="K82" s="266"/>
      <c r="L82" s="166"/>
      <c r="M82" s="23"/>
    </row>
    <row r="83" spans="1:13" ht="15.75" x14ac:dyDescent="0.2">
      <c r="A83" s="272" t="s">
        <v>357</v>
      </c>
      <c r="B83" s="295"/>
      <c r="C83" s="295"/>
      <c r="D83" s="166"/>
      <c r="E83" s="23"/>
      <c r="F83" s="295"/>
      <c r="G83" s="295"/>
      <c r="H83" s="166"/>
      <c r="I83" s="23"/>
      <c r="J83" s="295"/>
      <c r="K83" s="295"/>
      <c r="L83" s="166"/>
      <c r="M83" s="23"/>
    </row>
    <row r="84" spans="1:13" x14ac:dyDescent="0.2">
      <c r="A84" s="272" t="s">
        <v>12</v>
      </c>
      <c r="B84" s="212"/>
      <c r="C84" s="266"/>
      <c r="D84" s="166"/>
      <c r="E84" s="23"/>
      <c r="F84" s="212"/>
      <c r="G84" s="266"/>
      <c r="H84" s="166"/>
      <c r="I84" s="23"/>
      <c r="J84" s="212"/>
      <c r="K84" s="266"/>
      <c r="L84" s="166"/>
      <c r="M84" s="23"/>
    </row>
    <row r="85" spans="1:13" x14ac:dyDescent="0.2">
      <c r="A85" s="272" t="s">
        <v>13</v>
      </c>
      <c r="B85" s="212"/>
      <c r="C85" s="266"/>
      <c r="D85" s="166"/>
      <c r="E85" s="23"/>
      <c r="F85" s="212"/>
      <c r="G85" s="266"/>
      <c r="H85" s="166"/>
      <c r="I85" s="23"/>
      <c r="J85" s="212"/>
      <c r="K85" s="266"/>
      <c r="L85" s="166"/>
      <c r="M85" s="23"/>
    </row>
    <row r="86" spans="1:13" ht="15.75" x14ac:dyDescent="0.2">
      <c r="A86" s="21" t="s">
        <v>359</v>
      </c>
      <c r="B86" s="211"/>
      <c r="C86" s="145"/>
      <c r="D86" s="166"/>
      <c r="E86" s="23"/>
      <c r="F86" s="211"/>
      <c r="G86" s="145"/>
      <c r="H86" s="166"/>
      <c r="I86" s="23"/>
      <c r="J86" s="145"/>
      <c r="K86" s="44"/>
      <c r="L86" s="231"/>
      <c r="M86" s="27"/>
    </row>
    <row r="87" spans="1:13" ht="15.75" x14ac:dyDescent="0.2">
      <c r="A87" s="13" t="s">
        <v>341</v>
      </c>
      <c r="B87" s="329"/>
      <c r="C87" s="329"/>
      <c r="D87" s="171"/>
      <c r="E87" s="24"/>
      <c r="F87" s="328"/>
      <c r="G87" s="328"/>
      <c r="H87" s="171"/>
      <c r="I87" s="24"/>
      <c r="J87" s="159"/>
      <c r="K87" s="213"/>
      <c r="L87" s="402"/>
      <c r="M87" s="11"/>
    </row>
    <row r="88" spans="1:13" x14ac:dyDescent="0.2">
      <c r="A88" s="21" t="s">
        <v>9</v>
      </c>
      <c r="B88" s="211"/>
      <c r="C88" s="145"/>
      <c r="D88" s="166"/>
      <c r="E88" s="23"/>
      <c r="F88" s="211"/>
      <c r="G88" s="145"/>
      <c r="H88" s="166"/>
      <c r="I88" s="23"/>
      <c r="J88" s="145"/>
      <c r="K88" s="44"/>
      <c r="L88" s="231"/>
      <c r="M88" s="27"/>
    </row>
    <row r="89" spans="1:13" x14ac:dyDescent="0.2">
      <c r="A89" s="21" t="s">
        <v>10</v>
      </c>
      <c r="B89" s="211"/>
      <c r="C89" s="145"/>
      <c r="D89" s="166"/>
      <c r="E89" s="23"/>
      <c r="F89" s="211"/>
      <c r="G89" s="145"/>
      <c r="H89" s="166"/>
      <c r="I89" s="23"/>
      <c r="J89" s="145"/>
      <c r="K89" s="44"/>
      <c r="L89" s="231"/>
      <c r="M89" s="27"/>
    </row>
    <row r="90" spans="1:13" ht="15.75" x14ac:dyDescent="0.2">
      <c r="A90" s="272" t="s">
        <v>356</v>
      </c>
      <c r="B90" s="295"/>
      <c r="C90" s="295"/>
      <c r="D90" s="166"/>
      <c r="E90" s="23"/>
      <c r="F90" s="295"/>
      <c r="G90" s="295"/>
      <c r="H90" s="166"/>
      <c r="I90" s="23"/>
      <c r="J90" s="295"/>
      <c r="K90" s="295"/>
      <c r="L90" s="166"/>
      <c r="M90" s="23"/>
    </row>
    <row r="91" spans="1:13" x14ac:dyDescent="0.2">
      <c r="A91" s="272" t="s">
        <v>12</v>
      </c>
      <c r="B91" s="295"/>
      <c r="C91" s="295"/>
      <c r="D91" s="166"/>
      <c r="E91" s="23"/>
      <c r="F91" s="270"/>
      <c r="G91" s="271"/>
      <c r="H91" s="166"/>
      <c r="I91" s="23"/>
      <c r="J91" s="270"/>
      <c r="K91" s="271"/>
      <c r="L91" s="166"/>
      <c r="M91" s="23"/>
    </row>
    <row r="92" spans="1:13" x14ac:dyDescent="0.2">
      <c r="A92" s="272" t="s">
        <v>13</v>
      </c>
      <c r="B92" s="295"/>
      <c r="C92" s="295"/>
      <c r="D92" s="166"/>
      <c r="E92" s="23"/>
      <c r="F92" s="212"/>
      <c r="G92" s="266"/>
      <c r="H92" s="166"/>
      <c r="I92" s="23"/>
      <c r="J92" s="212"/>
      <c r="K92" s="266"/>
      <c r="L92" s="166"/>
      <c r="M92" s="23"/>
    </row>
    <row r="93" spans="1:13" ht="15.75" x14ac:dyDescent="0.2">
      <c r="A93" s="272" t="s">
        <v>357</v>
      </c>
      <c r="B93" s="295"/>
      <c r="C93" s="295"/>
      <c r="D93" s="166"/>
      <c r="E93" s="23"/>
      <c r="F93" s="295"/>
      <c r="G93" s="295"/>
      <c r="H93" s="166"/>
      <c r="I93" s="23"/>
      <c r="J93" s="295"/>
      <c r="K93" s="295"/>
      <c r="L93" s="166"/>
      <c r="M93" s="23"/>
    </row>
    <row r="94" spans="1:13" x14ac:dyDescent="0.2">
      <c r="A94" s="272" t="s">
        <v>12</v>
      </c>
      <c r="B94" s="212"/>
      <c r="C94" s="266"/>
      <c r="D94" s="166"/>
      <c r="E94" s="23"/>
      <c r="F94" s="212"/>
      <c r="G94" s="266"/>
      <c r="H94" s="166"/>
      <c r="I94" s="23"/>
      <c r="J94" s="212"/>
      <c r="K94" s="266"/>
      <c r="L94" s="166"/>
      <c r="M94" s="23"/>
    </row>
    <row r="95" spans="1:13" x14ac:dyDescent="0.2">
      <c r="A95" s="272" t="s">
        <v>13</v>
      </c>
      <c r="B95" s="212"/>
      <c r="C95" s="266"/>
      <c r="D95" s="166"/>
      <c r="E95" s="23"/>
      <c r="F95" s="212"/>
      <c r="G95" s="266"/>
      <c r="H95" s="166"/>
      <c r="I95" s="23"/>
      <c r="J95" s="212"/>
      <c r="K95" s="266"/>
      <c r="L95" s="166"/>
      <c r="M95" s="23"/>
    </row>
    <row r="96" spans="1:13" x14ac:dyDescent="0.2">
      <c r="A96" s="21" t="s">
        <v>324</v>
      </c>
      <c r="B96" s="211"/>
      <c r="C96" s="145"/>
      <c r="D96" s="166"/>
      <c r="E96" s="23"/>
      <c r="F96" s="211"/>
      <c r="G96" s="145"/>
      <c r="H96" s="166"/>
      <c r="I96" s="23"/>
      <c r="J96" s="145"/>
      <c r="K96" s="44"/>
      <c r="L96" s="231"/>
      <c r="M96" s="27"/>
    </row>
    <row r="97" spans="1:13" x14ac:dyDescent="0.2">
      <c r="A97" s="21" t="s">
        <v>323</v>
      </c>
      <c r="B97" s="211"/>
      <c r="C97" s="145"/>
      <c r="D97" s="166"/>
      <c r="E97" s="23"/>
      <c r="F97" s="211"/>
      <c r="G97" s="145"/>
      <c r="H97" s="166"/>
      <c r="I97" s="23"/>
      <c r="J97" s="145"/>
      <c r="K97" s="44"/>
      <c r="L97" s="231"/>
      <c r="M97" s="27"/>
    </row>
    <row r="98" spans="1:13" ht="15.75" x14ac:dyDescent="0.2">
      <c r="A98" s="21" t="s">
        <v>358</v>
      </c>
      <c r="B98" s="211"/>
      <c r="C98" s="211"/>
      <c r="D98" s="166"/>
      <c r="E98" s="23"/>
      <c r="F98" s="268"/>
      <c r="G98" s="268"/>
      <c r="H98" s="166"/>
      <c r="I98" s="23"/>
      <c r="J98" s="145"/>
      <c r="K98" s="44"/>
      <c r="L98" s="231"/>
      <c r="M98" s="27"/>
    </row>
    <row r="99" spans="1:13" x14ac:dyDescent="0.2">
      <c r="A99" s="21" t="s">
        <v>9</v>
      </c>
      <c r="B99" s="268"/>
      <c r="C99" s="269"/>
      <c r="D99" s="166"/>
      <c r="E99" s="23"/>
      <c r="F99" s="211"/>
      <c r="G99" s="145"/>
      <c r="H99" s="166"/>
      <c r="I99" s="23"/>
      <c r="J99" s="145"/>
      <c r="K99" s="44"/>
      <c r="L99" s="231"/>
      <c r="M99" s="27"/>
    </row>
    <row r="100" spans="1:13" ht="15.75" x14ac:dyDescent="0.2">
      <c r="A100" s="38" t="s">
        <v>399</v>
      </c>
      <c r="B100" s="268"/>
      <c r="C100" s="269"/>
      <c r="D100" s="166"/>
      <c r="E100" s="23"/>
      <c r="F100" s="211"/>
      <c r="G100" s="211"/>
      <c r="H100" s="166"/>
      <c r="I100" s="23"/>
      <c r="J100" s="145"/>
      <c r="K100" s="44"/>
      <c r="L100" s="231"/>
      <c r="M100" s="27"/>
    </row>
    <row r="101" spans="1:13" ht="15.75" x14ac:dyDescent="0.2">
      <c r="A101" s="38" t="s">
        <v>400</v>
      </c>
      <c r="B101" s="268"/>
      <c r="C101" s="268"/>
      <c r="D101" s="166"/>
      <c r="E101" s="23"/>
      <c r="F101" s="268"/>
      <c r="G101" s="268"/>
      <c r="H101" s="166"/>
      <c r="I101" s="23"/>
      <c r="J101" s="145"/>
      <c r="K101" s="44"/>
      <c r="L101" s="231"/>
      <c r="M101" s="27"/>
    </row>
    <row r="102" spans="1:13" ht="15.75" x14ac:dyDescent="0.2">
      <c r="A102" s="272" t="s">
        <v>356</v>
      </c>
      <c r="B102" s="295"/>
      <c r="C102" s="295"/>
      <c r="D102" s="166"/>
      <c r="E102" s="23"/>
      <c r="F102" s="295"/>
      <c r="G102" s="295"/>
      <c r="H102" s="166"/>
      <c r="I102" s="23"/>
      <c r="J102" s="295"/>
      <c r="K102" s="295"/>
      <c r="L102" s="166"/>
      <c r="M102" s="23"/>
    </row>
    <row r="103" spans="1:13" x14ac:dyDescent="0.2">
      <c r="A103" s="272" t="s">
        <v>12</v>
      </c>
      <c r="B103" s="295"/>
      <c r="C103" s="295"/>
      <c r="D103" s="166"/>
      <c r="E103" s="23"/>
      <c r="F103" s="270"/>
      <c r="G103" s="271"/>
      <c r="H103" s="166"/>
      <c r="I103" s="23"/>
      <c r="J103" s="270"/>
      <c r="K103" s="271"/>
      <c r="L103" s="166"/>
      <c r="M103" s="23"/>
    </row>
    <row r="104" spans="1:13" x14ac:dyDescent="0.2">
      <c r="A104" s="272" t="s">
        <v>13</v>
      </c>
      <c r="B104" s="295"/>
      <c r="C104" s="295"/>
      <c r="D104" s="166"/>
      <c r="E104" s="23"/>
      <c r="F104" s="212"/>
      <c r="G104" s="266"/>
      <c r="H104" s="166"/>
      <c r="I104" s="23"/>
      <c r="J104" s="212"/>
      <c r="K104" s="266"/>
      <c r="L104" s="166"/>
      <c r="M104" s="23"/>
    </row>
    <row r="105" spans="1:13" ht="15.75" x14ac:dyDescent="0.2">
      <c r="A105" s="272" t="s">
        <v>357</v>
      </c>
      <c r="B105" s="295"/>
      <c r="C105" s="295"/>
      <c r="D105" s="166"/>
      <c r="E105" s="23"/>
      <c r="F105" s="295"/>
      <c r="G105" s="295"/>
      <c r="H105" s="166"/>
      <c r="I105" s="23"/>
      <c r="J105" s="295"/>
      <c r="K105" s="295"/>
      <c r="L105" s="166"/>
      <c r="M105" s="23"/>
    </row>
    <row r="106" spans="1:13" x14ac:dyDescent="0.2">
      <c r="A106" s="272" t="s">
        <v>12</v>
      </c>
      <c r="B106" s="212"/>
      <c r="C106" s="266"/>
      <c r="D106" s="166"/>
      <c r="E106" s="23"/>
      <c r="F106" s="212"/>
      <c r="G106" s="266"/>
      <c r="H106" s="166"/>
      <c r="I106" s="23"/>
      <c r="J106" s="212"/>
      <c r="K106" s="266"/>
      <c r="L106" s="166"/>
      <c r="M106" s="23"/>
    </row>
    <row r="107" spans="1:13" x14ac:dyDescent="0.2">
      <c r="A107" s="272" t="s">
        <v>13</v>
      </c>
      <c r="B107" s="212"/>
      <c r="C107" s="266"/>
      <c r="D107" s="166"/>
      <c r="E107" s="23"/>
      <c r="F107" s="212"/>
      <c r="G107" s="266"/>
      <c r="H107" s="166"/>
      <c r="I107" s="23"/>
      <c r="J107" s="212"/>
      <c r="K107" s="266"/>
      <c r="L107" s="166"/>
      <c r="M107" s="23"/>
    </row>
    <row r="108" spans="1:13" ht="15.75" x14ac:dyDescent="0.2">
      <c r="A108" s="21" t="s">
        <v>359</v>
      </c>
      <c r="B108" s="211"/>
      <c r="C108" s="145"/>
      <c r="D108" s="166"/>
      <c r="E108" s="23"/>
      <c r="F108" s="211"/>
      <c r="G108" s="145"/>
      <c r="H108" s="166"/>
      <c r="I108" s="23"/>
      <c r="J108" s="145"/>
      <c r="K108" s="44"/>
      <c r="L108" s="231"/>
      <c r="M108" s="27"/>
    </row>
    <row r="109" spans="1:13" ht="15.75" x14ac:dyDescent="0.2">
      <c r="A109" s="21" t="s">
        <v>360</v>
      </c>
      <c r="B109" s="211"/>
      <c r="C109" s="211"/>
      <c r="D109" s="166"/>
      <c r="E109" s="23"/>
      <c r="F109" s="211"/>
      <c r="G109" s="211"/>
      <c r="H109" s="166"/>
      <c r="I109" s="23"/>
      <c r="J109" s="145"/>
      <c r="K109" s="44"/>
      <c r="L109" s="231"/>
      <c r="M109" s="27"/>
    </row>
    <row r="110" spans="1:13" ht="15.75" x14ac:dyDescent="0.2">
      <c r="A110" s="38" t="s">
        <v>416</v>
      </c>
      <c r="B110" s="211"/>
      <c r="C110" s="211"/>
      <c r="D110" s="166"/>
      <c r="E110" s="23"/>
      <c r="F110" s="211"/>
      <c r="G110" s="211"/>
      <c r="H110" s="166"/>
      <c r="I110" s="23"/>
      <c r="J110" s="145"/>
      <c r="K110" s="44"/>
      <c r="L110" s="231"/>
      <c r="M110" s="27"/>
    </row>
    <row r="111" spans="1:13" ht="15.75" x14ac:dyDescent="0.2">
      <c r="A111" s="21" t="s">
        <v>362</v>
      </c>
      <c r="B111" s="211"/>
      <c r="C111" s="211"/>
      <c r="D111" s="166"/>
      <c r="E111" s="23"/>
      <c r="F111" s="211"/>
      <c r="G111" s="211"/>
      <c r="H111" s="166"/>
      <c r="I111" s="23"/>
      <c r="J111" s="145"/>
      <c r="K111" s="44"/>
      <c r="L111" s="231"/>
      <c r="M111" s="27"/>
    </row>
    <row r="112" spans="1:13" ht="15.75" x14ac:dyDescent="0.2">
      <c r="A112" s="13" t="s">
        <v>342</v>
      </c>
      <c r="B112" s="284"/>
      <c r="C112" s="159"/>
      <c r="D112" s="171"/>
      <c r="E112" s="24"/>
      <c r="F112" s="284"/>
      <c r="G112" s="159"/>
      <c r="H112" s="171"/>
      <c r="I112" s="24"/>
      <c r="J112" s="159"/>
      <c r="K112" s="213"/>
      <c r="L112" s="402"/>
      <c r="M112" s="11"/>
    </row>
    <row r="113" spans="1:14" x14ac:dyDescent="0.2">
      <c r="A113" s="21" t="s">
        <v>9</v>
      </c>
      <c r="B113" s="211"/>
      <c r="C113" s="145"/>
      <c r="D113" s="166"/>
      <c r="E113" s="23"/>
      <c r="F113" s="211"/>
      <c r="G113" s="145"/>
      <c r="H113" s="166"/>
      <c r="I113" s="23"/>
      <c r="J113" s="145"/>
      <c r="K113" s="44"/>
      <c r="L113" s="231"/>
      <c r="M113" s="27"/>
    </row>
    <row r="114" spans="1:14" x14ac:dyDescent="0.2">
      <c r="A114" s="21" t="s">
        <v>10</v>
      </c>
      <c r="B114" s="211"/>
      <c r="C114" s="145"/>
      <c r="D114" s="166"/>
      <c r="E114" s="23"/>
      <c r="F114" s="211"/>
      <c r="G114" s="145"/>
      <c r="H114" s="166"/>
      <c r="I114" s="23"/>
      <c r="J114" s="145"/>
      <c r="K114" s="44"/>
      <c r="L114" s="231"/>
      <c r="M114" s="27"/>
    </row>
    <row r="115" spans="1:14" x14ac:dyDescent="0.2">
      <c r="A115" s="21" t="s">
        <v>26</v>
      </c>
      <c r="B115" s="211"/>
      <c r="C115" s="145"/>
      <c r="D115" s="166"/>
      <c r="E115" s="23"/>
      <c r="F115" s="211"/>
      <c r="G115" s="145"/>
      <c r="H115" s="166"/>
      <c r="I115" s="23"/>
      <c r="J115" s="145"/>
      <c r="K115" s="44"/>
      <c r="L115" s="231"/>
      <c r="M115" s="27"/>
    </row>
    <row r="116" spans="1:14" x14ac:dyDescent="0.2">
      <c r="A116" s="272" t="s">
        <v>15</v>
      </c>
      <c r="B116" s="258"/>
      <c r="C116" s="258"/>
      <c r="D116" s="166"/>
      <c r="E116" s="23"/>
      <c r="F116" s="665"/>
      <c r="G116" s="258"/>
      <c r="H116" s="166"/>
      <c r="I116" s="23"/>
      <c r="J116" s="667"/>
      <c r="K116" s="267"/>
      <c r="L116" s="166"/>
      <c r="M116" s="23"/>
    </row>
    <row r="117" spans="1:14" ht="15.75" x14ac:dyDescent="0.2">
      <c r="A117" s="21" t="s">
        <v>363</v>
      </c>
      <c r="B117" s="211"/>
      <c r="C117" s="211"/>
      <c r="D117" s="166"/>
      <c r="E117" s="23"/>
      <c r="F117" s="211"/>
      <c r="G117" s="211"/>
      <c r="H117" s="166"/>
      <c r="I117" s="23"/>
      <c r="J117" s="145"/>
      <c r="K117" s="44"/>
      <c r="L117" s="231"/>
      <c r="M117" s="27"/>
    </row>
    <row r="118" spans="1:14" ht="15.75" x14ac:dyDescent="0.2">
      <c r="A118" s="21" t="s">
        <v>364</v>
      </c>
      <c r="B118" s="211"/>
      <c r="C118" s="211"/>
      <c r="D118" s="166"/>
      <c r="E118" s="23"/>
      <c r="F118" s="211"/>
      <c r="G118" s="211"/>
      <c r="H118" s="166"/>
      <c r="I118" s="23"/>
      <c r="J118" s="145"/>
      <c r="K118" s="44"/>
      <c r="L118" s="231"/>
      <c r="M118" s="27"/>
    </row>
    <row r="119" spans="1:14" ht="15.75" x14ac:dyDescent="0.2">
      <c r="A119" s="21" t="s">
        <v>362</v>
      </c>
      <c r="B119" s="211"/>
      <c r="C119" s="211"/>
      <c r="D119" s="166"/>
      <c r="E119" s="23"/>
      <c r="F119" s="211"/>
      <c r="G119" s="211"/>
      <c r="H119" s="166"/>
      <c r="I119" s="23"/>
      <c r="J119" s="145"/>
      <c r="K119" s="44"/>
      <c r="L119" s="231"/>
      <c r="M119" s="27"/>
    </row>
    <row r="120" spans="1:14" ht="15.75" x14ac:dyDescent="0.2">
      <c r="A120" s="13" t="s">
        <v>343</v>
      </c>
      <c r="B120" s="284"/>
      <c r="C120" s="159"/>
      <c r="D120" s="171"/>
      <c r="E120" s="24"/>
      <c r="F120" s="284"/>
      <c r="G120" s="159"/>
      <c r="H120" s="171"/>
      <c r="I120" s="24"/>
      <c r="J120" s="159"/>
      <c r="K120" s="213"/>
      <c r="L120" s="402"/>
      <c r="M120" s="11"/>
    </row>
    <row r="121" spans="1:14" x14ac:dyDescent="0.2">
      <c r="A121" s="21" t="s">
        <v>9</v>
      </c>
      <c r="B121" s="211"/>
      <c r="C121" s="145"/>
      <c r="D121" s="166"/>
      <c r="E121" s="23"/>
      <c r="F121" s="211"/>
      <c r="G121" s="145"/>
      <c r="H121" s="166"/>
      <c r="I121" s="23"/>
      <c r="J121" s="145"/>
      <c r="K121" s="44"/>
      <c r="L121" s="231"/>
      <c r="M121" s="27"/>
    </row>
    <row r="122" spans="1:14" x14ac:dyDescent="0.2">
      <c r="A122" s="21" t="s">
        <v>10</v>
      </c>
      <c r="B122" s="211"/>
      <c r="C122" s="145"/>
      <c r="D122" s="166"/>
      <c r="E122" s="23"/>
      <c r="F122" s="211"/>
      <c r="G122" s="145"/>
      <c r="H122" s="166"/>
      <c r="I122" s="23"/>
      <c r="J122" s="145"/>
      <c r="K122" s="44"/>
      <c r="L122" s="231"/>
      <c r="M122" s="27"/>
    </row>
    <row r="123" spans="1:14" x14ac:dyDescent="0.2">
      <c r="A123" s="21" t="s">
        <v>26</v>
      </c>
      <c r="B123" s="211"/>
      <c r="C123" s="145"/>
      <c r="D123" s="166"/>
      <c r="E123" s="23"/>
      <c r="F123" s="211"/>
      <c r="G123" s="145"/>
      <c r="H123" s="166"/>
      <c r="I123" s="23"/>
      <c r="J123" s="145"/>
      <c r="K123" s="44"/>
      <c r="L123" s="231"/>
      <c r="M123" s="27"/>
    </row>
    <row r="124" spans="1:14" x14ac:dyDescent="0.2">
      <c r="A124" s="272" t="s">
        <v>14</v>
      </c>
      <c r="B124" s="258"/>
      <c r="C124" s="258"/>
      <c r="D124" s="166"/>
      <c r="E124" s="23"/>
      <c r="F124" s="665"/>
      <c r="G124" s="258"/>
      <c r="H124" s="166"/>
      <c r="I124" s="23"/>
      <c r="J124" s="667"/>
      <c r="K124" s="267"/>
      <c r="L124" s="166"/>
      <c r="M124" s="23"/>
    </row>
    <row r="125" spans="1:14" ht="15.75" x14ac:dyDescent="0.2">
      <c r="A125" s="21" t="s">
        <v>369</v>
      </c>
      <c r="B125" s="211"/>
      <c r="C125" s="211"/>
      <c r="D125" s="166"/>
      <c r="E125" s="23"/>
      <c r="F125" s="211"/>
      <c r="G125" s="211"/>
      <c r="H125" s="166"/>
      <c r="I125" s="23"/>
      <c r="J125" s="145"/>
      <c r="K125" s="44"/>
      <c r="L125" s="231"/>
      <c r="M125" s="27"/>
    </row>
    <row r="126" spans="1:14" ht="15.75" x14ac:dyDescent="0.2">
      <c r="A126" s="21" t="s">
        <v>361</v>
      </c>
      <c r="B126" s="211"/>
      <c r="C126" s="211"/>
      <c r="D126" s="166"/>
      <c r="E126" s="23"/>
      <c r="F126" s="211"/>
      <c r="G126" s="211"/>
      <c r="H126" s="166"/>
      <c r="I126" s="23"/>
      <c r="J126" s="145"/>
      <c r="K126" s="44"/>
      <c r="L126" s="231"/>
      <c r="M126" s="27"/>
    </row>
    <row r="127" spans="1:14" ht="15.75" x14ac:dyDescent="0.2">
      <c r="A127" s="10" t="s">
        <v>362</v>
      </c>
      <c r="B127" s="45"/>
      <c r="C127" s="45"/>
      <c r="D127" s="167"/>
      <c r="E127" s="22"/>
      <c r="F127" s="666"/>
      <c r="G127" s="45"/>
      <c r="H127" s="167"/>
      <c r="I127" s="22"/>
      <c r="J127" s="668"/>
      <c r="K127" s="45"/>
      <c r="L127" s="232"/>
      <c r="M127" s="22"/>
    </row>
    <row r="128" spans="1:14" x14ac:dyDescent="0.2">
      <c r="A128" s="155"/>
      <c r="L128" s="26"/>
      <c r="M128" s="26"/>
      <c r="N128" s="26"/>
    </row>
    <row r="129" spans="1:14" x14ac:dyDescent="0.2">
      <c r="L129" s="26"/>
      <c r="M129" s="26"/>
      <c r="N129" s="26"/>
    </row>
    <row r="130" spans="1:14" ht="15.75" x14ac:dyDescent="0.25">
      <c r="A130" s="165" t="s">
        <v>27</v>
      </c>
    </row>
    <row r="131" spans="1:14" ht="15.75" x14ac:dyDescent="0.25">
      <c r="B131" s="694"/>
      <c r="C131" s="694"/>
      <c r="D131" s="694"/>
      <c r="E131" s="275"/>
      <c r="F131" s="694"/>
      <c r="G131" s="694"/>
      <c r="H131" s="694"/>
      <c r="I131" s="275"/>
      <c r="J131" s="694"/>
      <c r="K131" s="694"/>
      <c r="L131" s="694"/>
      <c r="M131" s="275"/>
    </row>
    <row r="132" spans="1:14" s="3" customFormat="1" x14ac:dyDescent="0.2">
      <c r="A132" s="144"/>
      <c r="B132" s="695" t="s">
        <v>0</v>
      </c>
      <c r="C132" s="696"/>
      <c r="D132" s="696"/>
      <c r="E132" s="277"/>
      <c r="F132" s="695" t="s">
        <v>1</v>
      </c>
      <c r="G132" s="696"/>
      <c r="H132" s="696"/>
      <c r="I132" s="280"/>
      <c r="J132" s="695" t="s">
        <v>2</v>
      </c>
      <c r="K132" s="696"/>
      <c r="L132" s="696"/>
      <c r="M132" s="280"/>
      <c r="N132" s="148"/>
    </row>
    <row r="133" spans="1:14" s="3" customFormat="1" x14ac:dyDescent="0.2">
      <c r="A133" s="140"/>
      <c r="B133" s="152" t="s">
        <v>412</v>
      </c>
      <c r="C133" s="152" t="s">
        <v>413</v>
      </c>
      <c r="D133" s="222" t="s">
        <v>3</v>
      </c>
      <c r="E133" s="281" t="s">
        <v>29</v>
      </c>
      <c r="F133" s="152" t="s">
        <v>412</v>
      </c>
      <c r="G133" s="152" t="s">
        <v>413</v>
      </c>
      <c r="H133" s="203" t="s">
        <v>3</v>
      </c>
      <c r="I133" s="162" t="s">
        <v>29</v>
      </c>
      <c r="J133" s="152" t="s">
        <v>412</v>
      </c>
      <c r="K133" s="152" t="s">
        <v>413</v>
      </c>
      <c r="L133" s="223" t="s">
        <v>3</v>
      </c>
      <c r="M133" s="162" t="s">
        <v>29</v>
      </c>
      <c r="N133" s="148"/>
    </row>
    <row r="134" spans="1:14" s="3" customFormat="1" x14ac:dyDescent="0.2">
      <c r="A134" s="662"/>
      <c r="B134" s="156"/>
      <c r="C134" s="156"/>
      <c r="D134" s="223" t="s">
        <v>4</v>
      </c>
      <c r="E134" s="156" t="s">
        <v>30</v>
      </c>
      <c r="F134" s="161"/>
      <c r="G134" s="161"/>
      <c r="H134" s="203" t="s">
        <v>4</v>
      </c>
      <c r="I134" s="156" t="s">
        <v>30</v>
      </c>
      <c r="J134" s="156"/>
      <c r="K134" s="156"/>
      <c r="L134" s="150" t="s">
        <v>4</v>
      </c>
      <c r="M134" s="156" t="s">
        <v>30</v>
      </c>
      <c r="N134" s="148"/>
    </row>
    <row r="135" spans="1:14" s="3" customFormat="1" ht="15.75" x14ac:dyDescent="0.2">
      <c r="A135" s="14" t="s">
        <v>365</v>
      </c>
      <c r="B135" s="213"/>
      <c r="C135" s="285"/>
      <c r="D135" s="326"/>
      <c r="E135" s="11"/>
      <c r="F135" s="292"/>
      <c r="G135" s="293"/>
      <c r="H135" s="405"/>
      <c r="I135" s="24"/>
      <c r="J135" s="294"/>
      <c r="K135" s="294"/>
      <c r="L135" s="401"/>
      <c r="M135" s="11"/>
      <c r="N135" s="148"/>
    </row>
    <row r="136" spans="1:14" s="3" customFormat="1" ht="15.75" x14ac:dyDescent="0.2">
      <c r="A136" s="13" t="s">
        <v>370</v>
      </c>
      <c r="B136" s="213"/>
      <c r="C136" s="285"/>
      <c r="D136" s="171"/>
      <c r="E136" s="11"/>
      <c r="F136" s="213"/>
      <c r="G136" s="285"/>
      <c r="H136" s="406"/>
      <c r="I136" s="24"/>
      <c r="J136" s="284"/>
      <c r="K136" s="284"/>
      <c r="L136" s="402"/>
      <c r="M136" s="11"/>
      <c r="N136" s="148"/>
    </row>
    <row r="137" spans="1:14" s="3" customFormat="1" ht="15.75" x14ac:dyDescent="0.2">
      <c r="A137" s="13" t="s">
        <v>367</v>
      </c>
      <c r="B137" s="213"/>
      <c r="C137" s="285"/>
      <c r="D137" s="171"/>
      <c r="E137" s="11"/>
      <c r="F137" s="213"/>
      <c r="G137" s="285"/>
      <c r="H137" s="406"/>
      <c r="I137" s="24"/>
      <c r="J137" s="284"/>
      <c r="K137" s="284"/>
      <c r="L137" s="402"/>
      <c r="M137" s="11"/>
      <c r="N137" s="148"/>
    </row>
    <row r="138" spans="1:14" s="3" customFormat="1" ht="15.75" x14ac:dyDescent="0.2">
      <c r="A138" s="41" t="s">
        <v>368</v>
      </c>
      <c r="B138" s="253"/>
      <c r="C138" s="291"/>
      <c r="D138" s="169"/>
      <c r="E138" s="9"/>
      <c r="F138" s="253"/>
      <c r="G138" s="291"/>
      <c r="H138" s="407"/>
      <c r="I138" s="36"/>
      <c r="J138" s="290"/>
      <c r="K138" s="290"/>
      <c r="L138" s="403"/>
      <c r="M138" s="36"/>
      <c r="N138" s="148"/>
    </row>
    <row r="139" spans="1:14" s="3" customFormat="1"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68"/>
      <c r="B141" s="33"/>
      <c r="C141" s="33"/>
      <c r="D141" s="159"/>
      <c r="E141" s="159"/>
      <c r="F141" s="33"/>
      <c r="G141" s="33"/>
      <c r="H141" s="159"/>
      <c r="I141" s="159"/>
      <c r="J141" s="33"/>
      <c r="K141" s="33"/>
      <c r="L141" s="159"/>
      <c r="M141" s="159"/>
      <c r="N141" s="148"/>
    </row>
    <row r="142" spans="1:14" x14ac:dyDescent="0.2">
      <c r="A142" s="146"/>
      <c r="B142" s="146"/>
      <c r="C142" s="146"/>
      <c r="D142" s="146"/>
      <c r="E142" s="146"/>
      <c r="F142" s="146"/>
      <c r="G142" s="146"/>
      <c r="H142" s="146"/>
      <c r="I142" s="146"/>
      <c r="J142" s="146"/>
      <c r="K142" s="146"/>
      <c r="L142" s="146"/>
      <c r="M142" s="146"/>
      <c r="N142" s="146"/>
    </row>
    <row r="143" spans="1:14" ht="15.75" x14ac:dyDescent="0.25">
      <c r="B143" s="142"/>
      <c r="C143" s="142"/>
      <c r="D143" s="142"/>
      <c r="E143" s="142"/>
      <c r="F143" s="142"/>
      <c r="G143" s="142"/>
      <c r="H143" s="142"/>
      <c r="I143" s="142"/>
      <c r="J143" s="142"/>
      <c r="K143" s="142"/>
      <c r="L143" s="142"/>
      <c r="M143" s="142"/>
      <c r="N143" s="142"/>
    </row>
    <row r="144" spans="1:14" ht="15.75" x14ac:dyDescent="0.25">
      <c r="B144" s="157"/>
      <c r="C144" s="157"/>
      <c r="D144" s="157"/>
      <c r="E144" s="157"/>
      <c r="F144" s="157"/>
      <c r="G144" s="157"/>
      <c r="H144" s="157"/>
      <c r="I144" s="157"/>
      <c r="J144" s="157"/>
      <c r="K144" s="157"/>
      <c r="L144" s="157"/>
      <c r="M144" s="157"/>
      <c r="N144" s="157"/>
    </row>
    <row r="145" spans="2:14" ht="15.75" x14ac:dyDescent="0.25">
      <c r="B145" s="157"/>
      <c r="C145" s="157"/>
      <c r="D145" s="157"/>
      <c r="E145" s="157"/>
      <c r="F145" s="157"/>
      <c r="G145" s="157"/>
      <c r="H145" s="157"/>
      <c r="I145" s="157"/>
      <c r="J145" s="157"/>
      <c r="K145" s="157"/>
      <c r="L145" s="157"/>
      <c r="M145" s="157"/>
      <c r="N145" s="157"/>
    </row>
  </sheetData>
  <mergeCells count="31">
    <mergeCell ref="B132:D132"/>
    <mergeCell ref="F132:H132"/>
    <mergeCell ref="J132:L132"/>
    <mergeCell ref="B63:D63"/>
    <mergeCell ref="F63:H63"/>
    <mergeCell ref="J63:L63"/>
    <mergeCell ref="B131:D131"/>
    <mergeCell ref="F131:H131"/>
    <mergeCell ref="J131:L131"/>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6">
    <cfRule type="expression" dxfId="600" priority="76">
      <formula>kvartal &lt; 4</formula>
    </cfRule>
  </conditionalFormatting>
  <conditionalFormatting sqref="C116">
    <cfRule type="expression" dxfId="599" priority="75">
      <formula>kvartal &lt; 4</formula>
    </cfRule>
  </conditionalFormatting>
  <conditionalFormatting sqref="B124">
    <cfRule type="expression" dxfId="598" priority="74">
      <formula>kvartal &lt; 4</formula>
    </cfRule>
  </conditionalFormatting>
  <conditionalFormatting sqref="C124">
    <cfRule type="expression" dxfId="597" priority="73">
      <formula>kvartal &lt; 4</formula>
    </cfRule>
  </conditionalFormatting>
  <conditionalFormatting sqref="F116">
    <cfRule type="expression" dxfId="596" priority="58">
      <formula>kvartal &lt; 4</formula>
    </cfRule>
  </conditionalFormatting>
  <conditionalFormatting sqref="G116">
    <cfRule type="expression" dxfId="595" priority="57">
      <formula>kvartal &lt; 4</formula>
    </cfRule>
  </conditionalFormatting>
  <conditionalFormatting sqref="F124:G124">
    <cfRule type="expression" dxfId="594" priority="56">
      <formula>kvartal &lt; 4</formula>
    </cfRule>
  </conditionalFormatting>
  <conditionalFormatting sqref="J116:K116">
    <cfRule type="expression" dxfId="593" priority="32">
      <formula>kvartal &lt; 4</formula>
    </cfRule>
  </conditionalFormatting>
  <conditionalFormatting sqref="J124:K124">
    <cfRule type="expression" dxfId="592" priority="31">
      <formula>kvartal &lt; 4</formula>
    </cfRule>
  </conditionalFormatting>
  <conditionalFormatting sqref="A50:A52">
    <cfRule type="expression" dxfId="591" priority="12">
      <formula>kvartal &lt; 4</formula>
    </cfRule>
  </conditionalFormatting>
  <conditionalFormatting sqref="A69:A74">
    <cfRule type="expression" dxfId="590" priority="10">
      <formula>kvartal &lt; 4</formula>
    </cfRule>
  </conditionalFormatting>
  <conditionalFormatting sqref="A80:A85">
    <cfRule type="expression" dxfId="589" priority="9">
      <formula>kvartal &lt; 4</formula>
    </cfRule>
  </conditionalFormatting>
  <conditionalFormatting sqref="A90:A95">
    <cfRule type="expression" dxfId="588" priority="6">
      <formula>kvartal &lt; 4</formula>
    </cfRule>
  </conditionalFormatting>
  <conditionalFormatting sqref="A102:A107">
    <cfRule type="expression" dxfId="587" priority="5">
      <formula>kvartal &lt; 4</formula>
    </cfRule>
  </conditionalFormatting>
  <conditionalFormatting sqref="A116">
    <cfRule type="expression" dxfId="586" priority="4">
      <formula>kvartal &lt; 4</formula>
    </cfRule>
  </conditionalFormatting>
  <conditionalFormatting sqref="A124">
    <cfRule type="expression" dxfId="585" priority="3">
      <formula>kvartal &lt; 4</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51DA9-89CE-4218-BAD2-ABC9A5D34523}">
  <dimension ref="A1:N145"/>
  <sheetViews>
    <sheetView showGridLines="0" zoomScaleNormal="100" workbookViewId="0">
      <selection activeCell="A111" sqref="A111"/>
    </sheetView>
  </sheetViews>
  <sheetFormatPr baseColWidth="10" defaultColWidth="11.42578125" defaultRowHeight="12.75" x14ac:dyDescent="0.2"/>
  <cols>
    <col min="1" max="1" width="41.57031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134</v>
      </c>
      <c r="B1" s="663"/>
      <c r="C1" s="225" t="s">
        <v>397</v>
      </c>
      <c r="D1" s="26"/>
      <c r="E1" s="26"/>
      <c r="F1" s="26"/>
      <c r="G1" s="26"/>
      <c r="H1" s="26"/>
      <c r="I1" s="26"/>
      <c r="J1" s="26"/>
      <c r="K1" s="26"/>
      <c r="L1" s="26"/>
      <c r="M1" s="26"/>
    </row>
    <row r="2" spans="1:14" ht="15.75" x14ac:dyDescent="0.25">
      <c r="A2" s="165" t="s">
        <v>28</v>
      </c>
      <c r="B2" s="699"/>
      <c r="C2" s="699"/>
      <c r="D2" s="699"/>
      <c r="E2" s="634"/>
      <c r="F2" s="699"/>
      <c r="G2" s="699"/>
      <c r="H2" s="699"/>
      <c r="I2" s="634"/>
      <c r="J2" s="699"/>
      <c r="K2" s="699"/>
      <c r="L2" s="699"/>
      <c r="M2" s="634"/>
    </row>
    <row r="3" spans="1:14" ht="15.75" x14ac:dyDescent="0.25">
      <c r="A3" s="163"/>
      <c r="B3" s="634"/>
      <c r="C3" s="634"/>
      <c r="D3" s="634"/>
      <c r="E3" s="634"/>
      <c r="F3" s="634"/>
      <c r="G3" s="634"/>
      <c r="H3" s="634"/>
      <c r="I3" s="634"/>
      <c r="J3" s="634"/>
      <c r="K3" s="634"/>
      <c r="L3" s="634"/>
      <c r="M3" s="634"/>
    </row>
    <row r="4" spans="1:14" x14ac:dyDescent="0.2">
      <c r="A4" s="144"/>
      <c r="B4" s="695" t="s">
        <v>0</v>
      </c>
      <c r="C4" s="696"/>
      <c r="D4" s="696"/>
      <c r="E4" s="632"/>
      <c r="F4" s="695" t="s">
        <v>1</v>
      </c>
      <c r="G4" s="696"/>
      <c r="H4" s="696"/>
      <c r="I4" s="633"/>
      <c r="J4" s="695" t="s">
        <v>2</v>
      </c>
      <c r="K4" s="696"/>
      <c r="L4" s="696"/>
      <c r="M4" s="633"/>
    </row>
    <row r="5" spans="1:14" x14ac:dyDescent="0.2">
      <c r="A5" s="158"/>
      <c r="B5" s="152" t="s">
        <v>412</v>
      </c>
      <c r="C5" s="152" t="s">
        <v>413</v>
      </c>
      <c r="D5" s="222" t="s">
        <v>3</v>
      </c>
      <c r="E5" s="281" t="s">
        <v>29</v>
      </c>
      <c r="F5" s="152" t="s">
        <v>412</v>
      </c>
      <c r="G5" s="152" t="s">
        <v>413</v>
      </c>
      <c r="H5" s="222" t="s">
        <v>3</v>
      </c>
      <c r="I5" s="162" t="s">
        <v>29</v>
      </c>
      <c r="J5" s="152" t="s">
        <v>412</v>
      </c>
      <c r="K5" s="152" t="s">
        <v>413</v>
      </c>
      <c r="L5" s="222" t="s">
        <v>3</v>
      </c>
      <c r="M5" s="162" t="s">
        <v>29</v>
      </c>
    </row>
    <row r="6" spans="1:14" x14ac:dyDescent="0.2">
      <c r="A6" s="661"/>
      <c r="B6" s="156"/>
      <c r="C6" s="156"/>
      <c r="D6" s="223" t="s">
        <v>4</v>
      </c>
      <c r="E6" s="156" t="s">
        <v>30</v>
      </c>
      <c r="F6" s="161"/>
      <c r="G6" s="161"/>
      <c r="H6" s="222" t="s">
        <v>4</v>
      </c>
      <c r="I6" s="156" t="s">
        <v>30</v>
      </c>
      <c r="J6" s="161"/>
      <c r="K6" s="161"/>
      <c r="L6" s="222" t="s">
        <v>4</v>
      </c>
      <c r="M6" s="156" t="s">
        <v>30</v>
      </c>
    </row>
    <row r="7" spans="1:14" ht="15.75" x14ac:dyDescent="0.2">
      <c r="A7" s="14" t="s">
        <v>23</v>
      </c>
      <c r="B7" s="282"/>
      <c r="C7" s="283"/>
      <c r="D7" s="326"/>
      <c r="E7" s="11"/>
      <c r="F7" s="282"/>
      <c r="G7" s="283"/>
      <c r="H7" s="326"/>
      <c r="I7" s="160"/>
      <c r="J7" s="284"/>
      <c r="K7" s="285"/>
      <c r="L7" s="401"/>
      <c r="M7" s="11"/>
    </row>
    <row r="8" spans="1:14" ht="15.75" x14ac:dyDescent="0.2">
      <c r="A8" s="21" t="s">
        <v>25</v>
      </c>
      <c r="B8" s="258"/>
      <c r="C8" s="259"/>
      <c r="D8" s="166"/>
      <c r="E8" s="27"/>
      <c r="F8" s="262"/>
      <c r="G8" s="263"/>
      <c r="H8" s="166"/>
      <c r="I8" s="175"/>
      <c r="J8" s="211"/>
      <c r="K8" s="264"/>
      <c r="L8" s="166"/>
      <c r="M8" s="27"/>
    </row>
    <row r="9" spans="1:14" ht="15.75" x14ac:dyDescent="0.2">
      <c r="A9" s="21" t="s">
        <v>24</v>
      </c>
      <c r="B9" s="258"/>
      <c r="C9" s="259"/>
      <c r="D9" s="166"/>
      <c r="E9" s="27"/>
      <c r="F9" s="262"/>
      <c r="G9" s="263"/>
      <c r="H9" s="166"/>
      <c r="I9" s="175"/>
      <c r="J9" s="211"/>
      <c r="K9" s="264"/>
      <c r="L9" s="166"/>
      <c r="M9" s="27"/>
    </row>
    <row r="10" spans="1:14" ht="15.75" x14ac:dyDescent="0.2">
      <c r="A10" s="13" t="s">
        <v>341</v>
      </c>
      <c r="B10" s="286"/>
      <c r="C10" s="287"/>
      <c r="D10" s="171"/>
      <c r="E10" s="11"/>
      <c r="F10" s="286"/>
      <c r="G10" s="287"/>
      <c r="H10" s="171"/>
      <c r="I10" s="160"/>
      <c r="J10" s="284"/>
      <c r="K10" s="285"/>
      <c r="L10" s="402"/>
      <c r="M10" s="11"/>
    </row>
    <row r="11" spans="1:14" s="43" customFormat="1" ht="15.75" x14ac:dyDescent="0.2">
      <c r="A11" s="13" t="s">
        <v>342</v>
      </c>
      <c r="B11" s="286"/>
      <c r="C11" s="287"/>
      <c r="D11" s="171"/>
      <c r="E11" s="11"/>
      <c r="F11" s="286"/>
      <c r="G11" s="287"/>
      <c r="H11" s="171"/>
      <c r="I11" s="160"/>
      <c r="J11" s="284"/>
      <c r="K11" s="285"/>
      <c r="L11" s="402"/>
      <c r="M11" s="11"/>
      <c r="N11" s="143"/>
    </row>
    <row r="12" spans="1:14" s="43" customFormat="1" ht="15.75" x14ac:dyDescent="0.2">
      <c r="A12" s="41" t="s">
        <v>343</v>
      </c>
      <c r="B12" s="288"/>
      <c r="C12" s="289"/>
      <c r="D12" s="169"/>
      <c r="E12" s="36"/>
      <c r="F12" s="288"/>
      <c r="G12" s="289"/>
      <c r="H12" s="169"/>
      <c r="I12" s="169"/>
      <c r="J12" s="290"/>
      <c r="K12" s="291"/>
      <c r="L12" s="403"/>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251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248</v>
      </c>
      <c r="B17" s="157"/>
      <c r="C17" s="157"/>
      <c r="D17" s="151"/>
      <c r="E17" s="151"/>
      <c r="F17" s="157"/>
      <c r="G17" s="157"/>
      <c r="H17" s="157"/>
      <c r="I17" s="157"/>
      <c r="J17" s="157"/>
      <c r="K17" s="157"/>
      <c r="L17" s="157"/>
      <c r="M17" s="157"/>
    </row>
    <row r="18" spans="1:14" ht="15.75" x14ac:dyDescent="0.25">
      <c r="B18" s="694"/>
      <c r="C18" s="694"/>
      <c r="D18" s="694"/>
      <c r="E18" s="634"/>
      <c r="F18" s="694"/>
      <c r="G18" s="694"/>
      <c r="H18" s="694"/>
      <c r="I18" s="634"/>
      <c r="J18" s="694"/>
      <c r="K18" s="694"/>
      <c r="L18" s="694"/>
      <c r="M18" s="634"/>
    </row>
    <row r="19" spans="1:14" x14ac:dyDescent="0.2">
      <c r="A19" s="144"/>
      <c r="B19" s="695" t="s">
        <v>0</v>
      </c>
      <c r="C19" s="696"/>
      <c r="D19" s="696"/>
      <c r="E19" s="632"/>
      <c r="F19" s="695" t="s">
        <v>1</v>
      </c>
      <c r="G19" s="696"/>
      <c r="H19" s="696"/>
      <c r="I19" s="633"/>
      <c r="J19" s="695" t="s">
        <v>2</v>
      </c>
      <c r="K19" s="696"/>
      <c r="L19" s="696"/>
      <c r="M19" s="633"/>
    </row>
    <row r="20" spans="1:14" x14ac:dyDescent="0.2">
      <c r="A20" s="140" t="s">
        <v>5</v>
      </c>
      <c r="B20" s="152" t="s">
        <v>412</v>
      </c>
      <c r="C20" s="152" t="s">
        <v>413</v>
      </c>
      <c r="D20" s="162" t="s">
        <v>3</v>
      </c>
      <c r="E20" s="281" t="s">
        <v>29</v>
      </c>
      <c r="F20" s="152" t="s">
        <v>412</v>
      </c>
      <c r="G20" s="152" t="s">
        <v>413</v>
      </c>
      <c r="H20" s="162" t="s">
        <v>3</v>
      </c>
      <c r="I20" s="162" t="s">
        <v>29</v>
      </c>
      <c r="J20" s="152" t="s">
        <v>412</v>
      </c>
      <c r="K20" s="152" t="s">
        <v>413</v>
      </c>
      <c r="L20" s="162" t="s">
        <v>3</v>
      </c>
      <c r="M20" s="162" t="s">
        <v>29</v>
      </c>
    </row>
    <row r="21" spans="1:14" x14ac:dyDescent="0.2">
      <c r="A21" s="662"/>
      <c r="B21" s="156"/>
      <c r="C21" s="156"/>
      <c r="D21" s="223" t="s">
        <v>4</v>
      </c>
      <c r="E21" s="390" t="s">
        <v>30</v>
      </c>
      <c r="F21" s="161"/>
      <c r="G21" s="161"/>
      <c r="H21" s="222" t="s">
        <v>4</v>
      </c>
      <c r="I21" s="156" t="s">
        <v>30</v>
      </c>
      <c r="J21" s="161"/>
      <c r="K21" s="161"/>
      <c r="L21" s="156" t="s">
        <v>4</v>
      </c>
      <c r="M21" s="156" t="s">
        <v>30</v>
      </c>
    </row>
    <row r="22" spans="1:14" ht="15.75" x14ac:dyDescent="0.2">
      <c r="A22" s="14" t="s">
        <v>23</v>
      </c>
      <c r="B22" s="286"/>
      <c r="C22" s="286"/>
      <c r="D22" s="326"/>
      <c r="E22" s="11"/>
      <c r="F22" s="294"/>
      <c r="G22" s="294"/>
      <c r="H22" s="326"/>
      <c r="I22" s="160"/>
      <c r="J22" s="292"/>
      <c r="K22" s="292"/>
      <c r="L22" s="401"/>
      <c r="M22" s="24"/>
    </row>
    <row r="23" spans="1:14" ht="15.75" x14ac:dyDescent="0.2">
      <c r="A23" s="545" t="s">
        <v>344</v>
      </c>
      <c r="B23" s="258"/>
      <c r="C23" s="258"/>
      <c r="D23" s="166"/>
      <c r="E23" s="11"/>
      <c r="F23" s="267"/>
      <c r="G23" s="267"/>
      <c r="H23" s="166"/>
      <c r="I23" s="217"/>
      <c r="J23" s="267"/>
      <c r="K23" s="267"/>
      <c r="L23" s="166"/>
      <c r="M23" s="23"/>
    </row>
    <row r="24" spans="1:14" ht="15.75" x14ac:dyDescent="0.2">
      <c r="A24" s="545" t="s">
        <v>345</v>
      </c>
      <c r="B24" s="258"/>
      <c r="C24" s="258"/>
      <c r="D24" s="166"/>
      <c r="E24" s="11"/>
      <c r="F24" s="267"/>
      <c r="G24" s="267"/>
      <c r="H24" s="166"/>
      <c r="I24" s="217"/>
      <c r="J24" s="267"/>
      <c r="K24" s="267"/>
      <c r="L24" s="166"/>
      <c r="M24" s="23"/>
    </row>
    <row r="25" spans="1:14" ht="15.75" x14ac:dyDescent="0.2">
      <c r="A25" s="545" t="s">
        <v>346</v>
      </c>
      <c r="B25" s="258"/>
      <c r="C25" s="258"/>
      <c r="D25" s="166"/>
      <c r="E25" s="11"/>
      <c r="F25" s="267"/>
      <c r="G25" s="267"/>
      <c r="H25" s="166"/>
      <c r="I25" s="217"/>
      <c r="J25" s="267"/>
      <c r="K25" s="267"/>
      <c r="L25" s="166"/>
      <c r="M25" s="23"/>
    </row>
    <row r="26" spans="1:14" ht="15.75" x14ac:dyDescent="0.2">
      <c r="A26" s="545" t="s">
        <v>347</v>
      </c>
      <c r="B26" s="258"/>
      <c r="C26" s="258"/>
      <c r="D26" s="166"/>
      <c r="E26" s="11"/>
      <c r="F26" s="267"/>
      <c r="G26" s="267"/>
      <c r="H26" s="166"/>
      <c r="I26" s="217"/>
      <c r="J26" s="267"/>
      <c r="K26" s="267"/>
      <c r="L26" s="166"/>
      <c r="M26" s="23"/>
    </row>
    <row r="27" spans="1:14" x14ac:dyDescent="0.2">
      <c r="A27" s="545" t="s">
        <v>11</v>
      </c>
      <c r="B27" s="258"/>
      <c r="C27" s="258"/>
      <c r="D27" s="166"/>
      <c r="E27" s="11"/>
      <c r="F27" s="267"/>
      <c r="G27" s="267"/>
      <c r="H27" s="166"/>
      <c r="I27" s="217"/>
      <c r="J27" s="267"/>
      <c r="K27" s="267"/>
      <c r="L27" s="166"/>
      <c r="M27" s="23"/>
    </row>
    <row r="28" spans="1:14" ht="15.75" x14ac:dyDescent="0.2">
      <c r="A28" s="49" t="s">
        <v>252</v>
      </c>
      <c r="B28" s="44"/>
      <c r="C28" s="264"/>
      <c r="D28" s="166"/>
      <c r="E28" s="11"/>
      <c r="F28" s="211"/>
      <c r="G28" s="264"/>
      <c r="H28" s="166"/>
      <c r="I28" s="175"/>
      <c r="J28" s="44"/>
      <c r="K28" s="44"/>
      <c r="L28" s="231"/>
      <c r="M28" s="23"/>
    </row>
    <row r="29" spans="1:14" s="3" customFormat="1" ht="15.75" x14ac:dyDescent="0.2">
      <c r="A29" s="13" t="s">
        <v>341</v>
      </c>
      <c r="B29" s="213"/>
      <c r="C29" s="213"/>
      <c r="D29" s="171"/>
      <c r="E29" s="11"/>
      <c r="F29" s="284"/>
      <c r="G29" s="284"/>
      <c r="H29" s="171"/>
      <c r="I29" s="160"/>
      <c r="J29" s="213"/>
      <c r="K29" s="213"/>
      <c r="L29" s="402"/>
      <c r="M29" s="24"/>
      <c r="N29" s="148"/>
    </row>
    <row r="30" spans="1:14" s="3" customFormat="1" ht="15.75" x14ac:dyDescent="0.2">
      <c r="A30" s="545" t="s">
        <v>344</v>
      </c>
      <c r="B30" s="258"/>
      <c r="C30" s="258"/>
      <c r="D30" s="166"/>
      <c r="E30" s="11"/>
      <c r="F30" s="267"/>
      <c r="G30" s="267"/>
      <c r="H30" s="166"/>
      <c r="I30" s="217"/>
      <c r="J30" s="267"/>
      <c r="K30" s="267"/>
      <c r="L30" s="166"/>
      <c r="M30" s="23"/>
      <c r="N30" s="148"/>
    </row>
    <row r="31" spans="1:14" s="3" customFormat="1" ht="15.75" x14ac:dyDescent="0.2">
      <c r="A31" s="545" t="s">
        <v>345</v>
      </c>
      <c r="B31" s="258"/>
      <c r="C31" s="258"/>
      <c r="D31" s="166"/>
      <c r="E31" s="11"/>
      <c r="F31" s="267"/>
      <c r="G31" s="267"/>
      <c r="H31" s="166"/>
      <c r="I31" s="217"/>
      <c r="J31" s="267"/>
      <c r="K31" s="267"/>
      <c r="L31" s="166"/>
      <c r="M31" s="23"/>
      <c r="N31" s="148"/>
    </row>
    <row r="32" spans="1:14" ht="15.75" x14ac:dyDescent="0.2">
      <c r="A32" s="545" t="s">
        <v>346</v>
      </c>
      <c r="B32" s="258"/>
      <c r="C32" s="258"/>
      <c r="D32" s="166"/>
      <c r="E32" s="11"/>
      <c r="F32" s="267"/>
      <c r="G32" s="267"/>
      <c r="H32" s="166"/>
      <c r="I32" s="217"/>
      <c r="J32" s="267"/>
      <c r="K32" s="267"/>
      <c r="L32" s="166"/>
      <c r="M32" s="23"/>
    </row>
    <row r="33" spans="1:14" ht="15.75" x14ac:dyDescent="0.2">
      <c r="A33" s="545" t="s">
        <v>347</v>
      </c>
      <c r="B33" s="258"/>
      <c r="C33" s="258"/>
      <c r="D33" s="166"/>
      <c r="E33" s="11"/>
      <c r="F33" s="267"/>
      <c r="G33" s="267"/>
      <c r="H33" s="166"/>
      <c r="I33" s="217"/>
      <c r="J33" s="267"/>
      <c r="K33" s="267"/>
      <c r="L33" s="166"/>
      <c r="M33" s="23"/>
    </row>
    <row r="34" spans="1:14" ht="15.75" x14ac:dyDescent="0.2">
      <c r="A34" s="13" t="s">
        <v>342</v>
      </c>
      <c r="B34" s="213"/>
      <c r="C34" s="285"/>
      <c r="D34" s="171"/>
      <c r="E34" s="11"/>
      <c r="F34" s="284"/>
      <c r="G34" s="285"/>
      <c r="H34" s="171"/>
      <c r="I34" s="160"/>
      <c r="J34" s="213"/>
      <c r="K34" s="213"/>
      <c r="L34" s="402"/>
      <c r="M34" s="24"/>
    </row>
    <row r="35" spans="1:14" ht="15.75" x14ac:dyDescent="0.2">
      <c r="A35" s="13" t="s">
        <v>343</v>
      </c>
      <c r="B35" s="213"/>
      <c r="C35" s="285"/>
      <c r="D35" s="171"/>
      <c r="E35" s="11"/>
      <c r="F35" s="284"/>
      <c r="G35" s="285"/>
      <c r="H35" s="171"/>
      <c r="I35" s="160"/>
      <c r="J35" s="213"/>
      <c r="K35" s="213"/>
      <c r="L35" s="402"/>
      <c r="M35" s="24"/>
    </row>
    <row r="36" spans="1:14" ht="15.75" x14ac:dyDescent="0.2">
      <c r="A36" s="12" t="s">
        <v>260</v>
      </c>
      <c r="B36" s="213"/>
      <c r="C36" s="285"/>
      <c r="D36" s="171"/>
      <c r="E36" s="11"/>
      <c r="F36" s="295"/>
      <c r="G36" s="296"/>
      <c r="H36" s="171"/>
      <c r="I36" s="404"/>
      <c r="J36" s="213"/>
      <c r="K36" s="213"/>
      <c r="L36" s="402"/>
      <c r="M36" s="24"/>
    </row>
    <row r="37" spans="1:14" ht="15.75" x14ac:dyDescent="0.2">
      <c r="A37" s="12" t="s">
        <v>349</v>
      </c>
      <c r="B37" s="213"/>
      <c r="C37" s="285"/>
      <c r="D37" s="171"/>
      <c r="E37" s="11"/>
      <c r="F37" s="295"/>
      <c r="G37" s="297"/>
      <c r="H37" s="171"/>
      <c r="I37" s="404"/>
      <c r="J37" s="213"/>
      <c r="K37" s="213"/>
      <c r="L37" s="402"/>
      <c r="M37" s="24"/>
    </row>
    <row r="38" spans="1:14" ht="15.75" x14ac:dyDescent="0.2">
      <c r="A38" s="12" t="s">
        <v>350</v>
      </c>
      <c r="B38" s="213"/>
      <c r="C38" s="285"/>
      <c r="D38" s="171"/>
      <c r="E38" s="24"/>
      <c r="F38" s="295"/>
      <c r="G38" s="296"/>
      <c r="H38" s="171"/>
      <c r="I38" s="404"/>
      <c r="J38" s="213"/>
      <c r="K38" s="213"/>
      <c r="L38" s="402"/>
      <c r="M38" s="24"/>
    </row>
    <row r="39" spans="1:14" ht="15.75" x14ac:dyDescent="0.2">
      <c r="A39" s="18" t="s">
        <v>351</v>
      </c>
      <c r="B39" s="253"/>
      <c r="C39" s="291"/>
      <c r="D39" s="169"/>
      <c r="E39" s="36"/>
      <c r="F39" s="298"/>
      <c r="G39" s="299"/>
      <c r="H39" s="169"/>
      <c r="I39" s="169"/>
      <c r="J39" s="213"/>
      <c r="K39" s="213"/>
      <c r="L39" s="403"/>
      <c r="M39" s="36"/>
    </row>
    <row r="40" spans="1:14" ht="15.75" x14ac:dyDescent="0.25">
      <c r="A40" s="47"/>
      <c r="B40" s="230"/>
      <c r="C40" s="230"/>
      <c r="D40" s="698"/>
      <c r="E40" s="698"/>
      <c r="F40" s="698"/>
      <c r="G40" s="698"/>
      <c r="H40" s="698"/>
      <c r="I40" s="698"/>
      <c r="J40" s="698"/>
      <c r="K40" s="698"/>
      <c r="L40" s="698"/>
      <c r="M40" s="635"/>
    </row>
    <row r="41" spans="1:14" x14ac:dyDescent="0.2">
      <c r="A41" s="155"/>
    </row>
    <row r="42" spans="1:14" ht="15.75" x14ac:dyDescent="0.25">
      <c r="A42" s="147" t="s">
        <v>249</v>
      </c>
      <c r="B42" s="699"/>
      <c r="C42" s="699"/>
      <c r="D42" s="699"/>
      <c r="E42" s="634"/>
      <c r="F42" s="700"/>
      <c r="G42" s="700"/>
      <c r="H42" s="700"/>
      <c r="I42" s="635"/>
      <c r="J42" s="700"/>
      <c r="K42" s="700"/>
      <c r="L42" s="700"/>
      <c r="M42" s="635"/>
    </row>
    <row r="43" spans="1:14" ht="15.75" x14ac:dyDescent="0.25">
      <c r="A43" s="163"/>
      <c r="B43" s="630"/>
      <c r="C43" s="630"/>
      <c r="D43" s="630"/>
      <c r="E43" s="630"/>
      <c r="F43" s="635"/>
      <c r="G43" s="635"/>
      <c r="H43" s="635"/>
      <c r="I43" s="635"/>
      <c r="J43" s="635"/>
      <c r="K43" s="635"/>
      <c r="L43" s="635"/>
      <c r="M43" s="635"/>
    </row>
    <row r="44" spans="1:14" ht="15.75" x14ac:dyDescent="0.25">
      <c r="A44" s="224"/>
      <c r="B44" s="695" t="s">
        <v>0</v>
      </c>
      <c r="C44" s="696"/>
      <c r="D44" s="696"/>
      <c r="E44" s="220"/>
      <c r="F44" s="635"/>
      <c r="G44" s="635"/>
      <c r="H44" s="635"/>
      <c r="I44" s="635"/>
      <c r="J44" s="635"/>
      <c r="K44" s="635"/>
      <c r="L44" s="635"/>
      <c r="M44" s="635"/>
    </row>
    <row r="45" spans="1:14" s="3" customFormat="1" x14ac:dyDescent="0.2">
      <c r="A45" s="140"/>
      <c r="B45" s="152" t="s">
        <v>412</v>
      </c>
      <c r="C45" s="152" t="s">
        <v>413</v>
      </c>
      <c r="D45" s="162" t="s">
        <v>3</v>
      </c>
      <c r="E45" s="162" t="s">
        <v>29</v>
      </c>
      <c r="F45" s="174"/>
      <c r="G45" s="174"/>
      <c r="H45" s="173"/>
      <c r="I45" s="173"/>
      <c r="J45" s="174"/>
      <c r="K45" s="174"/>
      <c r="L45" s="173"/>
      <c r="M45" s="173"/>
      <c r="N45" s="148"/>
    </row>
    <row r="46" spans="1:14" s="3" customFormat="1" x14ac:dyDescent="0.2">
      <c r="A46" s="662"/>
      <c r="B46" s="221"/>
      <c r="C46" s="221"/>
      <c r="D46" s="222" t="s">
        <v>4</v>
      </c>
      <c r="E46" s="156" t="s">
        <v>30</v>
      </c>
      <c r="F46" s="173"/>
      <c r="G46" s="173"/>
      <c r="H46" s="173"/>
      <c r="I46" s="173"/>
      <c r="J46" s="173"/>
      <c r="K46" s="173"/>
      <c r="L46" s="173"/>
      <c r="M46" s="173"/>
      <c r="N46" s="148"/>
    </row>
    <row r="47" spans="1:14" s="3" customFormat="1" ht="15.75" x14ac:dyDescent="0.2">
      <c r="A47" s="14" t="s">
        <v>23</v>
      </c>
      <c r="B47" s="286"/>
      <c r="C47" s="287">
        <v>8328</v>
      </c>
      <c r="D47" s="401" t="str">
        <f t="shared" ref="D47:D55" si="0">IF(B47=0, "    ---- ", IF(ABS(ROUND(100/B47*C47-100,1))&lt;999,ROUND(100/B47*C47-100,1),IF(ROUND(100/B47*C47-100,1)&gt;999,999,-999)))</f>
        <v xml:space="preserve">    ---- </v>
      </c>
      <c r="E47" s="11">
        <f>IFERROR(100/'Skjema total MA'!C47*C47,0)</f>
        <v>0.26324691995805199</v>
      </c>
      <c r="F47" s="145"/>
      <c r="G47" s="33"/>
      <c r="H47" s="159"/>
      <c r="I47" s="159"/>
      <c r="J47" s="37"/>
      <c r="K47" s="37"/>
      <c r="L47" s="159"/>
      <c r="M47" s="159"/>
      <c r="N47" s="148"/>
    </row>
    <row r="48" spans="1:14" s="3" customFormat="1" ht="15.75" x14ac:dyDescent="0.2">
      <c r="A48" s="38" t="s">
        <v>352</v>
      </c>
      <c r="B48" s="258"/>
      <c r="C48" s="259">
        <v>7387</v>
      </c>
      <c r="D48" s="231" t="str">
        <f t="shared" si="0"/>
        <v xml:space="preserve">    ---- </v>
      </c>
      <c r="E48" s="27">
        <f>IFERROR(100/'Skjema total MA'!C48*C48,0)</f>
        <v>0.43066084122068204</v>
      </c>
      <c r="F48" s="145"/>
      <c r="G48" s="33"/>
      <c r="H48" s="145"/>
      <c r="I48" s="145"/>
      <c r="J48" s="33"/>
      <c r="K48" s="33"/>
      <c r="L48" s="159"/>
      <c r="M48" s="159"/>
      <c r="N48" s="148"/>
    </row>
    <row r="49" spans="1:14" s="3" customFormat="1" ht="15.75" x14ac:dyDescent="0.2">
      <c r="A49" s="38" t="s">
        <v>353</v>
      </c>
      <c r="B49" s="44"/>
      <c r="C49" s="264">
        <v>941</v>
      </c>
      <c r="D49" s="231" t="str">
        <f>IF(B49=0, "    ---- ", IF(ABS(ROUND(100/B49*C49-100,1))&lt;999,ROUND(100/B49*C49-100,1),IF(ROUND(100/B49*C49-100,1)&gt;999,999,-999)))</f>
        <v xml:space="preserve">    ---- </v>
      </c>
      <c r="E49" s="27">
        <f>IFERROR(100/'Skjema total MA'!C49*C49,0)</f>
        <v>6.4972776093966844E-2</v>
      </c>
      <c r="F49" s="145"/>
      <c r="G49" s="33"/>
      <c r="H49" s="145"/>
      <c r="I49" s="145"/>
      <c r="J49" s="37"/>
      <c r="K49" s="37"/>
      <c r="L49" s="159"/>
      <c r="M49" s="159"/>
      <c r="N49" s="148"/>
    </row>
    <row r="50" spans="1:14" s="3" customFormat="1" x14ac:dyDescent="0.2">
      <c r="A50" s="272" t="s">
        <v>6</v>
      </c>
      <c r="B50" s="295"/>
      <c r="C50" s="295"/>
      <c r="D50" s="231"/>
      <c r="E50" s="23"/>
      <c r="F50" s="145"/>
      <c r="G50" s="33"/>
      <c r="H50" s="145"/>
      <c r="I50" s="145"/>
      <c r="J50" s="33"/>
      <c r="K50" s="33"/>
      <c r="L50" s="159"/>
      <c r="M50" s="159"/>
      <c r="N50" s="148"/>
    </row>
    <row r="51" spans="1:14" s="3" customFormat="1" x14ac:dyDescent="0.2">
      <c r="A51" s="272" t="s">
        <v>7</v>
      </c>
      <c r="B51" s="295"/>
      <c r="C51" s="295"/>
      <c r="D51" s="231"/>
      <c r="E51" s="23"/>
      <c r="F51" s="145"/>
      <c r="G51" s="33"/>
      <c r="H51" s="145"/>
      <c r="I51" s="145"/>
      <c r="J51" s="33"/>
      <c r="K51" s="33"/>
      <c r="L51" s="159"/>
      <c r="M51" s="159"/>
      <c r="N51" s="148"/>
    </row>
    <row r="52" spans="1:14" s="3" customFormat="1" x14ac:dyDescent="0.2">
      <c r="A52" s="272" t="s">
        <v>8</v>
      </c>
      <c r="B52" s="295"/>
      <c r="C52" s="295"/>
      <c r="D52" s="231"/>
      <c r="E52" s="23"/>
      <c r="F52" s="145"/>
      <c r="G52" s="33"/>
      <c r="H52" s="145"/>
      <c r="I52" s="145"/>
      <c r="J52" s="33"/>
      <c r="K52" s="33"/>
      <c r="L52" s="159"/>
      <c r="M52" s="159"/>
      <c r="N52" s="148"/>
    </row>
    <row r="53" spans="1:14" s="3" customFormat="1" ht="15.75" x14ac:dyDescent="0.2">
      <c r="A53" s="39" t="s">
        <v>354</v>
      </c>
      <c r="B53" s="286"/>
      <c r="C53" s="287">
        <v>8328</v>
      </c>
      <c r="D53" s="402" t="str">
        <f t="shared" si="0"/>
        <v xml:space="preserve">    ---- </v>
      </c>
      <c r="E53" s="11">
        <f>IFERROR(100/'Skjema total MA'!C53*C53,0)</f>
        <v>3.7915091741230937</v>
      </c>
      <c r="F53" s="145"/>
      <c r="G53" s="33"/>
      <c r="H53" s="145"/>
      <c r="I53" s="145"/>
      <c r="J53" s="33"/>
      <c r="K53" s="33"/>
      <c r="L53" s="159"/>
      <c r="M53" s="159"/>
      <c r="N53" s="148"/>
    </row>
    <row r="54" spans="1:14" s="3" customFormat="1" ht="15.75" x14ac:dyDescent="0.2">
      <c r="A54" s="38" t="s">
        <v>352</v>
      </c>
      <c r="B54" s="258"/>
      <c r="C54" s="259">
        <v>7387</v>
      </c>
      <c r="D54" s="231" t="str">
        <f t="shared" si="0"/>
        <v xml:space="preserve">    ---- </v>
      </c>
      <c r="E54" s="27">
        <f>IFERROR(100/'Skjema total MA'!C54*C54,0)</f>
        <v>3.6789970280961195</v>
      </c>
      <c r="F54" s="145"/>
      <c r="G54" s="33"/>
      <c r="H54" s="145"/>
      <c r="I54" s="145"/>
      <c r="J54" s="33"/>
      <c r="K54" s="33"/>
      <c r="L54" s="159"/>
      <c r="M54" s="159"/>
      <c r="N54" s="148"/>
    </row>
    <row r="55" spans="1:14" s="3" customFormat="1" ht="15.75" x14ac:dyDescent="0.2">
      <c r="A55" s="38" t="s">
        <v>353</v>
      </c>
      <c r="B55" s="258"/>
      <c r="C55" s="259">
        <v>941</v>
      </c>
      <c r="D55" s="231" t="str">
        <f t="shared" si="0"/>
        <v xml:space="preserve">    ---- </v>
      </c>
      <c r="E55" s="27">
        <f>IFERROR(100/'Skjema total MA'!C55*C55,0)</f>
        <v>4.9893257061513028</v>
      </c>
      <c r="F55" s="145"/>
      <c r="G55" s="33"/>
      <c r="H55" s="145"/>
      <c r="I55" s="145"/>
      <c r="J55" s="33"/>
      <c r="K55" s="33"/>
      <c r="L55" s="159"/>
      <c r="M55" s="159"/>
      <c r="N55" s="148"/>
    </row>
    <row r="56" spans="1:14" s="3" customFormat="1" ht="15.75" x14ac:dyDescent="0.2">
      <c r="A56" s="39" t="s">
        <v>355</v>
      </c>
      <c r="B56" s="286"/>
      <c r="C56" s="287"/>
      <c r="D56" s="402"/>
      <c r="E56" s="11"/>
      <c r="F56" s="145"/>
      <c r="G56" s="33"/>
      <c r="H56" s="145"/>
      <c r="I56" s="145"/>
      <c r="J56" s="33"/>
      <c r="K56" s="33"/>
      <c r="L56" s="159"/>
      <c r="M56" s="159"/>
      <c r="N56" s="148"/>
    </row>
    <row r="57" spans="1:14" s="3" customFormat="1" ht="15.75" x14ac:dyDescent="0.2">
      <c r="A57" s="38" t="s">
        <v>352</v>
      </c>
      <c r="B57" s="258"/>
      <c r="C57" s="259"/>
      <c r="D57" s="231"/>
      <c r="E57" s="27"/>
      <c r="F57" s="145"/>
      <c r="G57" s="33"/>
      <c r="H57" s="145"/>
      <c r="I57" s="145"/>
      <c r="J57" s="33"/>
      <c r="K57" s="33"/>
      <c r="L57" s="159"/>
      <c r="M57" s="159"/>
      <c r="N57" s="148"/>
    </row>
    <row r="58" spans="1:14" s="3" customFormat="1" ht="15.75" x14ac:dyDescent="0.2">
      <c r="A58" s="46" t="s">
        <v>353</v>
      </c>
      <c r="B58" s="260"/>
      <c r="C58" s="261"/>
      <c r="D58" s="232"/>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250</v>
      </c>
      <c r="C61" s="26"/>
      <c r="D61" s="26"/>
      <c r="E61" s="26"/>
      <c r="F61" s="26"/>
      <c r="G61" s="26"/>
      <c r="H61" s="26"/>
      <c r="I61" s="26"/>
      <c r="J61" s="26"/>
      <c r="K61" s="26"/>
      <c r="L61" s="26"/>
      <c r="M61" s="26"/>
    </row>
    <row r="62" spans="1:14" ht="15.75" x14ac:dyDescent="0.25">
      <c r="B62" s="694"/>
      <c r="C62" s="694"/>
      <c r="D62" s="694"/>
      <c r="E62" s="634"/>
      <c r="F62" s="694"/>
      <c r="G62" s="694"/>
      <c r="H62" s="694"/>
      <c r="I62" s="634"/>
      <c r="J62" s="694"/>
      <c r="K62" s="694"/>
      <c r="L62" s="694"/>
      <c r="M62" s="634"/>
    </row>
    <row r="63" spans="1:14" x14ac:dyDescent="0.2">
      <c r="A63" s="144"/>
      <c r="B63" s="695" t="s">
        <v>0</v>
      </c>
      <c r="C63" s="696"/>
      <c r="D63" s="697"/>
      <c r="E63" s="631"/>
      <c r="F63" s="696" t="s">
        <v>1</v>
      </c>
      <c r="G63" s="696"/>
      <c r="H63" s="696"/>
      <c r="I63" s="633"/>
      <c r="J63" s="695" t="s">
        <v>2</v>
      </c>
      <c r="K63" s="696"/>
      <c r="L63" s="696"/>
      <c r="M63" s="633"/>
    </row>
    <row r="64" spans="1:14" x14ac:dyDescent="0.2">
      <c r="A64" s="140"/>
      <c r="B64" s="152" t="s">
        <v>412</v>
      </c>
      <c r="C64" s="152" t="s">
        <v>413</v>
      </c>
      <c r="D64" s="222" t="s">
        <v>3</v>
      </c>
      <c r="E64" s="281" t="s">
        <v>29</v>
      </c>
      <c r="F64" s="152" t="s">
        <v>412</v>
      </c>
      <c r="G64" s="152" t="s">
        <v>413</v>
      </c>
      <c r="H64" s="222" t="s">
        <v>3</v>
      </c>
      <c r="I64" s="281" t="s">
        <v>29</v>
      </c>
      <c r="J64" s="152" t="s">
        <v>412</v>
      </c>
      <c r="K64" s="152" t="s">
        <v>413</v>
      </c>
      <c r="L64" s="222" t="s">
        <v>3</v>
      </c>
      <c r="M64" s="162" t="s">
        <v>29</v>
      </c>
    </row>
    <row r="65" spans="1:14" x14ac:dyDescent="0.2">
      <c r="A65" s="662"/>
      <c r="B65" s="156"/>
      <c r="C65" s="156"/>
      <c r="D65" s="223" t="s">
        <v>4</v>
      </c>
      <c r="E65" s="156" t="s">
        <v>30</v>
      </c>
      <c r="F65" s="161"/>
      <c r="G65" s="161"/>
      <c r="H65" s="222" t="s">
        <v>4</v>
      </c>
      <c r="I65" s="156" t="s">
        <v>30</v>
      </c>
      <c r="J65" s="161"/>
      <c r="K65" s="203"/>
      <c r="L65" s="156" t="s">
        <v>4</v>
      </c>
      <c r="M65" s="156" t="s">
        <v>30</v>
      </c>
    </row>
    <row r="66" spans="1:14" ht="15.75" x14ac:dyDescent="0.2">
      <c r="A66" s="14" t="s">
        <v>23</v>
      </c>
      <c r="B66" s="329"/>
      <c r="C66" s="329"/>
      <c r="D66" s="326"/>
      <c r="E66" s="11"/>
      <c r="F66" s="328"/>
      <c r="G66" s="328"/>
      <c r="H66" s="326"/>
      <c r="I66" s="24"/>
      <c r="J66" s="159"/>
      <c r="K66" s="292"/>
      <c r="L66" s="402"/>
      <c r="M66" s="11"/>
    </row>
    <row r="67" spans="1:14" x14ac:dyDescent="0.2">
      <c r="A67" s="21" t="s">
        <v>9</v>
      </c>
      <c r="B67" s="44"/>
      <c r="C67" s="145"/>
      <c r="D67" s="166"/>
      <c r="E67" s="23"/>
      <c r="F67" s="211"/>
      <c r="G67" s="145"/>
      <c r="H67" s="166"/>
      <c r="I67" s="23"/>
      <c r="J67" s="145"/>
      <c r="K67" s="44"/>
      <c r="L67" s="231"/>
      <c r="M67" s="27"/>
    </row>
    <row r="68" spans="1:14" x14ac:dyDescent="0.2">
      <c r="A68" s="21" t="s">
        <v>10</v>
      </c>
      <c r="B68" s="268"/>
      <c r="C68" s="269"/>
      <c r="D68" s="166"/>
      <c r="E68" s="23"/>
      <c r="F68" s="268"/>
      <c r="G68" s="269"/>
      <c r="H68" s="166"/>
      <c r="I68" s="23"/>
      <c r="J68" s="145"/>
      <c r="K68" s="44"/>
      <c r="L68" s="231"/>
      <c r="M68" s="27"/>
    </row>
    <row r="69" spans="1:14" ht="15.75" x14ac:dyDescent="0.2">
      <c r="A69" s="272" t="s">
        <v>356</v>
      </c>
      <c r="B69" s="295"/>
      <c r="C69" s="295"/>
      <c r="D69" s="166"/>
      <c r="E69" s="23"/>
      <c r="F69" s="295"/>
      <c r="G69" s="295"/>
      <c r="H69" s="166"/>
      <c r="I69" s="23"/>
      <c r="J69" s="295"/>
      <c r="K69" s="295"/>
      <c r="L69" s="166"/>
      <c r="M69" s="23"/>
    </row>
    <row r="70" spans="1:14" x14ac:dyDescent="0.2">
      <c r="A70" s="272" t="s">
        <v>12</v>
      </c>
      <c r="B70" s="270"/>
      <c r="C70" s="271"/>
      <c r="D70" s="166"/>
      <c r="E70" s="23"/>
      <c r="F70" s="270"/>
      <c r="G70" s="271"/>
      <c r="H70" s="166"/>
      <c r="I70" s="23"/>
      <c r="J70" s="270"/>
      <c r="K70" s="271"/>
      <c r="L70" s="166"/>
      <c r="M70" s="23"/>
    </row>
    <row r="71" spans="1:14" x14ac:dyDescent="0.2">
      <c r="A71" s="272" t="s">
        <v>13</v>
      </c>
      <c r="B71" s="212"/>
      <c r="C71" s="266"/>
      <c r="D71" s="166"/>
      <c r="E71" s="23"/>
      <c r="F71" s="212"/>
      <c r="G71" s="266"/>
      <c r="H71" s="166"/>
      <c r="I71" s="23"/>
      <c r="J71" s="212"/>
      <c r="K71" s="266"/>
      <c r="L71" s="166"/>
      <c r="M71" s="23"/>
    </row>
    <row r="72" spans="1:14" ht="15.75" x14ac:dyDescent="0.2">
      <c r="A72" s="272" t="s">
        <v>357</v>
      </c>
      <c r="B72" s="295"/>
      <c r="C72" s="295"/>
      <c r="D72" s="166"/>
      <c r="E72" s="23"/>
      <c r="F72" s="295"/>
      <c r="G72" s="295"/>
      <c r="H72" s="166"/>
      <c r="I72" s="23"/>
      <c r="J72" s="295"/>
      <c r="K72" s="295"/>
      <c r="L72" s="166"/>
      <c r="M72" s="23"/>
    </row>
    <row r="73" spans="1:14" x14ac:dyDescent="0.2">
      <c r="A73" s="272" t="s">
        <v>12</v>
      </c>
      <c r="B73" s="212"/>
      <c r="C73" s="266"/>
      <c r="D73" s="166"/>
      <c r="E73" s="23"/>
      <c r="F73" s="212"/>
      <c r="G73" s="266"/>
      <c r="H73" s="166"/>
      <c r="I73" s="23"/>
      <c r="J73" s="212"/>
      <c r="K73" s="266"/>
      <c r="L73" s="166"/>
      <c r="M73" s="23"/>
    </row>
    <row r="74" spans="1:14" s="3" customFormat="1" x14ac:dyDescent="0.2">
      <c r="A74" s="272" t="s">
        <v>13</v>
      </c>
      <c r="B74" s="212"/>
      <c r="C74" s="266"/>
      <c r="D74" s="166"/>
      <c r="E74" s="23"/>
      <c r="F74" s="212"/>
      <c r="G74" s="266"/>
      <c r="H74" s="166"/>
      <c r="I74" s="23"/>
      <c r="J74" s="212"/>
      <c r="K74" s="266"/>
      <c r="L74" s="166"/>
      <c r="M74" s="23"/>
      <c r="N74" s="148"/>
    </row>
    <row r="75" spans="1:14" s="3" customFormat="1" x14ac:dyDescent="0.2">
      <c r="A75" s="21" t="s">
        <v>326</v>
      </c>
      <c r="B75" s="211"/>
      <c r="C75" s="145"/>
      <c r="D75" s="166"/>
      <c r="E75" s="23"/>
      <c r="F75" s="211"/>
      <c r="G75" s="145"/>
      <c r="H75" s="166"/>
      <c r="I75" s="23"/>
      <c r="J75" s="145"/>
      <c r="K75" s="44"/>
      <c r="L75" s="231"/>
      <c r="M75" s="27"/>
      <c r="N75" s="148"/>
    </row>
    <row r="76" spans="1:14" s="3" customFormat="1" x14ac:dyDescent="0.2">
      <c r="A76" s="21" t="s">
        <v>325</v>
      </c>
      <c r="B76" s="211"/>
      <c r="C76" s="145"/>
      <c r="D76" s="166"/>
      <c r="E76" s="23"/>
      <c r="F76" s="211"/>
      <c r="G76" s="145"/>
      <c r="H76" s="166"/>
      <c r="I76" s="23"/>
      <c r="J76" s="145"/>
      <c r="K76" s="44"/>
      <c r="L76" s="231"/>
      <c r="M76" s="27"/>
      <c r="N76" s="148"/>
    </row>
    <row r="77" spans="1:14" ht="15.75" x14ac:dyDescent="0.2">
      <c r="A77" s="21" t="s">
        <v>358</v>
      </c>
      <c r="B77" s="211"/>
      <c r="C77" s="211"/>
      <c r="D77" s="166"/>
      <c r="E77" s="23"/>
      <c r="F77" s="211"/>
      <c r="G77" s="145"/>
      <c r="H77" s="166"/>
      <c r="I77" s="23"/>
      <c r="J77" s="145"/>
      <c r="K77" s="44"/>
      <c r="L77" s="231"/>
      <c r="M77" s="27"/>
    </row>
    <row r="78" spans="1:14" x14ac:dyDescent="0.2">
      <c r="A78" s="21" t="s">
        <v>9</v>
      </c>
      <c r="B78" s="211"/>
      <c r="C78" s="145"/>
      <c r="D78" s="166"/>
      <c r="E78" s="23"/>
      <c r="F78" s="211"/>
      <c r="G78" s="145"/>
      <c r="H78" s="166"/>
      <c r="I78" s="23"/>
      <c r="J78" s="145"/>
      <c r="K78" s="44"/>
      <c r="L78" s="231"/>
      <c r="M78" s="27"/>
    </row>
    <row r="79" spans="1:14" x14ac:dyDescent="0.2">
      <c r="A79" s="38" t="s">
        <v>398</v>
      </c>
      <c r="B79" s="268"/>
      <c r="C79" s="269"/>
      <c r="D79" s="166"/>
      <c r="E79" s="23"/>
      <c r="F79" s="268"/>
      <c r="G79" s="269"/>
      <c r="H79" s="166"/>
      <c r="I79" s="23"/>
      <c r="J79" s="145"/>
      <c r="K79" s="44"/>
      <c r="L79" s="231"/>
      <c r="M79" s="27"/>
    </row>
    <row r="80" spans="1:14" ht="15.75" x14ac:dyDescent="0.2">
      <c r="A80" s="272" t="s">
        <v>356</v>
      </c>
      <c r="B80" s="295"/>
      <c r="C80" s="295"/>
      <c r="D80" s="166"/>
      <c r="E80" s="23"/>
      <c r="F80" s="295"/>
      <c r="G80" s="295"/>
      <c r="H80" s="166"/>
      <c r="I80" s="23"/>
      <c r="J80" s="295"/>
      <c r="K80" s="295"/>
      <c r="L80" s="166"/>
      <c r="M80" s="23"/>
    </row>
    <row r="81" spans="1:13" x14ac:dyDescent="0.2">
      <c r="A81" s="272" t="s">
        <v>12</v>
      </c>
      <c r="B81" s="295"/>
      <c r="C81" s="295"/>
      <c r="D81" s="166"/>
      <c r="E81" s="23"/>
      <c r="F81" s="270"/>
      <c r="G81" s="271"/>
      <c r="H81" s="166"/>
      <c r="I81" s="23"/>
      <c r="J81" s="270"/>
      <c r="K81" s="271"/>
      <c r="L81" s="166"/>
      <c r="M81" s="23"/>
    </row>
    <row r="82" spans="1:13" x14ac:dyDescent="0.2">
      <c r="A82" s="272" t="s">
        <v>13</v>
      </c>
      <c r="B82" s="295"/>
      <c r="C82" s="295"/>
      <c r="D82" s="166"/>
      <c r="E82" s="23"/>
      <c r="F82" s="212"/>
      <c r="G82" s="266"/>
      <c r="H82" s="166"/>
      <c r="I82" s="23"/>
      <c r="J82" s="212"/>
      <c r="K82" s="266"/>
      <c r="L82" s="166"/>
      <c r="M82" s="23"/>
    </row>
    <row r="83" spans="1:13" ht="15.75" x14ac:dyDescent="0.2">
      <c r="A83" s="272" t="s">
        <v>357</v>
      </c>
      <c r="B83" s="295"/>
      <c r="C83" s="295"/>
      <c r="D83" s="166"/>
      <c r="E83" s="23"/>
      <c r="F83" s="295"/>
      <c r="G83" s="295"/>
      <c r="H83" s="166"/>
      <c r="I83" s="23"/>
      <c r="J83" s="295"/>
      <c r="K83" s="295"/>
      <c r="L83" s="166"/>
      <c r="M83" s="23"/>
    </row>
    <row r="84" spans="1:13" x14ac:dyDescent="0.2">
      <c r="A84" s="272" t="s">
        <v>12</v>
      </c>
      <c r="B84" s="212"/>
      <c r="C84" s="266"/>
      <c r="D84" s="166"/>
      <c r="E84" s="23"/>
      <c r="F84" s="212"/>
      <c r="G84" s="266"/>
      <c r="H84" s="166"/>
      <c r="I84" s="23"/>
      <c r="J84" s="212"/>
      <c r="K84" s="266"/>
      <c r="L84" s="166"/>
      <c r="M84" s="23"/>
    </row>
    <row r="85" spans="1:13" x14ac:dyDescent="0.2">
      <c r="A85" s="272" t="s">
        <v>13</v>
      </c>
      <c r="B85" s="212"/>
      <c r="C85" s="266"/>
      <c r="D85" s="166"/>
      <c r="E85" s="23"/>
      <c r="F85" s="212"/>
      <c r="G85" s="266"/>
      <c r="H85" s="166"/>
      <c r="I85" s="23"/>
      <c r="J85" s="212"/>
      <c r="K85" s="266"/>
      <c r="L85" s="166"/>
      <c r="M85" s="23"/>
    </row>
    <row r="86" spans="1:13" ht="15.75" x14ac:dyDescent="0.2">
      <c r="A86" s="21" t="s">
        <v>359</v>
      </c>
      <c r="B86" s="211"/>
      <c r="C86" s="145"/>
      <c r="D86" s="166"/>
      <c r="E86" s="23"/>
      <c r="F86" s="211"/>
      <c r="G86" s="145"/>
      <c r="H86" s="166"/>
      <c r="I86" s="23"/>
      <c r="J86" s="145"/>
      <c r="K86" s="44"/>
      <c r="L86" s="231"/>
      <c r="M86" s="27"/>
    </row>
    <row r="87" spans="1:13" ht="15.75" x14ac:dyDescent="0.2">
      <c r="A87" s="13" t="s">
        <v>341</v>
      </c>
      <c r="B87" s="329"/>
      <c r="C87" s="329"/>
      <c r="D87" s="171"/>
      <c r="E87" s="24"/>
      <c r="F87" s="328"/>
      <c r="G87" s="328"/>
      <c r="H87" s="171"/>
      <c r="I87" s="24"/>
      <c r="J87" s="159"/>
      <c r="K87" s="213"/>
      <c r="L87" s="402"/>
      <c r="M87" s="11"/>
    </row>
    <row r="88" spans="1:13" x14ac:dyDescent="0.2">
      <c r="A88" s="21" t="s">
        <v>9</v>
      </c>
      <c r="B88" s="211"/>
      <c r="C88" s="145"/>
      <c r="D88" s="166"/>
      <c r="E88" s="23"/>
      <c r="F88" s="211"/>
      <c r="G88" s="145"/>
      <c r="H88" s="166"/>
      <c r="I88" s="23"/>
      <c r="J88" s="145"/>
      <c r="K88" s="44"/>
      <c r="L88" s="231"/>
      <c r="M88" s="27"/>
    </row>
    <row r="89" spans="1:13" x14ac:dyDescent="0.2">
      <c r="A89" s="21" t="s">
        <v>10</v>
      </c>
      <c r="B89" s="211"/>
      <c r="C89" s="145"/>
      <c r="D89" s="166"/>
      <c r="E89" s="23"/>
      <c r="F89" s="211"/>
      <c r="G89" s="145"/>
      <c r="H89" s="166"/>
      <c r="I89" s="23"/>
      <c r="J89" s="145"/>
      <c r="K89" s="44"/>
      <c r="L89" s="231"/>
      <c r="M89" s="27"/>
    </row>
    <row r="90" spans="1:13" ht="15.75" x14ac:dyDescent="0.2">
      <c r="A90" s="272" t="s">
        <v>356</v>
      </c>
      <c r="B90" s="295"/>
      <c r="C90" s="295"/>
      <c r="D90" s="166"/>
      <c r="E90" s="23"/>
      <c r="F90" s="295"/>
      <c r="G90" s="295"/>
      <c r="H90" s="166"/>
      <c r="I90" s="23"/>
      <c r="J90" s="295"/>
      <c r="K90" s="295"/>
      <c r="L90" s="166"/>
      <c r="M90" s="23"/>
    </row>
    <row r="91" spans="1:13" x14ac:dyDescent="0.2">
      <c r="A91" s="272" t="s">
        <v>12</v>
      </c>
      <c r="B91" s="295"/>
      <c r="C91" s="295"/>
      <c r="D91" s="166"/>
      <c r="E91" s="23"/>
      <c r="F91" s="270"/>
      <c r="G91" s="271"/>
      <c r="H91" s="166"/>
      <c r="I91" s="23"/>
      <c r="J91" s="270"/>
      <c r="K91" s="271"/>
      <c r="L91" s="166"/>
      <c r="M91" s="23"/>
    </row>
    <row r="92" spans="1:13" x14ac:dyDescent="0.2">
      <c r="A92" s="272" t="s">
        <v>13</v>
      </c>
      <c r="B92" s="295"/>
      <c r="C92" s="295"/>
      <c r="D92" s="166"/>
      <c r="E92" s="23"/>
      <c r="F92" s="212"/>
      <c r="G92" s="266"/>
      <c r="H92" s="166"/>
      <c r="I92" s="23"/>
      <c r="J92" s="212"/>
      <c r="K92" s="266"/>
      <c r="L92" s="166"/>
      <c r="M92" s="23"/>
    </row>
    <row r="93" spans="1:13" ht="15.75" x14ac:dyDescent="0.2">
      <c r="A93" s="272" t="s">
        <v>357</v>
      </c>
      <c r="B93" s="295"/>
      <c r="C93" s="295"/>
      <c r="D93" s="166"/>
      <c r="E93" s="23"/>
      <c r="F93" s="295"/>
      <c r="G93" s="295"/>
      <c r="H93" s="166"/>
      <c r="I93" s="23"/>
      <c r="J93" s="295"/>
      <c r="K93" s="295"/>
      <c r="L93" s="166"/>
      <c r="M93" s="23"/>
    </row>
    <row r="94" spans="1:13" x14ac:dyDescent="0.2">
      <c r="A94" s="272" t="s">
        <v>12</v>
      </c>
      <c r="B94" s="212"/>
      <c r="C94" s="266"/>
      <c r="D94" s="166"/>
      <c r="E94" s="23"/>
      <c r="F94" s="212"/>
      <c r="G94" s="266"/>
      <c r="H94" s="166"/>
      <c r="I94" s="23"/>
      <c r="J94" s="212"/>
      <c r="K94" s="266"/>
      <c r="L94" s="166"/>
      <c r="M94" s="23"/>
    </row>
    <row r="95" spans="1:13" x14ac:dyDescent="0.2">
      <c r="A95" s="272" t="s">
        <v>13</v>
      </c>
      <c r="B95" s="212"/>
      <c r="C95" s="266"/>
      <c r="D95" s="166"/>
      <c r="E95" s="23"/>
      <c r="F95" s="212"/>
      <c r="G95" s="266"/>
      <c r="H95" s="166"/>
      <c r="I95" s="23"/>
      <c r="J95" s="212"/>
      <c r="K95" s="266"/>
      <c r="L95" s="166"/>
      <c r="M95" s="23"/>
    </row>
    <row r="96" spans="1:13" x14ac:dyDescent="0.2">
      <c r="A96" s="21" t="s">
        <v>324</v>
      </c>
      <c r="B96" s="211"/>
      <c r="C96" s="145"/>
      <c r="D96" s="166"/>
      <c r="E96" s="23"/>
      <c r="F96" s="211"/>
      <c r="G96" s="145"/>
      <c r="H96" s="166"/>
      <c r="I96" s="23"/>
      <c r="J96" s="145"/>
      <c r="K96" s="44"/>
      <c r="L96" s="231"/>
      <c r="M96" s="27"/>
    </row>
    <row r="97" spans="1:13" x14ac:dyDescent="0.2">
      <c r="A97" s="21" t="s">
        <v>323</v>
      </c>
      <c r="B97" s="211"/>
      <c r="C97" s="145"/>
      <c r="D97" s="166"/>
      <c r="E97" s="23"/>
      <c r="F97" s="211"/>
      <c r="G97" s="145"/>
      <c r="H97" s="166"/>
      <c r="I97" s="23"/>
      <c r="J97" s="145"/>
      <c r="K97" s="44"/>
      <c r="L97" s="231"/>
      <c r="M97" s="27"/>
    </row>
    <row r="98" spans="1:13" ht="15.75" x14ac:dyDescent="0.2">
      <c r="A98" s="21" t="s">
        <v>358</v>
      </c>
      <c r="B98" s="211"/>
      <c r="C98" s="211"/>
      <c r="D98" s="166"/>
      <c r="E98" s="23"/>
      <c r="F98" s="268"/>
      <c r="G98" s="268"/>
      <c r="H98" s="166"/>
      <c r="I98" s="23"/>
      <c r="J98" s="145"/>
      <c r="K98" s="44"/>
      <c r="L98" s="231"/>
      <c r="M98" s="27"/>
    </row>
    <row r="99" spans="1:13" x14ac:dyDescent="0.2">
      <c r="A99" s="21" t="s">
        <v>9</v>
      </c>
      <c r="B99" s="268"/>
      <c r="C99" s="269"/>
      <c r="D99" s="166"/>
      <c r="E99" s="23"/>
      <c r="F99" s="211"/>
      <c r="G99" s="145"/>
      <c r="H99" s="166"/>
      <c r="I99" s="23"/>
      <c r="J99" s="145"/>
      <c r="K99" s="44"/>
      <c r="L99" s="231"/>
      <c r="M99" s="27"/>
    </row>
    <row r="100" spans="1:13" ht="15.75" x14ac:dyDescent="0.2">
      <c r="A100" s="38" t="s">
        <v>399</v>
      </c>
      <c r="B100" s="268"/>
      <c r="C100" s="269"/>
      <c r="D100" s="166"/>
      <c r="E100" s="23"/>
      <c r="F100" s="211"/>
      <c r="G100" s="211"/>
      <c r="H100" s="166"/>
      <c r="I100" s="23"/>
      <c r="J100" s="145"/>
      <c r="K100" s="44"/>
      <c r="L100" s="231"/>
      <c r="M100" s="27"/>
    </row>
    <row r="101" spans="1:13" ht="15.75" x14ac:dyDescent="0.2">
      <c r="A101" s="38" t="s">
        <v>400</v>
      </c>
      <c r="B101" s="268"/>
      <c r="C101" s="268"/>
      <c r="D101" s="166"/>
      <c r="E101" s="23"/>
      <c r="F101" s="268"/>
      <c r="G101" s="268"/>
      <c r="H101" s="166"/>
      <c r="I101" s="23"/>
      <c r="J101" s="145"/>
      <c r="K101" s="44"/>
      <c r="L101" s="231"/>
      <c r="M101" s="27"/>
    </row>
    <row r="102" spans="1:13" ht="15.75" x14ac:dyDescent="0.2">
      <c r="A102" s="272" t="s">
        <v>356</v>
      </c>
      <c r="B102" s="295"/>
      <c r="C102" s="295"/>
      <c r="D102" s="166"/>
      <c r="E102" s="23"/>
      <c r="F102" s="295"/>
      <c r="G102" s="295"/>
      <c r="H102" s="166"/>
      <c r="I102" s="23"/>
      <c r="J102" s="295"/>
      <c r="K102" s="295"/>
      <c r="L102" s="166"/>
      <c r="M102" s="23"/>
    </row>
    <row r="103" spans="1:13" x14ac:dyDescent="0.2">
      <c r="A103" s="272" t="s">
        <v>12</v>
      </c>
      <c r="B103" s="295"/>
      <c r="C103" s="295"/>
      <c r="D103" s="166"/>
      <c r="E103" s="23"/>
      <c r="F103" s="270"/>
      <c r="G103" s="271"/>
      <c r="H103" s="166"/>
      <c r="I103" s="23"/>
      <c r="J103" s="270"/>
      <c r="K103" s="271"/>
      <c r="L103" s="166"/>
      <c r="M103" s="23"/>
    </row>
    <row r="104" spans="1:13" x14ac:dyDescent="0.2">
      <c r="A104" s="272" t="s">
        <v>13</v>
      </c>
      <c r="B104" s="295"/>
      <c r="C104" s="295"/>
      <c r="D104" s="166"/>
      <c r="E104" s="23"/>
      <c r="F104" s="212"/>
      <c r="G104" s="266"/>
      <c r="H104" s="166"/>
      <c r="I104" s="23"/>
      <c r="J104" s="212"/>
      <c r="K104" s="266"/>
      <c r="L104" s="166"/>
      <c r="M104" s="23"/>
    </row>
    <row r="105" spans="1:13" ht="15.75" x14ac:dyDescent="0.2">
      <c r="A105" s="272" t="s">
        <v>357</v>
      </c>
      <c r="B105" s="295"/>
      <c r="C105" s="295"/>
      <c r="D105" s="166"/>
      <c r="E105" s="23"/>
      <c r="F105" s="295"/>
      <c r="G105" s="295"/>
      <c r="H105" s="166"/>
      <c r="I105" s="23"/>
      <c r="J105" s="295"/>
      <c r="K105" s="295"/>
      <c r="L105" s="166"/>
      <c r="M105" s="23"/>
    </row>
    <row r="106" spans="1:13" x14ac:dyDescent="0.2">
      <c r="A106" s="272" t="s">
        <v>12</v>
      </c>
      <c r="B106" s="212"/>
      <c r="C106" s="266"/>
      <c r="D106" s="166"/>
      <c r="E106" s="23"/>
      <c r="F106" s="212"/>
      <c r="G106" s="266"/>
      <c r="H106" s="166"/>
      <c r="I106" s="23"/>
      <c r="J106" s="212"/>
      <c r="K106" s="266"/>
      <c r="L106" s="166"/>
      <c r="M106" s="23"/>
    </row>
    <row r="107" spans="1:13" x14ac:dyDescent="0.2">
      <c r="A107" s="272" t="s">
        <v>13</v>
      </c>
      <c r="B107" s="212"/>
      <c r="C107" s="266"/>
      <c r="D107" s="166"/>
      <c r="E107" s="23"/>
      <c r="F107" s="212"/>
      <c r="G107" s="266"/>
      <c r="H107" s="166"/>
      <c r="I107" s="23"/>
      <c r="J107" s="212"/>
      <c r="K107" s="266"/>
      <c r="L107" s="166"/>
      <c r="M107" s="23"/>
    </row>
    <row r="108" spans="1:13" ht="15.75" x14ac:dyDescent="0.2">
      <c r="A108" s="21" t="s">
        <v>359</v>
      </c>
      <c r="B108" s="211"/>
      <c r="C108" s="145"/>
      <c r="D108" s="166"/>
      <c r="E108" s="23"/>
      <c r="F108" s="211"/>
      <c r="G108" s="145"/>
      <c r="H108" s="166"/>
      <c r="I108" s="23"/>
      <c r="J108" s="145"/>
      <c r="K108" s="44"/>
      <c r="L108" s="231"/>
      <c r="M108" s="27"/>
    </row>
    <row r="109" spans="1:13" ht="15.75" x14ac:dyDescent="0.2">
      <c r="A109" s="21" t="s">
        <v>360</v>
      </c>
      <c r="B109" s="211"/>
      <c r="C109" s="211"/>
      <c r="D109" s="166"/>
      <c r="E109" s="23"/>
      <c r="F109" s="211"/>
      <c r="G109" s="211"/>
      <c r="H109" s="166"/>
      <c r="I109" s="23"/>
      <c r="J109" s="145"/>
      <c r="K109" s="44"/>
      <c r="L109" s="231"/>
      <c r="M109" s="27"/>
    </row>
    <row r="110" spans="1:13" ht="15.75" x14ac:dyDescent="0.2">
      <c r="A110" s="38" t="s">
        <v>416</v>
      </c>
      <c r="B110" s="211"/>
      <c r="C110" s="211"/>
      <c r="D110" s="166"/>
      <c r="E110" s="23"/>
      <c r="F110" s="211"/>
      <c r="G110" s="211"/>
      <c r="H110" s="166"/>
      <c r="I110" s="23"/>
      <c r="J110" s="145"/>
      <c r="K110" s="44"/>
      <c r="L110" s="231"/>
      <c r="M110" s="27"/>
    </row>
    <row r="111" spans="1:13" ht="15.75" x14ac:dyDescent="0.2">
      <c r="A111" s="21" t="s">
        <v>362</v>
      </c>
      <c r="B111" s="211"/>
      <c r="C111" s="211"/>
      <c r="D111" s="166"/>
      <c r="E111" s="23"/>
      <c r="F111" s="211"/>
      <c r="G111" s="211"/>
      <c r="H111" s="166"/>
      <c r="I111" s="23"/>
      <c r="J111" s="145"/>
      <c r="K111" s="44"/>
      <c r="L111" s="231"/>
      <c r="M111" s="27"/>
    </row>
    <row r="112" spans="1:13" ht="15.75" x14ac:dyDescent="0.2">
      <c r="A112" s="13" t="s">
        <v>342</v>
      </c>
      <c r="B112" s="284"/>
      <c r="C112" s="159"/>
      <c r="D112" s="171"/>
      <c r="E112" s="24"/>
      <c r="F112" s="284"/>
      <c r="G112" s="159"/>
      <c r="H112" s="171"/>
      <c r="I112" s="24"/>
      <c r="J112" s="159"/>
      <c r="K112" s="213"/>
      <c r="L112" s="402"/>
      <c r="M112" s="11"/>
    </row>
    <row r="113" spans="1:14" x14ac:dyDescent="0.2">
      <c r="A113" s="21" t="s">
        <v>9</v>
      </c>
      <c r="B113" s="211"/>
      <c r="C113" s="145"/>
      <c r="D113" s="166"/>
      <c r="E113" s="23"/>
      <c r="F113" s="211"/>
      <c r="G113" s="145"/>
      <c r="H113" s="166"/>
      <c r="I113" s="23"/>
      <c r="J113" s="145"/>
      <c r="K113" s="44"/>
      <c r="L113" s="231"/>
      <c r="M113" s="27"/>
    </row>
    <row r="114" spans="1:14" x14ac:dyDescent="0.2">
      <c r="A114" s="21" t="s">
        <v>10</v>
      </c>
      <c r="B114" s="211"/>
      <c r="C114" s="145"/>
      <c r="D114" s="166"/>
      <c r="E114" s="23"/>
      <c r="F114" s="211"/>
      <c r="G114" s="145"/>
      <c r="H114" s="166"/>
      <c r="I114" s="23"/>
      <c r="J114" s="145"/>
      <c r="K114" s="44"/>
      <c r="L114" s="231"/>
      <c r="M114" s="27"/>
    </row>
    <row r="115" spans="1:14" x14ac:dyDescent="0.2">
      <c r="A115" s="21" t="s">
        <v>26</v>
      </c>
      <c r="B115" s="211"/>
      <c r="C115" s="145"/>
      <c r="D115" s="166"/>
      <c r="E115" s="23"/>
      <c r="F115" s="211"/>
      <c r="G115" s="145"/>
      <c r="H115" s="166"/>
      <c r="I115" s="23"/>
      <c r="J115" s="145"/>
      <c r="K115" s="44"/>
      <c r="L115" s="231"/>
      <c r="M115" s="27"/>
    </row>
    <row r="116" spans="1:14" x14ac:dyDescent="0.2">
      <c r="A116" s="272" t="s">
        <v>15</v>
      </c>
      <c r="B116" s="258"/>
      <c r="C116" s="258"/>
      <c r="D116" s="166"/>
      <c r="E116" s="23"/>
      <c r="F116" s="665"/>
      <c r="G116" s="258"/>
      <c r="H116" s="166"/>
      <c r="I116" s="23"/>
      <c r="J116" s="667"/>
      <c r="K116" s="267"/>
      <c r="L116" s="166"/>
      <c r="M116" s="23"/>
    </row>
    <row r="117" spans="1:14" ht="15.75" x14ac:dyDescent="0.2">
      <c r="A117" s="21" t="s">
        <v>363</v>
      </c>
      <c r="B117" s="211"/>
      <c r="C117" s="211"/>
      <c r="D117" s="166"/>
      <c r="E117" s="23"/>
      <c r="F117" s="211"/>
      <c r="G117" s="211"/>
      <c r="H117" s="166"/>
      <c r="I117" s="23"/>
      <c r="J117" s="145"/>
      <c r="K117" s="44"/>
      <c r="L117" s="231"/>
      <c r="M117" s="27"/>
    </row>
    <row r="118" spans="1:14" ht="15.75" x14ac:dyDescent="0.2">
      <c r="A118" s="21" t="s">
        <v>364</v>
      </c>
      <c r="B118" s="211"/>
      <c r="C118" s="211"/>
      <c r="D118" s="166"/>
      <c r="E118" s="23"/>
      <c r="F118" s="211"/>
      <c r="G118" s="211"/>
      <c r="H118" s="166"/>
      <c r="I118" s="23"/>
      <c r="J118" s="145"/>
      <c r="K118" s="44"/>
      <c r="L118" s="231"/>
      <c r="M118" s="27"/>
    </row>
    <row r="119" spans="1:14" ht="15.75" x14ac:dyDescent="0.2">
      <c r="A119" s="21" t="s">
        <v>362</v>
      </c>
      <c r="B119" s="211"/>
      <c r="C119" s="211"/>
      <c r="D119" s="166"/>
      <c r="E119" s="23"/>
      <c r="F119" s="211"/>
      <c r="G119" s="211"/>
      <c r="H119" s="166"/>
      <c r="I119" s="23"/>
      <c r="J119" s="145"/>
      <c r="K119" s="44"/>
      <c r="L119" s="231"/>
      <c r="M119" s="27"/>
    </row>
    <row r="120" spans="1:14" ht="15.75" x14ac:dyDescent="0.2">
      <c r="A120" s="13" t="s">
        <v>343</v>
      </c>
      <c r="B120" s="284"/>
      <c r="C120" s="159"/>
      <c r="D120" s="171"/>
      <c r="E120" s="24"/>
      <c r="F120" s="284"/>
      <c r="G120" s="159"/>
      <c r="H120" s="171"/>
      <c r="I120" s="24"/>
      <c r="J120" s="159"/>
      <c r="K120" s="213"/>
      <c r="L120" s="402"/>
      <c r="M120" s="11"/>
    </row>
    <row r="121" spans="1:14" x14ac:dyDescent="0.2">
      <c r="A121" s="21" t="s">
        <v>9</v>
      </c>
      <c r="B121" s="211"/>
      <c r="C121" s="145"/>
      <c r="D121" s="166"/>
      <c r="E121" s="23"/>
      <c r="F121" s="211"/>
      <c r="G121" s="145"/>
      <c r="H121" s="166"/>
      <c r="I121" s="23"/>
      <c r="J121" s="145"/>
      <c r="K121" s="44"/>
      <c r="L121" s="231"/>
      <c r="M121" s="27"/>
    </row>
    <row r="122" spans="1:14" x14ac:dyDescent="0.2">
      <c r="A122" s="21" t="s">
        <v>10</v>
      </c>
      <c r="B122" s="211"/>
      <c r="C122" s="145"/>
      <c r="D122" s="166"/>
      <c r="E122" s="23"/>
      <c r="F122" s="211"/>
      <c r="G122" s="145"/>
      <c r="H122" s="166"/>
      <c r="I122" s="23"/>
      <c r="J122" s="145"/>
      <c r="K122" s="44"/>
      <c r="L122" s="231"/>
      <c r="M122" s="27"/>
    </row>
    <row r="123" spans="1:14" x14ac:dyDescent="0.2">
      <c r="A123" s="21" t="s">
        <v>26</v>
      </c>
      <c r="B123" s="211"/>
      <c r="C123" s="145"/>
      <c r="D123" s="166"/>
      <c r="E123" s="23"/>
      <c r="F123" s="211"/>
      <c r="G123" s="145"/>
      <c r="H123" s="166"/>
      <c r="I123" s="23"/>
      <c r="J123" s="145"/>
      <c r="K123" s="44"/>
      <c r="L123" s="231"/>
      <c r="M123" s="27"/>
    </row>
    <row r="124" spans="1:14" x14ac:dyDescent="0.2">
      <c r="A124" s="272" t="s">
        <v>14</v>
      </c>
      <c r="B124" s="258"/>
      <c r="C124" s="258"/>
      <c r="D124" s="166"/>
      <c r="E124" s="23"/>
      <c r="F124" s="665"/>
      <c r="G124" s="258"/>
      <c r="H124" s="166"/>
      <c r="I124" s="23"/>
      <c r="J124" s="667"/>
      <c r="K124" s="267"/>
      <c r="L124" s="166"/>
      <c r="M124" s="23"/>
    </row>
    <row r="125" spans="1:14" ht="15.75" x14ac:dyDescent="0.2">
      <c r="A125" s="21" t="s">
        <v>369</v>
      </c>
      <c r="B125" s="211"/>
      <c r="C125" s="211"/>
      <c r="D125" s="166"/>
      <c r="E125" s="23"/>
      <c r="F125" s="211"/>
      <c r="G125" s="211"/>
      <c r="H125" s="166"/>
      <c r="I125" s="23"/>
      <c r="J125" s="145"/>
      <c r="K125" s="44"/>
      <c r="L125" s="231"/>
      <c r="M125" s="27"/>
    </row>
    <row r="126" spans="1:14" ht="15.75" x14ac:dyDescent="0.2">
      <c r="A126" s="21" t="s">
        <v>361</v>
      </c>
      <c r="B126" s="211"/>
      <c r="C126" s="211"/>
      <c r="D126" s="166"/>
      <c r="E126" s="23"/>
      <c r="F126" s="211"/>
      <c r="G126" s="211"/>
      <c r="H126" s="166"/>
      <c r="I126" s="23"/>
      <c r="J126" s="145"/>
      <c r="K126" s="44"/>
      <c r="L126" s="231"/>
      <c r="M126" s="27"/>
    </row>
    <row r="127" spans="1:14" ht="15.75" x14ac:dyDescent="0.2">
      <c r="A127" s="10" t="s">
        <v>362</v>
      </c>
      <c r="B127" s="45"/>
      <c r="C127" s="45"/>
      <c r="D127" s="167"/>
      <c r="E127" s="22"/>
      <c r="F127" s="666"/>
      <c r="G127" s="45"/>
      <c r="H127" s="167"/>
      <c r="I127" s="22"/>
      <c r="J127" s="668"/>
      <c r="K127" s="45"/>
      <c r="L127" s="232"/>
      <c r="M127" s="22"/>
    </row>
    <row r="128" spans="1:14" x14ac:dyDescent="0.2">
      <c r="A128" s="155"/>
      <c r="L128" s="26"/>
      <c r="M128" s="26"/>
      <c r="N128" s="26"/>
    </row>
    <row r="129" spans="1:14" x14ac:dyDescent="0.2">
      <c r="L129" s="26"/>
      <c r="M129" s="26"/>
      <c r="N129" s="26"/>
    </row>
    <row r="130" spans="1:14" ht="15.75" x14ac:dyDescent="0.25">
      <c r="A130" s="165" t="s">
        <v>27</v>
      </c>
    </row>
    <row r="131" spans="1:14" ht="15.75" x14ac:dyDescent="0.25">
      <c r="B131" s="694"/>
      <c r="C131" s="694"/>
      <c r="D131" s="694"/>
      <c r="E131" s="634"/>
      <c r="F131" s="694"/>
      <c r="G131" s="694"/>
      <c r="H131" s="694"/>
      <c r="I131" s="634"/>
      <c r="J131" s="694"/>
      <c r="K131" s="694"/>
      <c r="L131" s="694"/>
      <c r="M131" s="634"/>
    </row>
    <row r="132" spans="1:14" s="3" customFormat="1" x14ac:dyDescent="0.2">
      <c r="A132" s="144"/>
      <c r="B132" s="695" t="s">
        <v>0</v>
      </c>
      <c r="C132" s="696"/>
      <c r="D132" s="696"/>
      <c r="E132" s="632"/>
      <c r="F132" s="695" t="s">
        <v>1</v>
      </c>
      <c r="G132" s="696"/>
      <c r="H132" s="696"/>
      <c r="I132" s="633"/>
      <c r="J132" s="695" t="s">
        <v>2</v>
      </c>
      <c r="K132" s="696"/>
      <c r="L132" s="696"/>
      <c r="M132" s="633"/>
      <c r="N132" s="148"/>
    </row>
    <row r="133" spans="1:14" s="3" customFormat="1" x14ac:dyDescent="0.2">
      <c r="A133" s="140"/>
      <c r="B133" s="152" t="s">
        <v>412</v>
      </c>
      <c r="C133" s="152" t="s">
        <v>413</v>
      </c>
      <c r="D133" s="222" t="s">
        <v>3</v>
      </c>
      <c r="E133" s="281" t="s">
        <v>29</v>
      </c>
      <c r="F133" s="152" t="s">
        <v>412</v>
      </c>
      <c r="G133" s="152" t="s">
        <v>413</v>
      </c>
      <c r="H133" s="203" t="s">
        <v>3</v>
      </c>
      <c r="I133" s="162" t="s">
        <v>29</v>
      </c>
      <c r="J133" s="152" t="s">
        <v>412</v>
      </c>
      <c r="K133" s="152" t="s">
        <v>413</v>
      </c>
      <c r="L133" s="223" t="s">
        <v>3</v>
      </c>
      <c r="M133" s="162" t="s">
        <v>29</v>
      </c>
      <c r="N133" s="148"/>
    </row>
    <row r="134" spans="1:14" s="3" customFormat="1" x14ac:dyDescent="0.2">
      <c r="A134" s="662"/>
      <c r="B134" s="156"/>
      <c r="C134" s="156"/>
      <c r="D134" s="223" t="s">
        <v>4</v>
      </c>
      <c r="E134" s="156" t="s">
        <v>30</v>
      </c>
      <c r="F134" s="161"/>
      <c r="G134" s="161"/>
      <c r="H134" s="203" t="s">
        <v>4</v>
      </c>
      <c r="I134" s="156" t="s">
        <v>30</v>
      </c>
      <c r="J134" s="156"/>
      <c r="K134" s="156"/>
      <c r="L134" s="150" t="s">
        <v>4</v>
      </c>
      <c r="M134" s="156" t="s">
        <v>30</v>
      </c>
      <c r="N134" s="148"/>
    </row>
    <row r="135" spans="1:14" s="3" customFormat="1" ht="15.75" x14ac:dyDescent="0.2">
      <c r="A135" s="14" t="s">
        <v>365</v>
      </c>
      <c r="B135" s="213"/>
      <c r="C135" s="285"/>
      <c r="D135" s="326"/>
      <c r="E135" s="11"/>
      <c r="F135" s="292"/>
      <c r="G135" s="293"/>
      <c r="H135" s="405"/>
      <c r="I135" s="24"/>
      <c r="J135" s="294"/>
      <c r="K135" s="294"/>
      <c r="L135" s="401"/>
      <c r="M135" s="11"/>
      <c r="N135" s="148"/>
    </row>
    <row r="136" spans="1:14" s="3" customFormat="1" ht="15.75" x14ac:dyDescent="0.2">
      <c r="A136" s="13" t="s">
        <v>370</v>
      </c>
      <c r="B136" s="213"/>
      <c r="C136" s="285"/>
      <c r="D136" s="171"/>
      <c r="E136" s="11"/>
      <c r="F136" s="213"/>
      <c r="G136" s="285"/>
      <c r="H136" s="406"/>
      <c r="I136" s="24"/>
      <c r="J136" s="284"/>
      <c r="K136" s="284"/>
      <c r="L136" s="402"/>
      <c r="M136" s="11"/>
      <c r="N136" s="148"/>
    </row>
    <row r="137" spans="1:14" s="3" customFormat="1" ht="15.75" x14ac:dyDescent="0.2">
      <c r="A137" s="13" t="s">
        <v>367</v>
      </c>
      <c r="B137" s="213"/>
      <c r="C137" s="285"/>
      <c r="D137" s="171"/>
      <c r="E137" s="11"/>
      <c r="F137" s="213"/>
      <c r="G137" s="285"/>
      <c r="H137" s="406"/>
      <c r="I137" s="24"/>
      <c r="J137" s="284"/>
      <c r="K137" s="284"/>
      <c r="L137" s="402"/>
      <c r="M137" s="11"/>
      <c r="N137" s="148"/>
    </row>
    <row r="138" spans="1:14" s="3" customFormat="1" ht="15.75" x14ac:dyDescent="0.2">
      <c r="A138" s="41" t="s">
        <v>368</v>
      </c>
      <c r="B138" s="253"/>
      <c r="C138" s="291"/>
      <c r="D138" s="169"/>
      <c r="E138" s="9"/>
      <c r="F138" s="253"/>
      <c r="G138" s="291"/>
      <c r="H138" s="407"/>
      <c r="I138" s="36"/>
      <c r="J138" s="290"/>
      <c r="K138" s="290"/>
      <c r="L138" s="403"/>
      <c r="M138" s="36"/>
      <c r="N138" s="148"/>
    </row>
    <row r="139" spans="1:14" s="3" customFormat="1"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68"/>
      <c r="B141" s="33"/>
      <c r="C141" s="33"/>
      <c r="D141" s="159"/>
      <c r="E141" s="159"/>
      <c r="F141" s="33"/>
      <c r="G141" s="33"/>
      <c r="H141" s="159"/>
      <c r="I141" s="159"/>
      <c r="J141" s="33"/>
      <c r="K141" s="33"/>
      <c r="L141" s="159"/>
      <c r="M141" s="159"/>
      <c r="N141" s="148"/>
    </row>
    <row r="142" spans="1:14" x14ac:dyDescent="0.2">
      <c r="A142" s="146"/>
      <c r="B142" s="146"/>
      <c r="C142" s="146"/>
      <c r="D142" s="146"/>
      <c r="E142" s="146"/>
      <c r="F142" s="146"/>
      <c r="G142" s="146"/>
      <c r="H142" s="146"/>
      <c r="I142" s="146"/>
      <c r="J142" s="146"/>
      <c r="K142" s="146"/>
      <c r="L142" s="146"/>
      <c r="M142" s="146"/>
      <c r="N142" s="146"/>
    </row>
    <row r="143" spans="1:14" ht="15.75" x14ac:dyDescent="0.25">
      <c r="B143" s="142"/>
      <c r="C143" s="142"/>
      <c r="D143" s="142"/>
      <c r="E143" s="142"/>
      <c r="F143" s="142"/>
      <c r="G143" s="142"/>
      <c r="H143" s="142"/>
      <c r="I143" s="142"/>
      <c r="J143" s="142"/>
      <c r="K143" s="142"/>
      <c r="L143" s="142"/>
      <c r="M143" s="142"/>
      <c r="N143" s="142"/>
    </row>
    <row r="144" spans="1:14" ht="15.75" x14ac:dyDescent="0.25">
      <c r="B144" s="157"/>
      <c r="C144" s="157"/>
      <c r="D144" s="157"/>
      <c r="E144" s="157"/>
      <c r="F144" s="157"/>
      <c r="G144" s="157"/>
      <c r="H144" s="157"/>
      <c r="I144" s="157"/>
      <c r="J144" s="157"/>
      <c r="K144" s="157"/>
      <c r="L144" s="157"/>
      <c r="M144" s="157"/>
      <c r="N144" s="157"/>
    </row>
    <row r="145" spans="2:14" ht="15.75" x14ac:dyDescent="0.25">
      <c r="B145" s="157"/>
      <c r="C145" s="157"/>
      <c r="D145" s="157"/>
      <c r="E145" s="157"/>
      <c r="F145" s="157"/>
      <c r="G145" s="157"/>
      <c r="H145" s="157"/>
      <c r="I145" s="157"/>
      <c r="J145" s="157"/>
      <c r="K145" s="157"/>
      <c r="L145" s="157"/>
      <c r="M145" s="157"/>
      <c r="N145" s="157"/>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1:D131"/>
    <mergeCell ref="F131:H131"/>
    <mergeCell ref="J131:L131"/>
    <mergeCell ref="B132:D132"/>
    <mergeCell ref="F132:H132"/>
    <mergeCell ref="J132:L132"/>
  </mergeCells>
  <conditionalFormatting sqref="B116">
    <cfRule type="expression" dxfId="584" priority="42">
      <formula>kvartal &lt; 4</formula>
    </cfRule>
  </conditionalFormatting>
  <conditionalFormatting sqref="C116">
    <cfRule type="expression" dxfId="583" priority="41">
      <formula>kvartal &lt; 4</formula>
    </cfRule>
  </conditionalFormatting>
  <conditionalFormatting sqref="B124">
    <cfRule type="expression" dxfId="582" priority="40">
      <formula>kvartal &lt; 4</formula>
    </cfRule>
  </conditionalFormatting>
  <conditionalFormatting sqref="C124">
    <cfRule type="expression" dxfId="581" priority="39">
      <formula>kvartal &lt; 4</formula>
    </cfRule>
  </conditionalFormatting>
  <conditionalFormatting sqref="F116">
    <cfRule type="expression" dxfId="580" priority="28">
      <formula>kvartal &lt; 4</formula>
    </cfRule>
  </conditionalFormatting>
  <conditionalFormatting sqref="G116">
    <cfRule type="expression" dxfId="579" priority="27">
      <formula>kvartal &lt; 4</formula>
    </cfRule>
  </conditionalFormatting>
  <conditionalFormatting sqref="F124:G124">
    <cfRule type="expression" dxfId="578" priority="26">
      <formula>kvartal &lt; 4</formula>
    </cfRule>
  </conditionalFormatting>
  <conditionalFormatting sqref="J116:K116">
    <cfRule type="expression" dxfId="577" priority="9">
      <formula>kvartal &lt; 4</formula>
    </cfRule>
  </conditionalFormatting>
  <conditionalFormatting sqref="J124:K124">
    <cfRule type="expression" dxfId="576" priority="8">
      <formula>kvartal &lt; 4</formula>
    </cfRule>
  </conditionalFormatting>
  <conditionalFormatting sqref="A50:A52">
    <cfRule type="expression" dxfId="575" priority="7">
      <formula>kvartal &lt; 4</formula>
    </cfRule>
  </conditionalFormatting>
  <conditionalFormatting sqref="A69:A74">
    <cfRule type="expression" dxfId="574" priority="6">
      <formula>kvartal &lt; 4</formula>
    </cfRule>
  </conditionalFormatting>
  <conditionalFormatting sqref="A80:A85">
    <cfRule type="expression" dxfId="573" priority="5">
      <formula>kvartal &lt; 4</formula>
    </cfRule>
  </conditionalFormatting>
  <conditionalFormatting sqref="A90:A95">
    <cfRule type="expression" dxfId="572" priority="4">
      <formula>kvartal &lt; 4</formula>
    </cfRule>
  </conditionalFormatting>
  <conditionalFormatting sqref="A102:A107">
    <cfRule type="expression" dxfId="571" priority="3">
      <formula>kvartal &lt; 4</formula>
    </cfRule>
  </conditionalFormatting>
  <conditionalFormatting sqref="A116">
    <cfRule type="expression" dxfId="570" priority="2">
      <formula>kvartal &lt; 4</formula>
    </cfRule>
  </conditionalFormatting>
  <conditionalFormatting sqref="A124">
    <cfRule type="expression" dxfId="569" priority="1">
      <formula>kvartal &lt; 4</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12"/>
  <dimension ref="A1:N145"/>
  <sheetViews>
    <sheetView showGridLines="0" zoomScaleNormal="100" workbookViewId="0">
      <pane xSplit="1" topLeftCell="B1" activePane="topRight" state="frozen"/>
      <selection activeCell="A111" sqref="A111"/>
      <selection pane="topRight" activeCell="F16" sqref="F16"/>
    </sheetView>
  </sheetViews>
  <sheetFormatPr baseColWidth="10" defaultColWidth="11.42578125" defaultRowHeight="12.75" x14ac:dyDescent="0.2"/>
  <cols>
    <col min="1" max="1" width="41.57031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134</v>
      </c>
      <c r="B1" s="663"/>
      <c r="C1" s="225" t="s">
        <v>378</v>
      </c>
      <c r="D1" s="26"/>
      <c r="E1" s="26"/>
      <c r="F1" s="26"/>
      <c r="G1" s="26"/>
      <c r="H1" s="26"/>
      <c r="I1" s="26"/>
      <c r="J1" s="26"/>
      <c r="K1" s="26"/>
      <c r="L1" s="26"/>
      <c r="M1" s="26"/>
    </row>
    <row r="2" spans="1:14" ht="15.75" x14ac:dyDescent="0.25">
      <c r="A2" s="165" t="s">
        <v>28</v>
      </c>
      <c r="B2" s="335"/>
      <c r="C2" s="335"/>
      <c r="D2" s="335"/>
      <c r="E2" s="335"/>
      <c r="F2" s="335"/>
      <c r="G2" s="335"/>
      <c r="H2" s="335"/>
      <c r="I2" s="335"/>
      <c r="J2" s="335"/>
      <c r="K2" s="335"/>
      <c r="L2" s="335"/>
      <c r="M2" s="335"/>
    </row>
    <row r="3" spans="1:14" ht="15.75" x14ac:dyDescent="0.25">
      <c r="A3" s="163"/>
      <c r="B3" s="335"/>
      <c r="C3" s="335"/>
      <c r="D3" s="335"/>
      <c r="E3" s="335"/>
      <c r="F3" s="335"/>
      <c r="G3" s="335"/>
      <c r="H3" s="335"/>
      <c r="I3" s="335"/>
      <c r="J3" s="335"/>
      <c r="K3" s="335"/>
      <c r="L3" s="335"/>
      <c r="M3" s="335"/>
    </row>
    <row r="4" spans="1:14" x14ac:dyDescent="0.2">
      <c r="A4" s="144"/>
      <c r="B4" s="695" t="s">
        <v>0</v>
      </c>
      <c r="C4" s="696"/>
      <c r="D4" s="696"/>
      <c r="E4" s="332"/>
      <c r="F4" s="695" t="s">
        <v>1</v>
      </c>
      <c r="G4" s="696"/>
      <c r="H4" s="696"/>
      <c r="I4" s="333"/>
      <c r="J4" s="695" t="s">
        <v>2</v>
      </c>
      <c r="K4" s="696"/>
      <c r="L4" s="696"/>
      <c r="M4" s="333"/>
    </row>
    <row r="5" spans="1:14" x14ac:dyDescent="0.2">
      <c r="A5" s="158"/>
      <c r="B5" s="152" t="s">
        <v>412</v>
      </c>
      <c r="C5" s="152" t="s">
        <v>413</v>
      </c>
      <c r="D5" s="222" t="s">
        <v>3</v>
      </c>
      <c r="E5" s="281" t="s">
        <v>29</v>
      </c>
      <c r="F5" s="152" t="s">
        <v>412</v>
      </c>
      <c r="G5" s="152" t="s">
        <v>413</v>
      </c>
      <c r="H5" s="222" t="s">
        <v>3</v>
      </c>
      <c r="I5" s="281" t="s">
        <v>29</v>
      </c>
      <c r="J5" s="152" t="s">
        <v>412</v>
      </c>
      <c r="K5" s="152" t="s">
        <v>413</v>
      </c>
      <c r="L5" s="222" t="s">
        <v>3</v>
      </c>
      <c r="M5" s="162" t="s">
        <v>29</v>
      </c>
    </row>
    <row r="6" spans="1:14" x14ac:dyDescent="0.2">
      <c r="A6" s="661"/>
      <c r="B6" s="156"/>
      <c r="C6" s="156"/>
      <c r="D6" s="223" t="s">
        <v>4</v>
      </c>
      <c r="E6" s="156" t="s">
        <v>30</v>
      </c>
      <c r="F6" s="161"/>
      <c r="G6" s="161"/>
      <c r="H6" s="222" t="s">
        <v>4</v>
      </c>
      <c r="I6" s="156" t="s">
        <v>30</v>
      </c>
      <c r="J6" s="161"/>
      <c r="K6" s="161"/>
      <c r="L6" s="222" t="s">
        <v>4</v>
      </c>
      <c r="M6" s="156" t="s">
        <v>30</v>
      </c>
    </row>
    <row r="7" spans="1:14" ht="15.75" x14ac:dyDescent="0.2">
      <c r="A7" s="14" t="s">
        <v>23</v>
      </c>
      <c r="B7" s="338">
        <v>252864.93197999999</v>
      </c>
      <c r="C7" s="339">
        <v>316118.40253999998</v>
      </c>
      <c r="D7" s="347">
        <f t="shared" ref="D7:D10" si="0">IF(AND(_xlfn.NUMBERVALUE(B7)=0,_xlfn.NUMBERVALUE(C7)=0),,IF(B7=0, "    ---- ", IF(ABS(ROUND(100/B7*C7-100,1))&lt;999,IF(ROUND(100/B7*C7-100,1)=0,"    ---- ",ROUND(100/B7*C7-100,1)),IF(ROUND(100/B7*C7-100,1)&gt;999,999,-999))))</f>
        <v>25</v>
      </c>
      <c r="E7" s="387">
        <f>IFERROR(100/'Skjema total MA'!C7*C7,0)</f>
        <v>18.759645138521304</v>
      </c>
      <c r="F7" s="338"/>
      <c r="G7" s="339"/>
      <c r="H7" s="347"/>
      <c r="I7" s="348"/>
      <c r="J7" s="349">
        <f t="shared" ref="J7:K10" si="1">SUM(B7,F7)</f>
        <v>252864.93197999999</v>
      </c>
      <c r="K7" s="344">
        <f t="shared" si="1"/>
        <v>316118.40253999998</v>
      </c>
      <c r="L7" s="350">
        <f t="shared" ref="L7:L10" si="2">IF(AND(_xlfn.NUMBERVALUE(J7)=0,_xlfn.NUMBERVALUE(K7)=0),,IF(J7=0, "    ---- ", IF(ABS(ROUND(100/J7*K7-100,1))&lt;999,IF(ROUND(100/J7*K7-100,1)=0,"    ---- ",ROUND(100/J7*K7-100,1)),IF(ROUND(100/J7*K7-100,1)&gt;999,999,-999))))</f>
        <v>25</v>
      </c>
      <c r="M7" s="348">
        <f>IFERROR(100/'Skjema total MA'!I7*K7,0)</f>
        <v>5.6574432912543831</v>
      </c>
    </row>
    <row r="8" spans="1:14" ht="15.75" x14ac:dyDescent="0.2">
      <c r="A8" s="21" t="s">
        <v>25</v>
      </c>
      <c r="B8" s="341">
        <v>211098.15708999999</v>
      </c>
      <c r="C8" s="342">
        <v>291412.12345999997</v>
      </c>
      <c r="D8" s="350">
        <f t="shared" si="0"/>
        <v>38</v>
      </c>
      <c r="E8" s="387">
        <f>IFERROR(100/'Skjema total MA'!C8*C8,0)</f>
        <v>25.557011263632035</v>
      </c>
      <c r="F8" s="351"/>
      <c r="G8" s="352"/>
      <c r="H8" s="350"/>
      <c r="I8" s="348"/>
      <c r="J8" s="353">
        <f t="shared" si="1"/>
        <v>211098.15708999999</v>
      </c>
      <c r="K8" s="342">
        <f t="shared" si="1"/>
        <v>291412.12345999997</v>
      </c>
      <c r="L8" s="350">
        <f t="shared" si="2"/>
        <v>38</v>
      </c>
      <c r="M8" s="348">
        <f>IFERROR(100/'Skjema total MA'!I8*K8,0)</f>
        <v>25.557011263632035</v>
      </c>
    </row>
    <row r="9" spans="1:14" ht="15.75" x14ac:dyDescent="0.2">
      <c r="A9" s="21" t="s">
        <v>24</v>
      </c>
      <c r="B9" s="341">
        <v>41766.774890000001</v>
      </c>
      <c r="C9" s="342">
        <v>24706.27908</v>
      </c>
      <c r="D9" s="350">
        <f t="shared" si="0"/>
        <v>-40.799999999999997</v>
      </c>
      <c r="E9" s="387">
        <f>IFERROR(100/'Skjema total MA'!C9*C9,0)</f>
        <v>6.9269920072873692</v>
      </c>
      <c r="F9" s="351"/>
      <c r="G9" s="352"/>
      <c r="H9" s="350"/>
      <c r="I9" s="348"/>
      <c r="J9" s="353">
        <f t="shared" si="1"/>
        <v>41766.774890000001</v>
      </c>
      <c r="K9" s="342">
        <f t="shared" si="1"/>
        <v>24706.27908</v>
      </c>
      <c r="L9" s="350">
        <f t="shared" si="2"/>
        <v>-40.799999999999997</v>
      </c>
      <c r="M9" s="348">
        <f>IFERROR(100/'Skjema total MA'!I9*K9,0)</f>
        <v>6.9269920072873692</v>
      </c>
    </row>
    <row r="10" spans="1:14" ht="15.75" x14ac:dyDescent="0.2">
      <c r="A10" s="13" t="s">
        <v>341</v>
      </c>
      <c r="B10" s="343">
        <v>538507.68189999997</v>
      </c>
      <c r="C10" s="344">
        <v>522424.73200000002</v>
      </c>
      <c r="D10" s="350">
        <f t="shared" si="0"/>
        <v>-3</v>
      </c>
      <c r="E10" s="387">
        <f>IFERROR(100/'Skjema total MA'!C10*C10,0)</f>
        <v>2.9606944904513068</v>
      </c>
      <c r="F10" s="343"/>
      <c r="G10" s="344"/>
      <c r="H10" s="350"/>
      <c r="I10" s="348"/>
      <c r="J10" s="349">
        <f t="shared" si="1"/>
        <v>538507.68189999997</v>
      </c>
      <c r="K10" s="344">
        <f t="shared" si="1"/>
        <v>522424.73200000002</v>
      </c>
      <c r="L10" s="350">
        <f t="shared" si="2"/>
        <v>-3</v>
      </c>
      <c r="M10" s="348">
        <f>IFERROR(100/'Skjema total MA'!I10*K10,0)</f>
        <v>0.63034239802583336</v>
      </c>
    </row>
    <row r="11" spans="1:14" s="43" customFormat="1" ht="15.75" x14ac:dyDescent="0.2">
      <c r="A11" s="13" t="s">
        <v>342</v>
      </c>
      <c r="B11" s="343"/>
      <c r="C11" s="344"/>
      <c r="D11" s="350"/>
      <c r="E11" s="348"/>
      <c r="F11" s="343"/>
      <c r="G11" s="344"/>
      <c r="H11" s="350"/>
      <c r="I11" s="348"/>
      <c r="J11" s="349"/>
      <c r="K11" s="344"/>
      <c r="L11" s="350"/>
      <c r="M11" s="348"/>
      <c r="N11" s="143"/>
    </row>
    <row r="12" spans="1:14" s="43" customFormat="1" ht="15.75" x14ac:dyDescent="0.2">
      <c r="A12" s="41" t="s">
        <v>343</v>
      </c>
      <c r="B12" s="345"/>
      <c r="C12" s="346"/>
      <c r="D12" s="354"/>
      <c r="E12" s="354"/>
      <c r="F12" s="345"/>
      <c r="G12" s="346"/>
      <c r="H12" s="354"/>
      <c r="I12" s="354"/>
      <c r="J12" s="355"/>
      <c r="K12" s="346"/>
      <c r="L12" s="354"/>
      <c r="M12" s="354"/>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251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248</v>
      </c>
      <c r="B17" s="157"/>
      <c r="C17" s="157"/>
      <c r="D17" s="151"/>
      <c r="E17" s="151"/>
      <c r="F17" s="157"/>
      <c r="G17" s="157"/>
      <c r="H17" s="157"/>
      <c r="I17" s="157"/>
      <c r="J17" s="157"/>
      <c r="K17" s="157"/>
      <c r="L17" s="157"/>
      <c r="M17" s="157"/>
    </row>
    <row r="18" spans="1:14" ht="15.75" x14ac:dyDescent="0.25">
      <c r="B18" s="334"/>
      <c r="C18" s="334"/>
      <c r="D18" s="334"/>
      <c r="E18" s="335"/>
      <c r="F18" s="334"/>
      <c r="G18" s="334"/>
      <c r="H18" s="334"/>
      <c r="I18" s="335"/>
      <c r="J18" s="334"/>
      <c r="K18" s="334"/>
      <c r="L18" s="334"/>
      <c r="M18" s="335"/>
    </row>
    <row r="19" spans="1:14" x14ac:dyDescent="0.2">
      <c r="A19" s="144"/>
      <c r="B19" s="695" t="s">
        <v>0</v>
      </c>
      <c r="C19" s="696"/>
      <c r="D19" s="696"/>
      <c r="E19" s="332"/>
      <c r="F19" s="695" t="s">
        <v>1</v>
      </c>
      <c r="G19" s="696"/>
      <c r="H19" s="696"/>
      <c r="I19" s="333"/>
      <c r="J19" s="695" t="s">
        <v>2</v>
      </c>
      <c r="K19" s="696"/>
      <c r="L19" s="696"/>
      <c r="M19" s="333"/>
    </row>
    <row r="20" spans="1:14" x14ac:dyDescent="0.2">
      <c r="A20" s="140" t="s">
        <v>5</v>
      </c>
      <c r="B20" s="152" t="s">
        <v>412</v>
      </c>
      <c r="C20" s="152" t="s">
        <v>413</v>
      </c>
      <c r="D20" s="162" t="s">
        <v>3</v>
      </c>
      <c r="E20" s="281" t="s">
        <v>29</v>
      </c>
      <c r="F20" s="152" t="s">
        <v>412</v>
      </c>
      <c r="G20" s="152" t="s">
        <v>413</v>
      </c>
      <c r="H20" s="162" t="s">
        <v>3</v>
      </c>
      <c r="I20" s="281" t="s">
        <v>29</v>
      </c>
      <c r="J20" s="152" t="s">
        <v>412</v>
      </c>
      <c r="K20" s="152" t="s">
        <v>413</v>
      </c>
      <c r="L20" s="162" t="s">
        <v>3</v>
      </c>
      <c r="M20" s="162" t="s">
        <v>29</v>
      </c>
    </row>
    <row r="21" spans="1:14" x14ac:dyDescent="0.2">
      <c r="A21" s="662"/>
      <c r="B21" s="156"/>
      <c r="C21" s="156"/>
      <c r="D21" s="223" t="s">
        <v>4</v>
      </c>
      <c r="E21" s="156" t="s">
        <v>30</v>
      </c>
      <c r="F21" s="161"/>
      <c r="G21" s="161"/>
      <c r="H21" s="222" t="s">
        <v>4</v>
      </c>
      <c r="I21" s="156" t="s">
        <v>30</v>
      </c>
      <c r="J21" s="161"/>
      <c r="K21" s="161"/>
      <c r="L21" s="156" t="s">
        <v>4</v>
      </c>
      <c r="M21" s="156" t="s">
        <v>30</v>
      </c>
    </row>
    <row r="22" spans="1:14" ht="15.75" x14ac:dyDescent="0.2">
      <c r="A22" s="14" t="s">
        <v>23</v>
      </c>
      <c r="B22" s="563">
        <v>206587.05100000001</v>
      </c>
      <c r="C22" s="563">
        <v>157304.67027</v>
      </c>
      <c r="D22" s="347">
        <v>-23.9</v>
      </c>
      <c r="E22" s="348">
        <f>IFERROR(100/'Skjema total MA'!C22*C22,0)</f>
        <v>23.095154408785024</v>
      </c>
      <c r="F22" s="356"/>
      <c r="G22" s="356"/>
      <c r="H22" s="347"/>
      <c r="I22" s="348"/>
      <c r="J22" s="338">
        <f t="shared" ref="J22:J29" si="3">SUM(B22,F22)</f>
        <v>206587.05100000001</v>
      </c>
      <c r="K22" s="338">
        <f t="shared" ref="K22:K29" si="4">SUM(C22,G22)</f>
        <v>157304.67027</v>
      </c>
      <c r="L22" s="347">
        <f t="shared" ref="L22:L29" si="5">IF(AND(_xlfn.NUMBERVALUE(J22)=0,_xlfn.NUMBERVALUE(K22)=0),,IF(J22=0, "    ---- ", IF(ABS(ROUND(100/J22*K22-100,1))&lt;999,IF(ROUND(100/J22*K22-100,1)=0,"    ---- ",ROUND(100/J22*K22-100,1)),IF(ROUND(100/J22*K22-100,1)&gt;999,999,-999))))</f>
        <v>-23.9</v>
      </c>
      <c r="M22" s="348">
        <f>IFERROR(100/'Skjema total MA'!I22*K22,0)</f>
        <v>14.243254489494534</v>
      </c>
    </row>
    <row r="23" spans="1:14" ht="15.75" x14ac:dyDescent="0.2">
      <c r="A23" s="545" t="s">
        <v>344</v>
      </c>
      <c r="B23" s="340"/>
      <c r="C23" s="340"/>
      <c r="D23" s="350"/>
      <c r="E23" s="348"/>
      <c r="F23" s="340"/>
      <c r="G23" s="340"/>
      <c r="H23" s="350"/>
      <c r="I23" s="348"/>
      <c r="J23" s="340"/>
      <c r="K23" s="340"/>
      <c r="L23" s="350"/>
      <c r="M23" s="348"/>
    </row>
    <row r="24" spans="1:14" ht="15.75" x14ac:dyDescent="0.2">
      <c r="A24" s="545" t="s">
        <v>345</v>
      </c>
      <c r="B24" s="340"/>
      <c r="C24" s="340"/>
      <c r="D24" s="350"/>
      <c r="E24" s="348"/>
      <c r="F24" s="340"/>
      <c r="G24" s="340"/>
      <c r="H24" s="350"/>
      <c r="I24" s="348"/>
      <c r="J24" s="340"/>
      <c r="K24" s="340"/>
      <c r="L24" s="350"/>
      <c r="M24" s="348"/>
    </row>
    <row r="25" spans="1:14" ht="15.75" x14ac:dyDescent="0.2">
      <c r="A25" s="545" t="s">
        <v>346</v>
      </c>
      <c r="B25" s="340"/>
      <c r="C25" s="340"/>
      <c r="D25" s="350"/>
      <c r="E25" s="348"/>
      <c r="F25" s="340"/>
      <c r="G25" s="340"/>
      <c r="H25" s="350"/>
      <c r="I25" s="348"/>
      <c r="J25" s="340"/>
      <c r="K25" s="340"/>
      <c r="L25" s="350"/>
      <c r="M25" s="348"/>
    </row>
    <row r="26" spans="1:14" ht="15.75" x14ac:dyDescent="0.2">
      <c r="A26" s="545" t="s">
        <v>347</v>
      </c>
      <c r="B26" s="340"/>
      <c r="C26" s="340"/>
      <c r="D26" s="350"/>
      <c r="E26" s="348"/>
      <c r="F26" s="340"/>
      <c r="G26" s="340"/>
      <c r="H26" s="350"/>
      <c r="I26" s="348"/>
      <c r="J26" s="340"/>
      <c r="K26" s="340"/>
      <c r="L26" s="350"/>
      <c r="M26" s="348"/>
    </row>
    <row r="27" spans="1:14" x14ac:dyDescent="0.2">
      <c r="A27" s="545" t="s">
        <v>11</v>
      </c>
      <c r="B27" s="340"/>
      <c r="C27" s="340"/>
      <c r="D27" s="350"/>
      <c r="E27" s="348"/>
      <c r="F27" s="340"/>
      <c r="G27" s="340"/>
      <c r="H27" s="350"/>
      <c r="I27" s="348"/>
      <c r="J27" s="340"/>
      <c r="K27" s="340"/>
      <c r="L27" s="350"/>
      <c r="M27" s="348"/>
    </row>
    <row r="28" spans="1:14" ht="15.75" x14ac:dyDescent="0.2">
      <c r="A28" s="49" t="s">
        <v>252</v>
      </c>
      <c r="B28" s="340">
        <v>206587.05100000001</v>
      </c>
      <c r="C28" s="340">
        <v>157304.67027</v>
      </c>
      <c r="D28" s="350">
        <v>-23.9</v>
      </c>
      <c r="E28" s="348">
        <f>IFERROR(100/'Skjema total MA'!C28*C28,0)</f>
        <v>21.623555119457023</v>
      </c>
      <c r="F28" s="353"/>
      <c r="G28" s="342"/>
      <c r="H28" s="350"/>
      <c r="I28" s="348"/>
      <c r="J28" s="341">
        <f t="shared" si="3"/>
        <v>206587.05100000001</v>
      </c>
      <c r="K28" s="341">
        <f t="shared" si="4"/>
        <v>157304.67027</v>
      </c>
      <c r="L28" s="350">
        <f t="shared" si="5"/>
        <v>-23.9</v>
      </c>
      <c r="M28" s="348">
        <f>IFERROR(100/'Skjema total MA'!I28*K28,0)</f>
        <v>21.623555119457023</v>
      </c>
    </row>
    <row r="29" spans="1:14" s="3" customFormat="1" ht="15.75" x14ac:dyDescent="0.2">
      <c r="A29" s="13" t="s">
        <v>341</v>
      </c>
      <c r="B29" s="343">
        <v>2888215.91218</v>
      </c>
      <c r="C29" s="343">
        <v>3392487.2137600002</v>
      </c>
      <c r="D29" s="350">
        <v>17.5</v>
      </c>
      <c r="E29" s="348">
        <f>IFERROR(100/'Skjema total MA'!C29*C29,0)</f>
        <v>7.4049021718574233</v>
      </c>
      <c r="F29" s="349"/>
      <c r="G29" s="349"/>
      <c r="H29" s="350"/>
      <c r="I29" s="348"/>
      <c r="J29" s="343">
        <f t="shared" si="3"/>
        <v>2888215.91218</v>
      </c>
      <c r="K29" s="343">
        <f t="shared" si="4"/>
        <v>3392487.2137600002</v>
      </c>
      <c r="L29" s="350">
        <f t="shared" si="5"/>
        <v>17.5</v>
      </c>
      <c r="M29" s="348">
        <f>IFERROR(100/'Skjema total MA'!I29*K29,0)</f>
        <v>4.7628055149141062</v>
      </c>
      <c r="N29" s="148"/>
    </row>
    <row r="30" spans="1:14" s="3" customFormat="1" ht="15.75" x14ac:dyDescent="0.2">
      <c r="A30" s="545" t="s">
        <v>344</v>
      </c>
      <c r="B30" s="340"/>
      <c r="C30" s="340"/>
      <c r="D30" s="350"/>
      <c r="E30" s="348"/>
      <c r="F30" s="340"/>
      <c r="G30" s="340"/>
      <c r="H30" s="350"/>
      <c r="I30" s="348"/>
      <c r="J30" s="340"/>
      <c r="K30" s="340"/>
      <c r="L30" s="350"/>
      <c r="M30" s="348"/>
      <c r="N30" s="148"/>
    </row>
    <row r="31" spans="1:14" s="3" customFormat="1" ht="15.75" x14ac:dyDescent="0.2">
      <c r="A31" s="545" t="s">
        <v>345</v>
      </c>
      <c r="B31" s="340"/>
      <c r="C31" s="340"/>
      <c r="D31" s="350"/>
      <c r="E31" s="348"/>
      <c r="F31" s="340"/>
      <c r="G31" s="340"/>
      <c r="H31" s="350"/>
      <c r="I31" s="348"/>
      <c r="J31" s="340"/>
      <c r="K31" s="340"/>
      <c r="L31" s="350"/>
      <c r="M31" s="348"/>
      <c r="N31" s="148"/>
    </row>
    <row r="32" spans="1:14" ht="15.75" x14ac:dyDescent="0.2">
      <c r="A32" s="545" t="s">
        <v>346</v>
      </c>
      <c r="B32" s="340"/>
      <c r="C32" s="340"/>
      <c r="D32" s="350"/>
      <c r="E32" s="348"/>
      <c r="F32" s="340"/>
      <c r="G32" s="340"/>
      <c r="H32" s="350"/>
      <c r="I32" s="348"/>
      <c r="J32" s="340"/>
      <c r="K32" s="340"/>
      <c r="L32" s="350"/>
      <c r="M32" s="348"/>
    </row>
    <row r="33" spans="1:14" ht="15.75" x14ac:dyDescent="0.2">
      <c r="A33" s="545" t="s">
        <v>347</v>
      </c>
      <c r="B33" s="340"/>
      <c r="C33" s="340"/>
      <c r="D33" s="350"/>
      <c r="E33" s="348"/>
      <c r="F33" s="340"/>
      <c r="G33" s="340"/>
      <c r="H33" s="350"/>
      <c r="I33" s="348"/>
      <c r="J33" s="340"/>
      <c r="K33" s="340"/>
      <c r="L33" s="350"/>
      <c r="M33" s="348"/>
    </row>
    <row r="34" spans="1:14" ht="15.75" x14ac:dyDescent="0.2">
      <c r="A34" s="13" t="s">
        <v>342</v>
      </c>
      <c r="B34" s="343"/>
      <c r="C34" s="344"/>
      <c r="D34" s="350"/>
      <c r="E34" s="348"/>
      <c r="F34" s="349"/>
      <c r="G34" s="344"/>
      <c r="H34" s="350"/>
      <c r="I34" s="348"/>
      <c r="J34" s="343"/>
      <c r="K34" s="343"/>
      <c r="L34" s="350"/>
      <c r="M34" s="348"/>
    </row>
    <row r="35" spans="1:14" ht="15.75" x14ac:dyDescent="0.2">
      <c r="A35" s="13" t="s">
        <v>343</v>
      </c>
      <c r="B35" s="343"/>
      <c r="C35" s="344"/>
      <c r="D35" s="350"/>
      <c r="E35" s="348"/>
      <c r="F35" s="349"/>
      <c r="G35" s="344"/>
      <c r="H35" s="350"/>
      <c r="I35" s="348"/>
      <c r="J35" s="343"/>
      <c r="K35" s="343"/>
      <c r="L35" s="350"/>
      <c r="M35" s="348"/>
    </row>
    <row r="36" spans="1:14" ht="15.75" x14ac:dyDescent="0.2">
      <c r="A36" s="12" t="s">
        <v>260</v>
      </c>
      <c r="B36" s="343"/>
      <c r="C36" s="344"/>
      <c r="D36" s="350"/>
      <c r="E36" s="348"/>
      <c r="F36" s="357"/>
      <c r="G36" s="358"/>
      <c r="H36" s="350"/>
      <c r="I36" s="348"/>
      <c r="J36" s="343"/>
      <c r="K36" s="343"/>
      <c r="L36" s="350"/>
      <c r="M36" s="348"/>
    </row>
    <row r="37" spans="1:14" ht="15.75" x14ac:dyDescent="0.2">
      <c r="A37" s="12" t="s">
        <v>349</v>
      </c>
      <c r="B37" s="343"/>
      <c r="C37" s="344"/>
      <c r="D37" s="350"/>
      <c r="E37" s="348"/>
      <c r="F37" s="357"/>
      <c r="G37" s="359"/>
      <c r="H37" s="350"/>
      <c r="I37" s="348"/>
      <c r="J37" s="343"/>
      <c r="K37" s="343"/>
      <c r="L37" s="350"/>
      <c r="M37" s="348"/>
    </row>
    <row r="38" spans="1:14" ht="15.75" x14ac:dyDescent="0.2">
      <c r="A38" s="12" t="s">
        <v>350</v>
      </c>
      <c r="B38" s="343"/>
      <c r="C38" s="344"/>
      <c r="D38" s="350"/>
      <c r="E38" s="166"/>
      <c r="F38" s="357"/>
      <c r="G38" s="358"/>
      <c r="H38" s="350"/>
      <c r="I38" s="348"/>
      <c r="J38" s="343"/>
      <c r="K38" s="343"/>
      <c r="L38" s="350"/>
      <c r="M38" s="348"/>
    </row>
    <row r="39" spans="1:14" ht="15.75" x14ac:dyDescent="0.2">
      <c r="A39" s="18" t="s">
        <v>351</v>
      </c>
      <c r="B39" s="345"/>
      <c r="C39" s="346"/>
      <c r="D39" s="354"/>
      <c r="E39" s="167"/>
      <c r="F39" s="360"/>
      <c r="G39" s="361"/>
      <c r="H39" s="354"/>
      <c r="I39" s="348"/>
      <c r="J39" s="343"/>
      <c r="K39" s="343"/>
      <c r="L39" s="354"/>
      <c r="M39" s="354"/>
    </row>
    <row r="40" spans="1:14" ht="15.75" x14ac:dyDescent="0.25">
      <c r="A40" s="47"/>
      <c r="B40" s="230"/>
      <c r="C40" s="230"/>
      <c r="D40" s="337"/>
      <c r="E40" s="337"/>
      <c r="F40" s="337"/>
      <c r="G40" s="337"/>
      <c r="H40" s="337"/>
      <c r="I40" s="337"/>
      <c r="J40" s="337"/>
      <c r="K40" s="337"/>
      <c r="L40" s="337"/>
      <c r="M40" s="336"/>
    </row>
    <row r="41" spans="1:14" x14ac:dyDescent="0.2">
      <c r="A41" s="155"/>
    </row>
    <row r="42" spans="1:14" ht="15.75" x14ac:dyDescent="0.25">
      <c r="A42" s="147" t="s">
        <v>249</v>
      </c>
      <c r="B42" s="335"/>
      <c r="C42" s="335"/>
      <c r="D42" s="335"/>
      <c r="E42" s="335"/>
      <c r="F42" s="336"/>
      <c r="G42" s="336"/>
      <c r="H42" s="336"/>
      <c r="I42" s="336"/>
      <c r="J42" s="336"/>
      <c r="K42" s="336"/>
      <c r="L42" s="336"/>
      <c r="M42" s="336"/>
    </row>
    <row r="43" spans="1:14" ht="15.75" x14ac:dyDescent="0.25">
      <c r="A43" s="163"/>
      <c r="B43" s="334"/>
      <c r="C43" s="334"/>
      <c r="D43" s="334"/>
      <c r="E43" s="334"/>
      <c r="F43" s="336"/>
      <c r="G43" s="336"/>
      <c r="H43" s="336"/>
      <c r="I43" s="336"/>
      <c r="J43" s="336"/>
      <c r="K43" s="336"/>
      <c r="L43" s="336"/>
      <c r="M43" s="336"/>
    </row>
    <row r="44" spans="1:14" ht="15.75" x14ac:dyDescent="0.25">
      <c r="A44" s="224"/>
      <c r="B44" s="695" t="s">
        <v>0</v>
      </c>
      <c r="C44" s="696"/>
      <c r="D44" s="696"/>
      <c r="E44" s="220"/>
      <c r="F44" s="336"/>
      <c r="G44" s="336"/>
      <c r="H44" s="336"/>
      <c r="I44" s="336"/>
      <c r="J44" s="336"/>
      <c r="K44" s="336"/>
      <c r="L44" s="336"/>
      <c r="M44" s="336"/>
    </row>
    <row r="45" spans="1:14" s="3" customFormat="1" x14ac:dyDescent="0.2">
      <c r="A45" s="140"/>
      <c r="B45" s="152" t="s">
        <v>412</v>
      </c>
      <c r="C45" s="152" t="s">
        <v>413</v>
      </c>
      <c r="D45" s="162" t="s">
        <v>3</v>
      </c>
      <c r="E45" s="162" t="s">
        <v>29</v>
      </c>
      <c r="F45" s="174"/>
      <c r="G45" s="174"/>
      <c r="H45" s="173"/>
      <c r="I45" s="173"/>
      <c r="J45" s="174"/>
      <c r="K45" s="174"/>
      <c r="L45" s="173"/>
      <c r="M45" s="173"/>
      <c r="N45" s="148"/>
    </row>
    <row r="46" spans="1:14" s="3" customFormat="1" x14ac:dyDescent="0.2">
      <c r="A46" s="662"/>
      <c r="B46" s="221"/>
      <c r="C46" s="221"/>
      <c r="D46" s="222" t="s">
        <v>4</v>
      </c>
      <c r="E46" s="156" t="s">
        <v>30</v>
      </c>
      <c r="F46" s="173"/>
      <c r="G46" s="173"/>
      <c r="H46" s="173"/>
      <c r="I46" s="173"/>
      <c r="J46" s="173"/>
      <c r="K46" s="173"/>
      <c r="L46" s="173"/>
      <c r="M46" s="173"/>
      <c r="N46" s="148"/>
    </row>
    <row r="47" spans="1:14" s="394" customFormat="1" ht="15.75" x14ac:dyDescent="0.2">
      <c r="A47" s="14" t="s">
        <v>23</v>
      </c>
      <c r="B47" s="343">
        <v>365751.31218999997</v>
      </c>
      <c r="C47" s="344">
        <v>373318.51367000001</v>
      </c>
      <c r="D47" s="398">
        <f>IF(AND(_xlfn.NUMBERVALUE(B47)=0,_xlfn.NUMBERVALUE(C47)=0),,IF(B47=0, "    ---- ", IF(ABS(ROUND(100/B47*C47-100,1))&lt;999,IF(ROUND(100/B47*C47-100,1)=0,"    ---- ",ROUND(100/B47*C47-100,1)),IF(ROUND(100/B47*C47-100,1)&gt;999,999,-999))))</f>
        <v>2.1</v>
      </c>
      <c r="E47" s="399">
        <f>IFERROR(100/'Skjema total MA'!C47*C47,0)</f>
        <v>11.800546216011698</v>
      </c>
      <c r="F47" s="159"/>
      <c r="G47" s="173"/>
      <c r="H47" s="159"/>
      <c r="I47" s="159"/>
      <c r="J47" s="397"/>
      <c r="K47" s="397"/>
      <c r="L47" s="159"/>
      <c r="M47" s="159"/>
      <c r="N47" s="400"/>
    </row>
    <row r="48" spans="1:14" s="3" customFormat="1" ht="15.75" x14ac:dyDescent="0.2">
      <c r="A48" s="38" t="s">
        <v>352</v>
      </c>
      <c r="B48" s="341">
        <v>79090.640109999993</v>
      </c>
      <c r="C48" s="342">
        <v>83032.426930000001</v>
      </c>
      <c r="D48" s="350">
        <f t="shared" ref="D48:D57" si="6">IF(AND(_xlfn.NUMBERVALUE(B48)=0,_xlfn.NUMBERVALUE(C48)=0),,IF(B48=0, "    ---- ", IF(ABS(ROUND(100/B48*C48-100,1))&lt;999,IF(ROUND(100/B48*C48-100,1)=0,"    ---- ",ROUND(100/B48*C48-100,1)),IF(ROUND(100/B48*C48-100,1)&gt;999,999,-999))))</f>
        <v>5</v>
      </c>
      <c r="E48" s="387">
        <f>IFERROR(100/'Skjema total MA'!C48*C48,0)</f>
        <v>4.8407763409054576</v>
      </c>
      <c r="F48" s="145"/>
      <c r="G48" s="33"/>
      <c r="H48" s="145"/>
      <c r="I48" s="145"/>
      <c r="J48" s="33"/>
      <c r="K48" s="33"/>
      <c r="L48" s="159"/>
      <c r="M48" s="159"/>
      <c r="N48" s="148"/>
    </row>
    <row r="49" spans="1:14" s="3" customFormat="1" ht="15.75" x14ac:dyDescent="0.2">
      <c r="A49" s="38" t="s">
        <v>353</v>
      </c>
      <c r="B49" s="341">
        <v>286660.67207999999</v>
      </c>
      <c r="C49" s="342">
        <v>290286.08674</v>
      </c>
      <c r="D49" s="350">
        <f t="shared" si="6"/>
        <v>1.3</v>
      </c>
      <c r="E49" s="387">
        <f>IFERROR(100/'Skjema total MA'!C49*C49,0)</f>
        <v>20.043244332573707</v>
      </c>
      <c r="F49" s="145"/>
      <c r="G49" s="33"/>
      <c r="H49" s="145"/>
      <c r="I49" s="145"/>
      <c r="J49" s="37"/>
      <c r="K49" s="37"/>
      <c r="L49" s="159"/>
      <c r="M49" s="159"/>
      <c r="N49" s="148"/>
    </row>
    <row r="50" spans="1:14" s="3" customFormat="1" x14ac:dyDescent="0.2">
      <c r="A50" s="272" t="s">
        <v>6</v>
      </c>
      <c r="B50" s="357"/>
      <c r="C50" s="357"/>
      <c r="D50" s="350"/>
      <c r="E50" s="388"/>
      <c r="F50" s="145"/>
      <c r="G50" s="33"/>
      <c r="H50" s="145"/>
      <c r="I50" s="145"/>
      <c r="J50" s="33"/>
      <c r="K50" s="33"/>
      <c r="L50" s="159"/>
      <c r="M50" s="159"/>
      <c r="N50" s="148"/>
    </row>
    <row r="51" spans="1:14" s="3" customFormat="1" x14ac:dyDescent="0.2">
      <c r="A51" s="272" t="s">
        <v>7</v>
      </c>
      <c r="B51" s="357"/>
      <c r="C51" s="357"/>
      <c r="D51" s="350"/>
      <c r="E51" s="388"/>
      <c r="F51" s="145"/>
      <c r="G51" s="33"/>
      <c r="H51" s="145"/>
      <c r="I51" s="145"/>
      <c r="J51" s="33"/>
      <c r="K51" s="33"/>
      <c r="L51" s="159"/>
      <c r="M51" s="159"/>
      <c r="N51" s="148"/>
    </row>
    <row r="52" spans="1:14" s="3" customFormat="1" x14ac:dyDescent="0.2">
      <c r="A52" s="272" t="s">
        <v>8</v>
      </c>
      <c r="B52" s="357"/>
      <c r="C52" s="357"/>
      <c r="D52" s="350"/>
      <c r="E52" s="388"/>
      <c r="F52" s="145"/>
      <c r="G52" s="33"/>
      <c r="H52" s="145"/>
      <c r="I52" s="145"/>
      <c r="J52" s="33"/>
      <c r="K52" s="33"/>
      <c r="L52" s="159"/>
      <c r="M52" s="159"/>
      <c r="N52" s="148"/>
    </row>
    <row r="53" spans="1:14" s="3" customFormat="1" ht="15.75" x14ac:dyDescent="0.2">
      <c r="A53" s="39" t="s">
        <v>354</v>
      </c>
      <c r="B53" s="343">
        <v>1558</v>
      </c>
      <c r="C53" s="344">
        <v>678</v>
      </c>
      <c r="D53" s="350">
        <f t="shared" si="6"/>
        <v>-56.5</v>
      </c>
      <c r="E53" s="387">
        <f>IFERROR(100/'Skjema total MA'!C53*C53,0)</f>
        <v>0.30867473823912794</v>
      </c>
      <c r="F53" s="145"/>
      <c r="G53" s="33"/>
      <c r="H53" s="145"/>
      <c r="I53" s="145"/>
      <c r="J53" s="33"/>
      <c r="K53" s="33"/>
      <c r="L53" s="159"/>
      <c r="M53" s="159"/>
      <c r="N53" s="148"/>
    </row>
    <row r="54" spans="1:14" s="3" customFormat="1" ht="15.75" x14ac:dyDescent="0.2">
      <c r="A54" s="38" t="s">
        <v>352</v>
      </c>
      <c r="B54" s="341">
        <v>1558</v>
      </c>
      <c r="C54" s="342">
        <v>678</v>
      </c>
      <c r="D54" s="350">
        <f t="shared" si="6"/>
        <v>-56.5</v>
      </c>
      <c r="E54" s="387">
        <f>IFERROR(100/'Skjema total MA'!C54*C54,0)</f>
        <v>0.33766887573428578</v>
      </c>
      <c r="F54" s="145"/>
      <c r="G54" s="33"/>
      <c r="H54" s="145"/>
      <c r="I54" s="145"/>
      <c r="J54" s="33"/>
      <c r="K54" s="33"/>
      <c r="L54" s="159"/>
      <c r="M54" s="159"/>
      <c r="N54" s="148"/>
    </row>
    <row r="55" spans="1:14" s="3" customFormat="1" ht="15.75" x14ac:dyDescent="0.2">
      <c r="A55" s="38" t="s">
        <v>353</v>
      </c>
      <c r="B55" s="341"/>
      <c r="C55" s="342"/>
      <c r="D55" s="350"/>
      <c r="E55" s="387"/>
      <c r="F55" s="145"/>
      <c r="G55" s="33"/>
      <c r="H55" s="145"/>
      <c r="I55" s="145"/>
      <c r="J55" s="33"/>
      <c r="K55" s="33"/>
      <c r="L55" s="159"/>
      <c r="M55" s="159"/>
      <c r="N55" s="148"/>
    </row>
    <row r="56" spans="1:14" s="3" customFormat="1" ht="15.75" x14ac:dyDescent="0.2">
      <c r="A56" s="39" t="s">
        <v>355</v>
      </c>
      <c r="B56" s="343">
        <v>933</v>
      </c>
      <c r="C56" s="344">
        <v>1427</v>
      </c>
      <c r="D56" s="350">
        <f t="shared" si="6"/>
        <v>52.9</v>
      </c>
      <c r="E56" s="387">
        <f>IFERROR(100/'Skjema total MA'!C56*C56,0)</f>
        <v>3.0244143143261715</v>
      </c>
      <c r="F56" s="145"/>
      <c r="G56" s="33"/>
      <c r="H56" s="145"/>
      <c r="I56" s="145"/>
      <c r="J56" s="33"/>
      <c r="K56" s="33"/>
      <c r="L56" s="159"/>
      <c r="M56" s="159"/>
      <c r="N56" s="148"/>
    </row>
    <row r="57" spans="1:14" s="3" customFormat="1" ht="15.75" x14ac:dyDescent="0.2">
      <c r="A57" s="38" t="s">
        <v>352</v>
      </c>
      <c r="B57" s="341">
        <v>933</v>
      </c>
      <c r="C57" s="342">
        <v>1427</v>
      </c>
      <c r="D57" s="350">
        <f t="shared" si="6"/>
        <v>52.9</v>
      </c>
      <c r="E57" s="387">
        <f>IFERROR(100/'Skjema total MA'!C57*C57,0)</f>
        <v>3.0244143143261715</v>
      </c>
      <c r="F57" s="145"/>
      <c r="G57" s="33"/>
      <c r="H57" s="145"/>
      <c r="I57" s="145"/>
      <c r="J57" s="33"/>
      <c r="K57" s="33"/>
      <c r="L57" s="159"/>
      <c r="M57" s="159"/>
      <c r="N57" s="148"/>
    </row>
    <row r="58" spans="1:14" s="3" customFormat="1" ht="15.75" x14ac:dyDescent="0.2">
      <c r="A58" s="46" t="s">
        <v>353</v>
      </c>
      <c r="B58" s="362"/>
      <c r="C58" s="363"/>
      <c r="D58" s="354"/>
      <c r="E58" s="389"/>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250</v>
      </c>
      <c r="C61" s="26"/>
      <c r="D61" s="26"/>
      <c r="E61" s="26"/>
      <c r="F61" s="26"/>
      <c r="G61" s="26"/>
      <c r="H61" s="26"/>
      <c r="I61" s="26"/>
      <c r="J61" s="26"/>
      <c r="K61" s="26"/>
      <c r="L61" s="26"/>
      <c r="M61" s="26"/>
    </row>
    <row r="62" spans="1:14" ht="15.75" x14ac:dyDescent="0.25">
      <c r="B62" s="334"/>
      <c r="C62" s="334"/>
      <c r="D62" s="334"/>
      <c r="E62" s="335"/>
      <c r="F62" s="334"/>
      <c r="G62" s="334"/>
      <c r="H62" s="334"/>
      <c r="I62" s="335"/>
      <c r="J62" s="334"/>
      <c r="K62" s="334"/>
      <c r="L62" s="334"/>
      <c r="M62" s="335"/>
    </row>
    <row r="63" spans="1:14" x14ac:dyDescent="0.2">
      <c r="A63" s="144"/>
      <c r="B63" s="695" t="s">
        <v>0</v>
      </c>
      <c r="C63" s="696"/>
      <c r="D63" s="697"/>
      <c r="E63" s="331"/>
      <c r="F63" s="696" t="s">
        <v>1</v>
      </c>
      <c r="G63" s="696"/>
      <c r="H63" s="696"/>
      <c r="I63" s="333"/>
      <c r="J63" s="695" t="s">
        <v>2</v>
      </c>
      <c r="K63" s="696"/>
      <c r="L63" s="696"/>
      <c r="M63" s="333"/>
    </row>
    <row r="64" spans="1:14" x14ac:dyDescent="0.2">
      <c r="A64" s="140"/>
      <c r="B64" s="152" t="s">
        <v>412</v>
      </c>
      <c r="C64" s="152" t="s">
        <v>413</v>
      </c>
      <c r="D64" s="222" t="s">
        <v>3</v>
      </c>
      <c r="E64" s="281" t="s">
        <v>29</v>
      </c>
      <c r="F64" s="152" t="s">
        <v>412</v>
      </c>
      <c r="G64" s="152" t="s">
        <v>413</v>
      </c>
      <c r="H64" s="222" t="s">
        <v>3</v>
      </c>
      <c r="I64" s="281" t="s">
        <v>29</v>
      </c>
      <c r="J64" s="152" t="s">
        <v>412</v>
      </c>
      <c r="K64" s="152" t="s">
        <v>413</v>
      </c>
      <c r="L64" s="222" t="s">
        <v>3</v>
      </c>
      <c r="M64" s="162" t="s">
        <v>29</v>
      </c>
    </row>
    <row r="65" spans="1:14" x14ac:dyDescent="0.2">
      <c r="A65" s="662"/>
      <c r="B65" s="156"/>
      <c r="C65" s="156"/>
      <c r="D65" s="223" t="s">
        <v>4</v>
      </c>
      <c r="E65" s="156" t="s">
        <v>30</v>
      </c>
      <c r="F65" s="161"/>
      <c r="G65" s="161"/>
      <c r="H65" s="222" t="s">
        <v>4</v>
      </c>
      <c r="I65" s="156" t="s">
        <v>30</v>
      </c>
      <c r="J65" s="161"/>
      <c r="K65" s="203"/>
      <c r="L65" s="156" t="s">
        <v>4</v>
      </c>
      <c r="M65" s="156" t="s">
        <v>30</v>
      </c>
    </row>
    <row r="66" spans="1:14" ht="15.75" x14ac:dyDescent="0.2">
      <c r="A66" s="14" t="s">
        <v>23</v>
      </c>
      <c r="B66" s="364"/>
      <c r="C66" s="364"/>
      <c r="D66" s="347"/>
      <c r="E66" s="348"/>
      <c r="F66" s="364"/>
      <c r="G66" s="364"/>
      <c r="H66" s="347"/>
      <c r="I66" s="350"/>
      <c r="J66" s="372"/>
      <c r="K66" s="338"/>
      <c r="L66" s="350"/>
      <c r="M66" s="348"/>
    </row>
    <row r="67" spans="1:14" x14ac:dyDescent="0.2">
      <c r="A67" s="21" t="s">
        <v>9</v>
      </c>
      <c r="B67" s="341"/>
      <c r="C67" s="365"/>
      <c r="D67" s="350"/>
      <c r="E67" s="350"/>
      <c r="F67" s="353"/>
      <c r="G67" s="365"/>
      <c r="H67" s="350"/>
      <c r="I67" s="350"/>
      <c r="J67" s="365"/>
      <c r="K67" s="341"/>
      <c r="L67" s="350"/>
      <c r="M67" s="348"/>
    </row>
    <row r="68" spans="1:14" x14ac:dyDescent="0.2">
      <c r="A68" s="21" t="s">
        <v>10</v>
      </c>
      <c r="B68" s="366"/>
      <c r="C68" s="367"/>
      <c r="D68" s="350"/>
      <c r="E68" s="350"/>
      <c r="F68" s="366"/>
      <c r="G68" s="367"/>
      <c r="H68" s="350"/>
      <c r="I68" s="350"/>
      <c r="J68" s="365"/>
      <c r="K68" s="341"/>
      <c r="L68" s="350"/>
      <c r="M68" s="348"/>
    </row>
    <row r="69" spans="1:14" ht="15.75" x14ac:dyDescent="0.2">
      <c r="A69" s="272" t="s">
        <v>356</v>
      </c>
      <c r="B69" s="357"/>
      <c r="C69" s="357"/>
      <c r="D69" s="350"/>
      <c r="E69" s="350"/>
      <c r="F69" s="357"/>
      <c r="G69" s="357"/>
      <c r="H69" s="350"/>
      <c r="I69" s="350"/>
      <c r="J69" s="357"/>
      <c r="K69" s="357"/>
      <c r="L69" s="350"/>
      <c r="M69" s="348"/>
    </row>
    <row r="70" spans="1:14" x14ac:dyDescent="0.2">
      <c r="A70" s="272" t="s">
        <v>12</v>
      </c>
      <c r="B70" s="368"/>
      <c r="C70" s="369"/>
      <c r="D70" s="350"/>
      <c r="E70" s="350"/>
      <c r="F70" s="368"/>
      <c r="G70" s="369"/>
      <c r="H70" s="350"/>
      <c r="I70" s="350"/>
      <c r="J70" s="368"/>
      <c r="K70" s="369"/>
      <c r="L70" s="350"/>
      <c r="M70" s="348"/>
    </row>
    <row r="71" spans="1:14" x14ac:dyDescent="0.2">
      <c r="A71" s="272" t="s">
        <v>13</v>
      </c>
      <c r="B71" s="370"/>
      <c r="C71" s="371"/>
      <c r="D71" s="350"/>
      <c r="E71" s="350"/>
      <c r="F71" s="370"/>
      <c r="G71" s="371"/>
      <c r="H71" s="350"/>
      <c r="I71" s="350"/>
      <c r="J71" s="370"/>
      <c r="K71" s="371"/>
      <c r="L71" s="350"/>
      <c r="M71" s="348"/>
    </row>
    <row r="72" spans="1:14" ht="15.75" x14ac:dyDescent="0.2">
      <c r="A72" s="272" t="s">
        <v>357</v>
      </c>
      <c r="B72" s="357"/>
      <c r="C72" s="357"/>
      <c r="D72" s="350"/>
      <c r="E72" s="350"/>
      <c r="F72" s="357"/>
      <c r="G72" s="357"/>
      <c r="H72" s="350"/>
      <c r="I72" s="350"/>
      <c r="J72" s="357"/>
      <c r="K72" s="357"/>
      <c r="L72" s="350"/>
      <c r="M72" s="348"/>
    </row>
    <row r="73" spans="1:14" x14ac:dyDescent="0.2">
      <c r="A73" s="272" t="s">
        <v>12</v>
      </c>
      <c r="B73" s="370"/>
      <c r="C73" s="371"/>
      <c r="D73" s="350"/>
      <c r="E73" s="350"/>
      <c r="F73" s="370"/>
      <c r="G73" s="371"/>
      <c r="H73" s="350"/>
      <c r="I73" s="350"/>
      <c r="J73" s="370"/>
      <c r="K73" s="371"/>
      <c r="L73" s="350"/>
      <c r="M73" s="348"/>
    </row>
    <row r="74" spans="1:14" s="3" customFormat="1" x14ac:dyDescent="0.2">
      <c r="A74" s="272" t="s">
        <v>13</v>
      </c>
      <c r="B74" s="370"/>
      <c r="C74" s="371"/>
      <c r="D74" s="350"/>
      <c r="E74" s="350"/>
      <c r="F74" s="370"/>
      <c r="G74" s="371"/>
      <c r="H74" s="350"/>
      <c r="I74" s="350"/>
      <c r="J74" s="370"/>
      <c r="K74" s="371"/>
      <c r="L74" s="350"/>
      <c r="M74" s="348"/>
      <c r="N74" s="148"/>
    </row>
    <row r="75" spans="1:14" s="3" customFormat="1" x14ac:dyDescent="0.2">
      <c r="A75" s="21" t="s">
        <v>326</v>
      </c>
      <c r="B75" s="353"/>
      <c r="C75" s="365"/>
      <c r="D75" s="350"/>
      <c r="E75" s="350"/>
      <c r="F75" s="353"/>
      <c r="G75" s="365"/>
      <c r="H75" s="350"/>
      <c r="I75" s="350"/>
      <c r="J75" s="365"/>
      <c r="K75" s="341"/>
      <c r="L75" s="350"/>
      <c r="M75" s="348"/>
      <c r="N75" s="148"/>
    </row>
    <row r="76" spans="1:14" s="3" customFormat="1" x14ac:dyDescent="0.2">
      <c r="A76" s="21" t="s">
        <v>325</v>
      </c>
      <c r="B76" s="353"/>
      <c r="C76" s="365"/>
      <c r="D76" s="350"/>
      <c r="E76" s="350"/>
      <c r="F76" s="353"/>
      <c r="G76" s="365"/>
      <c r="H76" s="350"/>
      <c r="I76" s="350"/>
      <c r="J76" s="365"/>
      <c r="K76" s="341"/>
      <c r="L76" s="350"/>
      <c r="M76" s="348"/>
      <c r="N76" s="148"/>
    </row>
    <row r="77" spans="1:14" ht="15.75" x14ac:dyDescent="0.2">
      <c r="A77" s="21" t="s">
        <v>358</v>
      </c>
      <c r="B77" s="353"/>
      <c r="C77" s="353"/>
      <c r="D77" s="350"/>
      <c r="E77" s="350"/>
      <c r="F77" s="353"/>
      <c r="G77" s="365"/>
      <c r="H77" s="350"/>
      <c r="I77" s="350"/>
      <c r="J77" s="365"/>
      <c r="K77" s="341"/>
      <c r="L77" s="350"/>
      <c r="M77" s="348"/>
    </row>
    <row r="78" spans="1:14" x14ac:dyDescent="0.2">
      <c r="A78" s="21" t="s">
        <v>9</v>
      </c>
      <c r="B78" s="353"/>
      <c r="C78" s="365"/>
      <c r="D78" s="350"/>
      <c r="E78" s="350"/>
      <c r="F78" s="353"/>
      <c r="G78" s="365"/>
      <c r="H78" s="350"/>
      <c r="I78" s="350"/>
      <c r="J78" s="365"/>
      <c r="K78" s="341"/>
      <c r="L78" s="350"/>
      <c r="M78" s="348"/>
    </row>
    <row r="79" spans="1:14" x14ac:dyDescent="0.2">
      <c r="A79" s="38" t="s">
        <v>398</v>
      </c>
      <c r="B79" s="366"/>
      <c r="C79" s="367"/>
      <c r="D79" s="350"/>
      <c r="E79" s="350"/>
      <c r="F79" s="366"/>
      <c r="G79" s="367"/>
      <c r="H79" s="350"/>
      <c r="I79" s="350"/>
      <c r="J79" s="365"/>
      <c r="K79" s="341"/>
      <c r="L79" s="350"/>
      <c r="M79" s="348"/>
    </row>
    <row r="80" spans="1:14" ht="15.75" x14ac:dyDescent="0.2">
      <c r="A80" s="272" t="s">
        <v>356</v>
      </c>
      <c r="B80" s="357"/>
      <c r="C80" s="357"/>
      <c r="D80" s="350"/>
      <c r="E80" s="350"/>
      <c r="F80" s="357"/>
      <c r="G80" s="357"/>
      <c r="H80" s="350"/>
      <c r="I80" s="350"/>
      <c r="J80" s="357"/>
      <c r="K80" s="357"/>
      <c r="L80" s="350"/>
      <c r="M80" s="348"/>
    </row>
    <row r="81" spans="1:13" x14ac:dyDescent="0.2">
      <c r="A81" s="272" t="s">
        <v>12</v>
      </c>
      <c r="B81" s="357"/>
      <c r="C81" s="357"/>
      <c r="D81" s="350"/>
      <c r="E81" s="350"/>
      <c r="F81" s="368"/>
      <c r="G81" s="369"/>
      <c r="H81" s="350"/>
      <c r="I81" s="350"/>
      <c r="J81" s="368"/>
      <c r="K81" s="369"/>
      <c r="L81" s="350"/>
      <c r="M81" s="348"/>
    </row>
    <row r="82" spans="1:13" x14ac:dyDescent="0.2">
      <c r="A82" s="272" t="s">
        <v>13</v>
      </c>
      <c r="B82" s="357"/>
      <c r="C82" s="357"/>
      <c r="D82" s="350"/>
      <c r="E82" s="350"/>
      <c r="F82" s="370"/>
      <c r="G82" s="371"/>
      <c r="H82" s="350"/>
      <c r="I82" s="350"/>
      <c r="J82" s="370"/>
      <c r="K82" s="371"/>
      <c r="L82" s="350"/>
      <c r="M82" s="348"/>
    </row>
    <row r="83" spans="1:13" ht="15.75" x14ac:dyDescent="0.2">
      <c r="A83" s="272" t="s">
        <v>357</v>
      </c>
      <c r="B83" s="357"/>
      <c r="C83" s="357"/>
      <c r="D83" s="350"/>
      <c r="E83" s="350"/>
      <c r="F83" s="357"/>
      <c r="G83" s="357"/>
      <c r="H83" s="350"/>
      <c r="I83" s="350"/>
      <c r="J83" s="357"/>
      <c r="K83" s="357"/>
      <c r="L83" s="350"/>
      <c r="M83" s="348"/>
    </row>
    <row r="84" spans="1:13" x14ac:dyDescent="0.2">
      <c r="A84" s="272" t="s">
        <v>12</v>
      </c>
      <c r="B84" s="370"/>
      <c r="C84" s="371"/>
      <c r="D84" s="350"/>
      <c r="E84" s="350"/>
      <c r="F84" s="370"/>
      <c r="G84" s="371"/>
      <c r="H84" s="350"/>
      <c r="I84" s="350"/>
      <c r="J84" s="370"/>
      <c r="K84" s="371"/>
      <c r="L84" s="350"/>
      <c r="M84" s="348"/>
    </row>
    <row r="85" spans="1:13" x14ac:dyDescent="0.2">
      <c r="A85" s="272" t="s">
        <v>13</v>
      </c>
      <c r="B85" s="370"/>
      <c r="C85" s="371"/>
      <c r="D85" s="350"/>
      <c r="E85" s="350"/>
      <c r="F85" s="370"/>
      <c r="G85" s="371"/>
      <c r="H85" s="350"/>
      <c r="I85" s="350"/>
      <c r="J85" s="370"/>
      <c r="K85" s="371"/>
      <c r="L85" s="350"/>
      <c r="M85" s="348"/>
    </row>
    <row r="86" spans="1:13" ht="15.75" x14ac:dyDescent="0.2">
      <c r="A86" s="21" t="s">
        <v>359</v>
      </c>
      <c r="B86" s="353"/>
      <c r="C86" s="365"/>
      <c r="D86" s="350"/>
      <c r="E86" s="350"/>
      <c r="F86" s="353"/>
      <c r="G86" s="365"/>
      <c r="H86" s="350"/>
      <c r="I86" s="350"/>
      <c r="J86" s="365"/>
      <c r="K86" s="341"/>
      <c r="L86" s="350"/>
      <c r="M86" s="348"/>
    </row>
    <row r="87" spans="1:13" ht="15.75" x14ac:dyDescent="0.2">
      <c r="A87" s="13" t="s">
        <v>341</v>
      </c>
      <c r="B87" s="364"/>
      <c r="C87" s="364"/>
      <c r="D87" s="350"/>
      <c r="E87" s="350"/>
      <c r="F87" s="364"/>
      <c r="G87" s="364"/>
      <c r="H87" s="350"/>
      <c r="I87" s="350"/>
      <c r="J87" s="372"/>
      <c r="K87" s="343"/>
      <c r="L87" s="350"/>
      <c r="M87" s="348"/>
    </row>
    <row r="88" spans="1:13" x14ac:dyDescent="0.2">
      <c r="A88" s="21" t="s">
        <v>9</v>
      </c>
      <c r="B88" s="353"/>
      <c r="C88" s="365"/>
      <c r="D88" s="350"/>
      <c r="E88" s="350"/>
      <c r="F88" s="353"/>
      <c r="G88" s="365"/>
      <c r="H88" s="350"/>
      <c r="I88" s="350"/>
      <c r="J88" s="365"/>
      <c r="K88" s="341"/>
      <c r="L88" s="350"/>
      <c r="M88" s="348"/>
    </row>
    <row r="89" spans="1:13" x14ac:dyDescent="0.2">
      <c r="A89" s="21" t="s">
        <v>10</v>
      </c>
      <c r="B89" s="353"/>
      <c r="C89" s="365"/>
      <c r="D89" s="350"/>
      <c r="E89" s="350"/>
      <c r="F89" s="353"/>
      <c r="G89" s="365"/>
      <c r="H89" s="350"/>
      <c r="I89" s="350"/>
      <c r="J89" s="365"/>
      <c r="K89" s="341"/>
      <c r="L89" s="350"/>
      <c r="M89" s="348"/>
    </row>
    <row r="90" spans="1:13" ht="15.75" x14ac:dyDescent="0.2">
      <c r="A90" s="272" t="s">
        <v>356</v>
      </c>
      <c r="B90" s="357"/>
      <c r="C90" s="357"/>
      <c r="D90" s="350"/>
      <c r="E90" s="350"/>
      <c r="F90" s="357"/>
      <c r="G90" s="357"/>
      <c r="H90" s="350"/>
      <c r="I90" s="350"/>
      <c r="J90" s="357"/>
      <c r="K90" s="357"/>
      <c r="L90" s="350"/>
      <c r="M90" s="348"/>
    </row>
    <row r="91" spans="1:13" x14ac:dyDescent="0.2">
      <c r="A91" s="272" t="s">
        <v>12</v>
      </c>
      <c r="B91" s="357"/>
      <c r="C91" s="357"/>
      <c r="D91" s="350"/>
      <c r="E91" s="350"/>
      <c r="F91" s="368"/>
      <c r="G91" s="369"/>
      <c r="H91" s="350"/>
      <c r="I91" s="350"/>
      <c r="J91" s="368"/>
      <c r="K91" s="369"/>
      <c r="L91" s="350"/>
      <c r="M91" s="348"/>
    </row>
    <row r="92" spans="1:13" x14ac:dyDescent="0.2">
      <c r="A92" s="272" t="s">
        <v>13</v>
      </c>
      <c r="B92" s="357"/>
      <c r="C92" s="357"/>
      <c r="D92" s="350"/>
      <c r="E92" s="350"/>
      <c r="F92" s="370"/>
      <c r="G92" s="371"/>
      <c r="H92" s="350"/>
      <c r="I92" s="350"/>
      <c r="J92" s="370"/>
      <c r="K92" s="371"/>
      <c r="L92" s="350"/>
      <c r="M92" s="348"/>
    </row>
    <row r="93" spans="1:13" ht="15.75" x14ac:dyDescent="0.2">
      <c r="A93" s="272" t="s">
        <v>357</v>
      </c>
      <c r="B93" s="357"/>
      <c r="C93" s="357"/>
      <c r="D93" s="350"/>
      <c r="E93" s="350"/>
      <c r="F93" s="357"/>
      <c r="G93" s="357"/>
      <c r="H93" s="350"/>
      <c r="I93" s="350"/>
      <c r="J93" s="357"/>
      <c r="K93" s="357"/>
      <c r="L93" s="350"/>
      <c r="M93" s="348"/>
    </row>
    <row r="94" spans="1:13" x14ac:dyDescent="0.2">
      <c r="A94" s="272" t="s">
        <v>12</v>
      </c>
      <c r="B94" s="370"/>
      <c r="C94" s="371"/>
      <c r="D94" s="350"/>
      <c r="E94" s="350"/>
      <c r="F94" s="370"/>
      <c r="G94" s="371"/>
      <c r="H94" s="350"/>
      <c r="I94" s="350"/>
      <c r="J94" s="370"/>
      <c r="K94" s="371"/>
      <c r="L94" s="350"/>
      <c r="M94" s="348"/>
    </row>
    <row r="95" spans="1:13" x14ac:dyDescent="0.2">
      <c r="A95" s="272" t="s">
        <v>13</v>
      </c>
      <c r="B95" s="370"/>
      <c r="C95" s="371"/>
      <c r="D95" s="350"/>
      <c r="E95" s="350"/>
      <c r="F95" s="370"/>
      <c r="G95" s="371"/>
      <c r="H95" s="350"/>
      <c r="I95" s="350"/>
      <c r="J95" s="370"/>
      <c r="K95" s="371"/>
      <c r="L95" s="350"/>
      <c r="M95" s="348"/>
    </row>
    <row r="96" spans="1:13" x14ac:dyDescent="0.2">
      <c r="A96" s="21" t="s">
        <v>324</v>
      </c>
      <c r="B96" s="353"/>
      <c r="C96" s="365"/>
      <c r="D96" s="350"/>
      <c r="E96" s="350"/>
      <c r="F96" s="353"/>
      <c r="G96" s="365"/>
      <c r="H96" s="350"/>
      <c r="I96" s="350"/>
      <c r="J96" s="365"/>
      <c r="K96" s="341"/>
      <c r="L96" s="350"/>
      <c r="M96" s="348"/>
    </row>
    <row r="97" spans="1:13" x14ac:dyDescent="0.2">
      <c r="A97" s="21" t="s">
        <v>323</v>
      </c>
      <c r="B97" s="353"/>
      <c r="C97" s="365"/>
      <c r="D97" s="350"/>
      <c r="E97" s="350"/>
      <c r="F97" s="353"/>
      <c r="G97" s="365"/>
      <c r="H97" s="350"/>
      <c r="I97" s="350"/>
      <c r="J97" s="365"/>
      <c r="K97" s="341"/>
      <c r="L97" s="350"/>
      <c r="M97" s="348"/>
    </row>
    <row r="98" spans="1:13" ht="15.75" x14ac:dyDescent="0.2">
      <c r="A98" s="21" t="s">
        <v>358</v>
      </c>
      <c r="B98" s="353"/>
      <c r="C98" s="353"/>
      <c r="D98" s="350"/>
      <c r="E98" s="350"/>
      <c r="F98" s="366"/>
      <c r="G98" s="366"/>
      <c r="H98" s="350"/>
      <c r="I98" s="350"/>
      <c r="J98" s="365"/>
      <c r="K98" s="341"/>
      <c r="L98" s="350"/>
      <c r="M98" s="348"/>
    </row>
    <row r="99" spans="1:13" x14ac:dyDescent="0.2">
      <c r="A99" s="21" t="s">
        <v>9</v>
      </c>
      <c r="B99" s="366"/>
      <c r="C99" s="367"/>
      <c r="D99" s="350"/>
      <c r="E99" s="350"/>
      <c r="F99" s="353"/>
      <c r="G99" s="365"/>
      <c r="H99" s="350"/>
      <c r="I99" s="350"/>
      <c r="J99" s="365"/>
      <c r="K99" s="341"/>
      <c r="L99" s="350"/>
      <c r="M99" s="348"/>
    </row>
    <row r="100" spans="1:13" ht="15.75" x14ac:dyDescent="0.2">
      <c r="A100" s="38" t="s">
        <v>399</v>
      </c>
      <c r="B100" s="366"/>
      <c r="C100" s="367"/>
      <c r="D100" s="350"/>
      <c r="E100" s="350"/>
      <c r="F100" s="353"/>
      <c r="G100" s="353"/>
      <c r="H100" s="350"/>
      <c r="I100" s="350"/>
      <c r="J100" s="365"/>
      <c r="K100" s="341"/>
      <c r="L100" s="350"/>
      <c r="M100" s="348"/>
    </row>
    <row r="101" spans="1:13" ht="15.75" x14ac:dyDescent="0.2">
      <c r="A101" s="38" t="s">
        <v>400</v>
      </c>
      <c r="B101" s="366"/>
      <c r="C101" s="366"/>
      <c r="D101" s="350"/>
      <c r="E101" s="350"/>
      <c r="F101" s="366"/>
      <c r="G101" s="366"/>
      <c r="H101" s="350"/>
      <c r="I101" s="350"/>
      <c r="J101" s="365"/>
      <c r="K101" s="341"/>
      <c r="L101" s="350"/>
      <c r="M101" s="348"/>
    </row>
    <row r="102" spans="1:13" ht="15.75" x14ac:dyDescent="0.2">
      <c r="A102" s="272" t="s">
        <v>356</v>
      </c>
      <c r="B102" s="357"/>
      <c r="C102" s="357"/>
      <c r="D102" s="350"/>
      <c r="E102" s="350"/>
      <c r="F102" s="357"/>
      <c r="G102" s="357"/>
      <c r="H102" s="350"/>
      <c r="I102" s="350"/>
      <c r="J102" s="357"/>
      <c r="K102" s="357"/>
      <c r="L102" s="350"/>
      <c r="M102" s="348"/>
    </row>
    <row r="103" spans="1:13" x14ac:dyDescent="0.2">
      <c r="A103" s="272" t="s">
        <v>12</v>
      </c>
      <c r="B103" s="357"/>
      <c r="C103" s="357"/>
      <c r="D103" s="350"/>
      <c r="E103" s="350"/>
      <c r="F103" s="368"/>
      <c r="G103" s="369"/>
      <c r="H103" s="350"/>
      <c r="I103" s="350"/>
      <c r="J103" s="368"/>
      <c r="K103" s="369"/>
      <c r="L103" s="350"/>
      <c r="M103" s="348"/>
    </row>
    <row r="104" spans="1:13" x14ac:dyDescent="0.2">
      <c r="A104" s="272" t="s">
        <v>13</v>
      </c>
      <c r="B104" s="357"/>
      <c r="C104" s="357"/>
      <c r="D104" s="350"/>
      <c r="E104" s="350"/>
      <c r="F104" s="370"/>
      <c r="G104" s="371"/>
      <c r="H104" s="350"/>
      <c r="I104" s="350"/>
      <c r="J104" s="370"/>
      <c r="K104" s="371"/>
      <c r="L104" s="350"/>
      <c r="M104" s="348"/>
    </row>
    <row r="105" spans="1:13" ht="15.75" x14ac:dyDescent="0.2">
      <c r="A105" s="272" t="s">
        <v>357</v>
      </c>
      <c r="B105" s="357"/>
      <c r="C105" s="357"/>
      <c r="D105" s="350"/>
      <c r="E105" s="350"/>
      <c r="F105" s="357"/>
      <c r="G105" s="357"/>
      <c r="H105" s="350"/>
      <c r="I105" s="350"/>
      <c r="J105" s="357"/>
      <c r="K105" s="357"/>
      <c r="L105" s="350"/>
      <c r="M105" s="348"/>
    </row>
    <row r="106" spans="1:13" x14ac:dyDescent="0.2">
      <c r="A106" s="272" t="s">
        <v>12</v>
      </c>
      <c r="B106" s="370"/>
      <c r="C106" s="371"/>
      <c r="D106" s="350"/>
      <c r="E106" s="350"/>
      <c r="F106" s="370"/>
      <c r="G106" s="371"/>
      <c r="H106" s="350"/>
      <c r="I106" s="350"/>
      <c r="J106" s="370"/>
      <c r="K106" s="371"/>
      <c r="L106" s="350"/>
      <c r="M106" s="348"/>
    </row>
    <row r="107" spans="1:13" x14ac:dyDescent="0.2">
      <c r="A107" s="272" t="s">
        <v>13</v>
      </c>
      <c r="B107" s="370"/>
      <c r="C107" s="371"/>
      <c r="D107" s="350"/>
      <c r="E107" s="350"/>
      <c r="F107" s="370"/>
      <c r="G107" s="371"/>
      <c r="H107" s="350"/>
      <c r="I107" s="350"/>
      <c r="J107" s="370"/>
      <c r="K107" s="371"/>
      <c r="L107" s="350"/>
      <c r="M107" s="348"/>
    </row>
    <row r="108" spans="1:13" ht="15.75" x14ac:dyDescent="0.2">
      <c r="A108" s="21" t="s">
        <v>359</v>
      </c>
      <c r="B108" s="353"/>
      <c r="C108" s="365"/>
      <c r="D108" s="350"/>
      <c r="E108" s="350"/>
      <c r="F108" s="353"/>
      <c r="G108" s="365"/>
      <c r="H108" s="350"/>
      <c r="I108" s="350"/>
      <c r="J108" s="365"/>
      <c r="K108" s="341"/>
      <c r="L108" s="350"/>
      <c r="M108" s="348"/>
    </row>
    <row r="109" spans="1:13" ht="15.75" x14ac:dyDescent="0.2">
      <c r="A109" s="21" t="s">
        <v>360</v>
      </c>
      <c r="B109" s="353"/>
      <c r="C109" s="353"/>
      <c r="D109" s="350"/>
      <c r="E109" s="350"/>
      <c r="F109" s="353"/>
      <c r="G109" s="353"/>
      <c r="H109" s="350"/>
      <c r="I109" s="350"/>
      <c r="J109" s="365"/>
      <c r="K109" s="341"/>
      <c r="L109" s="350"/>
      <c r="M109" s="348"/>
    </row>
    <row r="110" spans="1:13" ht="15.75" x14ac:dyDescent="0.2">
      <c r="A110" s="38" t="s">
        <v>416</v>
      </c>
      <c r="B110" s="353"/>
      <c r="C110" s="353"/>
      <c r="D110" s="350"/>
      <c r="E110" s="350"/>
      <c r="F110" s="353"/>
      <c r="G110" s="353"/>
      <c r="H110" s="350"/>
      <c r="I110" s="350"/>
      <c r="J110" s="365"/>
      <c r="K110" s="341"/>
      <c r="L110" s="350"/>
      <c r="M110" s="348"/>
    </row>
    <row r="111" spans="1:13" ht="15.75" x14ac:dyDescent="0.2">
      <c r="A111" s="21" t="s">
        <v>362</v>
      </c>
      <c r="B111" s="353"/>
      <c r="C111" s="353"/>
      <c r="D111" s="350"/>
      <c r="E111" s="350"/>
      <c r="F111" s="353"/>
      <c r="G111" s="353"/>
      <c r="H111" s="350"/>
      <c r="I111" s="350"/>
      <c r="J111" s="365"/>
      <c r="K111" s="341"/>
      <c r="L111" s="350"/>
      <c r="M111" s="348"/>
    </row>
    <row r="112" spans="1:13" ht="15.75" x14ac:dyDescent="0.2">
      <c r="A112" s="13" t="s">
        <v>342</v>
      </c>
      <c r="B112" s="349"/>
      <c r="C112" s="372"/>
      <c r="D112" s="350"/>
      <c r="E112" s="350"/>
      <c r="F112" s="349"/>
      <c r="G112" s="372"/>
      <c r="H112" s="350"/>
      <c r="I112" s="350"/>
      <c r="J112" s="372"/>
      <c r="K112" s="343"/>
      <c r="L112" s="350"/>
      <c r="M112" s="348"/>
    </row>
    <row r="113" spans="1:14" x14ac:dyDescent="0.2">
      <c r="A113" s="21" t="s">
        <v>9</v>
      </c>
      <c r="B113" s="353"/>
      <c r="C113" s="365"/>
      <c r="D113" s="350"/>
      <c r="E113" s="350"/>
      <c r="F113" s="353"/>
      <c r="G113" s="365"/>
      <c r="H113" s="350"/>
      <c r="I113" s="350"/>
      <c r="J113" s="365"/>
      <c r="K113" s="341"/>
      <c r="L113" s="350"/>
      <c r="M113" s="348"/>
    </row>
    <row r="114" spans="1:14" x14ac:dyDescent="0.2">
      <c r="A114" s="21" t="s">
        <v>10</v>
      </c>
      <c r="B114" s="353"/>
      <c r="C114" s="365"/>
      <c r="D114" s="350"/>
      <c r="E114" s="350"/>
      <c r="F114" s="353"/>
      <c r="G114" s="365"/>
      <c r="H114" s="350"/>
      <c r="I114" s="350"/>
      <c r="J114" s="365"/>
      <c r="K114" s="341"/>
      <c r="L114" s="350"/>
      <c r="M114" s="348"/>
    </row>
    <row r="115" spans="1:14" x14ac:dyDescent="0.2">
      <c r="A115" s="21" t="s">
        <v>26</v>
      </c>
      <c r="B115" s="353"/>
      <c r="C115" s="365"/>
      <c r="D115" s="350"/>
      <c r="E115" s="350"/>
      <c r="F115" s="353"/>
      <c r="G115" s="365"/>
      <c r="H115" s="350"/>
      <c r="I115" s="350"/>
      <c r="J115" s="365"/>
      <c r="K115" s="341"/>
      <c r="L115" s="350"/>
      <c r="M115" s="348"/>
    </row>
    <row r="116" spans="1:14" x14ac:dyDescent="0.2">
      <c r="A116" s="272" t="s">
        <v>15</v>
      </c>
      <c r="B116" s="341"/>
      <c r="C116" s="341"/>
      <c r="D116" s="350"/>
      <c r="E116" s="350"/>
      <c r="F116" s="353"/>
      <c r="G116" s="341"/>
      <c r="H116" s="350"/>
      <c r="I116" s="350"/>
      <c r="J116" s="670"/>
      <c r="K116" s="340"/>
      <c r="L116" s="350"/>
      <c r="M116" s="348"/>
    </row>
    <row r="117" spans="1:14" ht="15.75" x14ac:dyDescent="0.2">
      <c r="A117" s="21" t="s">
        <v>363</v>
      </c>
      <c r="B117" s="353"/>
      <c r="C117" s="353"/>
      <c r="D117" s="350"/>
      <c r="E117" s="350"/>
      <c r="F117" s="353"/>
      <c r="G117" s="353"/>
      <c r="H117" s="350"/>
      <c r="I117" s="350"/>
      <c r="J117" s="365"/>
      <c r="K117" s="341"/>
      <c r="L117" s="350"/>
      <c r="M117" s="348"/>
    </row>
    <row r="118" spans="1:14" ht="15.75" x14ac:dyDescent="0.2">
      <c r="A118" s="21" t="s">
        <v>364</v>
      </c>
      <c r="B118" s="353"/>
      <c r="C118" s="353"/>
      <c r="D118" s="350"/>
      <c r="E118" s="350"/>
      <c r="F118" s="353"/>
      <c r="G118" s="353"/>
      <c r="H118" s="350"/>
      <c r="I118" s="350"/>
      <c r="J118" s="365"/>
      <c r="K118" s="341"/>
      <c r="L118" s="350"/>
      <c r="M118" s="348"/>
    </row>
    <row r="119" spans="1:14" ht="15.75" x14ac:dyDescent="0.2">
      <c r="A119" s="21" t="s">
        <v>362</v>
      </c>
      <c r="B119" s="353"/>
      <c r="C119" s="353"/>
      <c r="D119" s="350"/>
      <c r="E119" s="350"/>
      <c r="F119" s="353"/>
      <c r="G119" s="353"/>
      <c r="H119" s="350"/>
      <c r="I119" s="350"/>
      <c r="J119" s="365"/>
      <c r="K119" s="341"/>
      <c r="L119" s="350"/>
      <c r="M119" s="348"/>
    </row>
    <row r="120" spans="1:14" ht="15.75" x14ac:dyDescent="0.2">
      <c r="A120" s="13" t="s">
        <v>343</v>
      </c>
      <c r="B120" s="349"/>
      <c r="C120" s="372"/>
      <c r="D120" s="350"/>
      <c r="E120" s="350"/>
      <c r="F120" s="349"/>
      <c r="G120" s="372"/>
      <c r="H120" s="350"/>
      <c r="I120" s="350"/>
      <c r="J120" s="372"/>
      <c r="K120" s="343"/>
      <c r="L120" s="350"/>
      <c r="M120" s="348"/>
    </row>
    <row r="121" spans="1:14" x14ac:dyDescent="0.2">
      <c r="A121" s="21" t="s">
        <v>9</v>
      </c>
      <c r="B121" s="353"/>
      <c r="C121" s="365"/>
      <c r="D121" s="350"/>
      <c r="E121" s="350"/>
      <c r="F121" s="353"/>
      <c r="G121" s="365"/>
      <c r="H121" s="350"/>
      <c r="I121" s="350"/>
      <c r="J121" s="365"/>
      <c r="K121" s="341"/>
      <c r="L121" s="350"/>
      <c r="M121" s="348"/>
    </row>
    <row r="122" spans="1:14" x14ac:dyDescent="0.2">
      <c r="A122" s="21" t="s">
        <v>10</v>
      </c>
      <c r="B122" s="353"/>
      <c r="C122" s="365"/>
      <c r="D122" s="350"/>
      <c r="E122" s="350"/>
      <c r="F122" s="353"/>
      <c r="G122" s="365"/>
      <c r="H122" s="350"/>
      <c r="I122" s="350"/>
      <c r="J122" s="365"/>
      <c r="K122" s="341"/>
      <c r="L122" s="350"/>
      <c r="M122" s="348"/>
    </row>
    <row r="123" spans="1:14" x14ac:dyDescent="0.2">
      <c r="A123" s="21" t="s">
        <v>26</v>
      </c>
      <c r="B123" s="353"/>
      <c r="C123" s="365"/>
      <c r="D123" s="350"/>
      <c r="E123" s="350"/>
      <c r="F123" s="353"/>
      <c r="G123" s="365"/>
      <c r="H123" s="350"/>
      <c r="I123" s="350"/>
      <c r="J123" s="365"/>
      <c r="K123" s="341"/>
      <c r="L123" s="350"/>
      <c r="M123" s="348"/>
    </row>
    <row r="124" spans="1:14" x14ac:dyDescent="0.2">
      <c r="A124" s="272" t="s">
        <v>14</v>
      </c>
      <c r="B124" s="341"/>
      <c r="C124" s="341"/>
      <c r="D124" s="350"/>
      <c r="E124" s="350"/>
      <c r="F124" s="353"/>
      <c r="G124" s="341"/>
      <c r="H124" s="350"/>
      <c r="I124" s="350"/>
      <c r="J124" s="670"/>
      <c r="K124" s="340"/>
      <c r="L124" s="350"/>
      <c r="M124" s="348"/>
    </row>
    <row r="125" spans="1:14" ht="15.75" x14ac:dyDescent="0.2">
      <c r="A125" s="21" t="s">
        <v>369</v>
      </c>
      <c r="B125" s="353"/>
      <c r="C125" s="353"/>
      <c r="D125" s="350"/>
      <c r="E125" s="350"/>
      <c r="F125" s="353"/>
      <c r="G125" s="353"/>
      <c r="H125" s="350"/>
      <c r="I125" s="350"/>
      <c r="J125" s="365"/>
      <c r="K125" s="341"/>
      <c r="L125" s="350"/>
      <c r="M125" s="348"/>
    </row>
    <row r="126" spans="1:14" ht="15.75" x14ac:dyDescent="0.2">
      <c r="A126" s="21" t="s">
        <v>361</v>
      </c>
      <c r="B126" s="353"/>
      <c r="C126" s="353"/>
      <c r="D126" s="350"/>
      <c r="E126" s="350"/>
      <c r="F126" s="353"/>
      <c r="G126" s="353"/>
      <c r="H126" s="350"/>
      <c r="I126" s="350"/>
      <c r="J126" s="365"/>
      <c r="K126" s="341"/>
      <c r="L126" s="350"/>
      <c r="M126" s="348"/>
    </row>
    <row r="127" spans="1:14" ht="15.75" x14ac:dyDescent="0.2">
      <c r="A127" s="10" t="s">
        <v>362</v>
      </c>
      <c r="B127" s="362"/>
      <c r="C127" s="362"/>
      <c r="D127" s="354"/>
      <c r="E127" s="354"/>
      <c r="F127" s="669"/>
      <c r="G127" s="362"/>
      <c r="H127" s="354"/>
      <c r="I127" s="354"/>
      <c r="J127" s="671"/>
      <c r="K127" s="362"/>
      <c r="L127" s="354"/>
      <c r="M127" s="354"/>
    </row>
    <row r="128" spans="1:14" x14ac:dyDescent="0.2">
      <c r="A128" s="155"/>
      <c r="L128" s="26"/>
      <c r="M128" s="26"/>
      <c r="N128" s="26"/>
    </row>
    <row r="129" spans="1:14" x14ac:dyDescent="0.2">
      <c r="L129" s="26"/>
      <c r="M129" s="26"/>
      <c r="N129" s="26"/>
    </row>
    <row r="130" spans="1:14" ht="15.75" x14ac:dyDescent="0.25">
      <c r="A130" s="165" t="s">
        <v>27</v>
      </c>
    </row>
    <row r="131" spans="1:14" ht="15.75" x14ac:dyDescent="0.25">
      <c r="B131" s="334"/>
      <c r="C131" s="334"/>
      <c r="D131" s="334"/>
      <c r="E131" s="335"/>
      <c r="F131" s="334"/>
      <c r="G131" s="334"/>
      <c r="H131" s="334"/>
      <c r="I131" s="335"/>
      <c r="J131" s="334"/>
      <c r="K131" s="334"/>
      <c r="L131" s="334"/>
      <c r="M131" s="335"/>
    </row>
    <row r="132" spans="1:14" s="3" customFormat="1" x14ac:dyDescent="0.2">
      <c r="A132" s="144"/>
      <c r="B132" s="695" t="s">
        <v>0</v>
      </c>
      <c r="C132" s="696"/>
      <c r="D132" s="696"/>
      <c r="E132" s="332"/>
      <c r="F132" s="695" t="s">
        <v>1</v>
      </c>
      <c r="G132" s="696"/>
      <c r="H132" s="696"/>
      <c r="I132" s="333"/>
      <c r="J132" s="695" t="s">
        <v>2</v>
      </c>
      <c r="K132" s="696"/>
      <c r="L132" s="696"/>
      <c r="M132" s="333"/>
      <c r="N132" s="148"/>
    </row>
    <row r="133" spans="1:14" s="3" customFormat="1" x14ac:dyDescent="0.2">
      <c r="A133" s="140"/>
      <c r="B133" s="152" t="s">
        <v>412</v>
      </c>
      <c r="C133" s="152" t="s">
        <v>413</v>
      </c>
      <c r="D133" s="222" t="s">
        <v>3</v>
      </c>
      <c r="E133" s="281" t="s">
        <v>29</v>
      </c>
      <c r="F133" s="152" t="s">
        <v>412</v>
      </c>
      <c r="G133" s="152" t="s">
        <v>413</v>
      </c>
      <c r="H133" s="203" t="s">
        <v>3</v>
      </c>
      <c r="I133" s="281" t="s">
        <v>29</v>
      </c>
      <c r="J133" s="152" t="s">
        <v>412</v>
      </c>
      <c r="K133" s="152" t="s">
        <v>413</v>
      </c>
      <c r="L133" s="223" t="s">
        <v>3</v>
      </c>
      <c r="M133" s="162" t="s">
        <v>29</v>
      </c>
      <c r="N133" s="148"/>
    </row>
    <row r="134" spans="1:14" s="3" customFormat="1" x14ac:dyDescent="0.2">
      <c r="A134" s="662"/>
      <c r="B134" s="156"/>
      <c r="C134" s="156"/>
      <c r="D134" s="223" t="s">
        <v>4</v>
      </c>
      <c r="E134" s="156" t="s">
        <v>30</v>
      </c>
      <c r="F134" s="161"/>
      <c r="G134" s="161"/>
      <c r="H134" s="203" t="s">
        <v>4</v>
      </c>
      <c r="I134" s="156" t="s">
        <v>30</v>
      </c>
      <c r="J134" s="156"/>
      <c r="K134" s="156"/>
      <c r="L134" s="150" t="s">
        <v>4</v>
      </c>
      <c r="M134" s="156" t="s">
        <v>30</v>
      </c>
      <c r="N134" s="148"/>
    </row>
    <row r="135" spans="1:14" s="3" customFormat="1" ht="15.75" x14ac:dyDescent="0.2">
      <c r="A135" s="14" t="s">
        <v>365</v>
      </c>
      <c r="B135" s="343"/>
      <c r="C135" s="344"/>
      <c r="D135" s="347"/>
      <c r="E135" s="348"/>
      <c r="F135" s="338"/>
      <c r="G135" s="339"/>
      <c r="H135" s="374"/>
      <c r="I135" s="348"/>
      <c r="J135" s="356"/>
      <c r="K135" s="356"/>
      <c r="L135" s="347"/>
      <c r="M135" s="348"/>
      <c r="N135" s="148"/>
    </row>
    <row r="136" spans="1:14" s="3" customFormat="1" ht="15.75" x14ac:dyDescent="0.2">
      <c r="A136" s="13" t="s">
        <v>370</v>
      </c>
      <c r="B136" s="343"/>
      <c r="C136" s="344"/>
      <c r="D136" s="350"/>
      <c r="E136" s="348"/>
      <c r="F136" s="343"/>
      <c r="G136" s="344"/>
      <c r="H136" s="375"/>
      <c r="I136" s="348"/>
      <c r="J136" s="349"/>
      <c r="K136" s="349"/>
      <c r="L136" s="350"/>
      <c r="M136" s="348"/>
      <c r="N136" s="148"/>
    </row>
    <row r="137" spans="1:14" s="3" customFormat="1" ht="15.75" x14ac:dyDescent="0.2">
      <c r="A137" s="13" t="s">
        <v>367</v>
      </c>
      <c r="B137" s="343"/>
      <c r="C137" s="344"/>
      <c r="D137" s="350"/>
      <c r="E137" s="348"/>
      <c r="F137" s="343"/>
      <c r="G137" s="344"/>
      <c r="H137" s="375"/>
      <c r="I137" s="348"/>
      <c r="J137" s="349"/>
      <c r="K137" s="349"/>
      <c r="L137" s="350"/>
      <c r="M137" s="348"/>
      <c r="N137" s="148"/>
    </row>
    <row r="138" spans="1:14" s="3" customFormat="1" ht="15.75" x14ac:dyDescent="0.2">
      <c r="A138" s="41" t="s">
        <v>368</v>
      </c>
      <c r="B138" s="345"/>
      <c r="C138" s="346"/>
      <c r="D138" s="354"/>
      <c r="E138" s="373"/>
      <c r="F138" s="345"/>
      <c r="G138" s="346"/>
      <c r="H138" s="376"/>
      <c r="I138" s="373"/>
      <c r="J138" s="355"/>
      <c r="K138" s="355"/>
      <c r="L138" s="354"/>
      <c r="M138" s="354"/>
      <c r="N138" s="148"/>
    </row>
    <row r="139" spans="1:14" s="3" customFormat="1"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68"/>
      <c r="B141" s="33"/>
      <c r="C141" s="33"/>
      <c r="D141" s="159"/>
      <c r="E141" s="159"/>
      <c r="F141" s="33"/>
      <c r="G141" s="33"/>
      <c r="H141" s="159"/>
      <c r="I141" s="159"/>
      <c r="J141" s="33"/>
      <c r="K141" s="33"/>
      <c r="L141" s="159"/>
      <c r="M141" s="159"/>
      <c r="N141" s="148"/>
    </row>
    <row r="142" spans="1:14" x14ac:dyDescent="0.2">
      <c r="A142" s="146"/>
      <c r="B142" s="146"/>
      <c r="C142" s="146"/>
      <c r="D142" s="146"/>
      <c r="E142" s="146"/>
      <c r="F142" s="146"/>
      <c r="G142" s="146"/>
      <c r="H142" s="146"/>
      <c r="I142" s="146"/>
      <c r="J142" s="146"/>
      <c r="K142" s="146"/>
      <c r="L142" s="146"/>
      <c r="M142" s="146"/>
      <c r="N142" s="146"/>
    </row>
    <row r="143" spans="1:14" ht="15.75" x14ac:dyDescent="0.25">
      <c r="B143" s="142"/>
      <c r="C143" s="142"/>
      <c r="D143" s="142"/>
      <c r="E143" s="142"/>
      <c r="F143" s="142"/>
      <c r="G143" s="142"/>
      <c r="H143" s="142"/>
      <c r="I143" s="142"/>
      <c r="J143" s="142"/>
      <c r="K143" s="142"/>
      <c r="L143" s="142"/>
      <c r="M143" s="142"/>
      <c r="N143" s="142"/>
    </row>
    <row r="144" spans="1:14" ht="15.75" x14ac:dyDescent="0.25">
      <c r="B144" s="157"/>
      <c r="C144" s="157"/>
      <c r="D144" s="157"/>
      <c r="E144" s="157"/>
      <c r="F144" s="157"/>
      <c r="G144" s="157"/>
      <c r="H144" s="157"/>
      <c r="I144" s="157"/>
      <c r="J144" s="157"/>
      <c r="K144" s="157"/>
      <c r="L144" s="157"/>
      <c r="M144" s="157"/>
      <c r="N144" s="157"/>
    </row>
    <row r="145" spans="2:14" ht="15.75" x14ac:dyDescent="0.25">
      <c r="B145" s="157"/>
      <c r="C145" s="157"/>
      <c r="D145" s="157"/>
      <c r="E145" s="157"/>
      <c r="F145" s="157"/>
      <c r="G145" s="157"/>
      <c r="H145" s="157"/>
      <c r="I145" s="157"/>
      <c r="J145" s="157"/>
      <c r="K145" s="157"/>
      <c r="L145" s="157"/>
      <c r="M145" s="157"/>
      <c r="N145" s="157"/>
    </row>
  </sheetData>
  <mergeCells count="13">
    <mergeCell ref="B44:D44"/>
    <mergeCell ref="J19:L19"/>
    <mergeCell ref="F19:H19"/>
    <mergeCell ref="B19:D19"/>
    <mergeCell ref="J4:L4"/>
    <mergeCell ref="F4:H4"/>
    <mergeCell ref="B4:D4"/>
    <mergeCell ref="J132:L132"/>
    <mergeCell ref="F132:H132"/>
    <mergeCell ref="B132:D132"/>
    <mergeCell ref="J63:L63"/>
    <mergeCell ref="F63:H63"/>
    <mergeCell ref="B63:D63"/>
  </mergeCells>
  <conditionalFormatting sqref="B116">
    <cfRule type="expression" dxfId="568" priority="76">
      <formula>kvartal &lt; 4</formula>
    </cfRule>
  </conditionalFormatting>
  <conditionalFormatting sqref="C116">
    <cfRule type="expression" dxfId="567" priority="75">
      <formula>kvartal &lt; 4</formula>
    </cfRule>
  </conditionalFormatting>
  <conditionalFormatting sqref="B124">
    <cfRule type="expression" dxfId="566" priority="74">
      <formula>kvartal &lt; 4</formula>
    </cfRule>
  </conditionalFormatting>
  <conditionalFormatting sqref="C124">
    <cfRule type="expression" dxfId="565" priority="73">
      <formula>kvartal &lt; 4</formula>
    </cfRule>
  </conditionalFormatting>
  <conditionalFormatting sqref="F116">
    <cfRule type="expression" dxfId="564" priority="58">
      <formula>kvartal &lt; 4</formula>
    </cfRule>
  </conditionalFormatting>
  <conditionalFormatting sqref="G116">
    <cfRule type="expression" dxfId="563" priority="57">
      <formula>kvartal &lt; 4</formula>
    </cfRule>
  </conditionalFormatting>
  <conditionalFormatting sqref="F124:G124">
    <cfRule type="expression" dxfId="562" priority="56">
      <formula>kvartal &lt; 4</formula>
    </cfRule>
  </conditionalFormatting>
  <conditionalFormatting sqref="J116:K116">
    <cfRule type="expression" dxfId="561" priority="32">
      <formula>kvartal &lt; 4</formula>
    </cfRule>
  </conditionalFormatting>
  <conditionalFormatting sqref="J124:K124">
    <cfRule type="expression" dxfId="560" priority="31">
      <formula>kvartal &lt; 4</formula>
    </cfRule>
  </conditionalFormatting>
  <conditionalFormatting sqref="A50:A52">
    <cfRule type="expression" dxfId="559" priority="12">
      <formula>kvartal &lt; 4</formula>
    </cfRule>
  </conditionalFormatting>
  <conditionalFormatting sqref="A69:A74">
    <cfRule type="expression" dxfId="558" priority="10">
      <formula>kvartal &lt; 4</formula>
    </cfRule>
  </conditionalFormatting>
  <conditionalFormatting sqref="A80:A85">
    <cfRule type="expression" dxfId="557" priority="9">
      <formula>kvartal &lt; 4</formula>
    </cfRule>
  </conditionalFormatting>
  <conditionalFormatting sqref="A90:A95">
    <cfRule type="expression" dxfId="556" priority="6">
      <formula>kvartal &lt; 4</formula>
    </cfRule>
  </conditionalFormatting>
  <conditionalFormatting sqref="A102:A107">
    <cfRule type="expression" dxfId="555" priority="5">
      <formula>kvartal &lt; 4</formula>
    </cfRule>
  </conditionalFormatting>
  <conditionalFormatting sqref="A116">
    <cfRule type="expression" dxfId="554" priority="4">
      <formula>kvartal &lt; 4</formula>
    </cfRule>
  </conditionalFormatting>
  <conditionalFormatting sqref="A124">
    <cfRule type="expression" dxfId="553" priority="3">
      <formula>kvartal &lt; 4</formula>
    </cfRule>
  </conditionalFormatting>
  <pageMargins left="0.70866141732283472" right="0.70866141732283472" top="0.78740157480314965" bottom="0.78740157480314965" header="0.31496062992125984" footer="0.31496062992125984"/>
  <pageSetup paperSize="9" scale="55" orientation="portrait" r:id="rId1"/>
  <rowBreaks count="1" manualBreakCount="1">
    <brk id="59" max="1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4"/>
  <dimension ref="A1:Q145"/>
  <sheetViews>
    <sheetView showGridLines="0" zoomScaleNormal="100" workbookViewId="0">
      <selection activeCell="A111" sqref="A111"/>
    </sheetView>
  </sheetViews>
  <sheetFormatPr baseColWidth="10" defaultColWidth="11.42578125" defaultRowHeight="12.75" x14ac:dyDescent="0.2"/>
  <cols>
    <col min="1" max="1" width="41.57031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7" x14ac:dyDescent="0.2">
      <c r="A1" s="172" t="s">
        <v>134</v>
      </c>
      <c r="B1" s="663"/>
      <c r="C1" s="225" t="s">
        <v>125</v>
      </c>
      <c r="D1" s="26"/>
      <c r="E1" s="26"/>
      <c r="F1" s="26"/>
      <c r="G1" s="26"/>
      <c r="H1" s="26"/>
      <c r="I1" s="26"/>
      <c r="J1" s="26"/>
      <c r="K1" s="26"/>
      <c r="L1" s="26"/>
      <c r="M1" s="26"/>
    </row>
    <row r="2" spans="1:17" ht="15.75" x14ac:dyDescent="0.25">
      <c r="A2" s="165" t="s">
        <v>28</v>
      </c>
      <c r="B2" s="699"/>
      <c r="C2" s="699"/>
      <c r="D2" s="699"/>
      <c r="E2" s="275"/>
      <c r="F2" s="699"/>
      <c r="G2" s="699"/>
      <c r="H2" s="699"/>
      <c r="I2" s="275"/>
      <c r="J2" s="699"/>
      <c r="K2" s="699"/>
      <c r="L2" s="699"/>
      <c r="M2" s="275"/>
    </row>
    <row r="3" spans="1:17" ht="15.75" x14ac:dyDescent="0.25">
      <c r="A3" s="163"/>
      <c r="B3" s="275"/>
      <c r="C3" s="275"/>
      <c r="D3" s="275"/>
      <c r="E3" s="275"/>
      <c r="F3" s="275"/>
      <c r="G3" s="275"/>
      <c r="H3" s="275"/>
      <c r="I3" s="275"/>
      <c r="J3" s="275"/>
      <c r="K3" s="275"/>
      <c r="L3" s="275"/>
      <c r="M3" s="275"/>
    </row>
    <row r="4" spans="1:17" x14ac:dyDescent="0.2">
      <c r="A4" s="144"/>
      <c r="B4" s="695" t="s">
        <v>0</v>
      </c>
      <c r="C4" s="696"/>
      <c r="D4" s="696"/>
      <c r="E4" s="277"/>
      <c r="F4" s="695" t="s">
        <v>1</v>
      </c>
      <c r="G4" s="696"/>
      <c r="H4" s="696"/>
      <c r="I4" s="280"/>
      <c r="J4" s="695" t="s">
        <v>2</v>
      </c>
      <c r="K4" s="696"/>
      <c r="L4" s="696"/>
      <c r="M4" s="280"/>
    </row>
    <row r="5" spans="1:17" x14ac:dyDescent="0.2">
      <c r="A5" s="158"/>
      <c r="B5" s="152" t="s">
        <v>412</v>
      </c>
      <c r="C5" s="152" t="s">
        <v>413</v>
      </c>
      <c r="D5" s="222" t="s">
        <v>3</v>
      </c>
      <c r="E5" s="281" t="s">
        <v>29</v>
      </c>
      <c r="F5" s="152" t="s">
        <v>412</v>
      </c>
      <c r="G5" s="152" t="s">
        <v>413</v>
      </c>
      <c r="H5" s="222" t="s">
        <v>3</v>
      </c>
      <c r="I5" s="162" t="s">
        <v>29</v>
      </c>
      <c r="J5" s="152" t="s">
        <v>412</v>
      </c>
      <c r="K5" s="152" t="s">
        <v>413</v>
      </c>
      <c r="L5" s="222" t="s">
        <v>3</v>
      </c>
      <c r="M5" s="162" t="s">
        <v>29</v>
      </c>
    </row>
    <row r="6" spans="1:17" x14ac:dyDescent="0.2">
      <c r="A6" s="661"/>
      <c r="B6" s="156"/>
      <c r="C6" s="156"/>
      <c r="D6" s="223" t="s">
        <v>4</v>
      </c>
      <c r="E6" s="156" t="s">
        <v>30</v>
      </c>
      <c r="F6" s="161"/>
      <c r="G6" s="161"/>
      <c r="H6" s="222" t="s">
        <v>4</v>
      </c>
      <c r="I6" s="156" t="s">
        <v>30</v>
      </c>
      <c r="J6" s="161"/>
      <c r="K6" s="161"/>
      <c r="L6" s="222" t="s">
        <v>4</v>
      </c>
      <c r="M6" s="156" t="s">
        <v>30</v>
      </c>
    </row>
    <row r="7" spans="1:17" ht="15.75" x14ac:dyDescent="0.2">
      <c r="A7" s="14" t="s">
        <v>23</v>
      </c>
      <c r="B7" s="282">
        <v>204971</v>
      </c>
      <c r="C7" s="283">
        <v>219169</v>
      </c>
      <c r="D7" s="326">
        <f t="shared" ref="D7:D10" si="0">IF(B7=0, "    ---- ", IF(ABS(ROUND(100/B7*C7-100,1))&lt;999,ROUND(100/B7*C7-100,1),IF(ROUND(100/B7*C7-100,1)&gt;999,999,-999)))</f>
        <v>6.9</v>
      </c>
      <c r="E7" s="11">
        <f>IFERROR(100/'Skjema total MA'!C7*C7,0)</f>
        <v>13.006305967411446</v>
      </c>
      <c r="F7" s="282"/>
      <c r="G7" s="283"/>
      <c r="H7" s="326"/>
      <c r="I7" s="160"/>
      <c r="J7" s="284">
        <f t="shared" ref="J7:K10" si="1">SUM(B7,F7)</f>
        <v>204971</v>
      </c>
      <c r="K7" s="285">
        <f t="shared" si="1"/>
        <v>219169</v>
      </c>
      <c r="L7" s="401">
        <f t="shared" ref="L7:L10" si="2">IF(J7=0, "    ---- ", IF(ABS(ROUND(100/J7*K7-100,1))&lt;999,ROUND(100/J7*K7-100,1),IF(ROUND(100/J7*K7-100,1)&gt;999,999,-999)))</f>
        <v>6.9</v>
      </c>
      <c r="M7" s="11">
        <f>IFERROR(100/'Skjema total MA'!I7*K7,0)</f>
        <v>3.9223790160208623</v>
      </c>
    </row>
    <row r="8" spans="1:17" ht="15.75" x14ac:dyDescent="0.2">
      <c r="A8" s="21" t="s">
        <v>25</v>
      </c>
      <c r="B8" s="258">
        <v>176784</v>
      </c>
      <c r="C8" s="259">
        <v>189777</v>
      </c>
      <c r="D8" s="166">
        <f t="shared" si="0"/>
        <v>7.3</v>
      </c>
      <c r="E8" s="27">
        <f>IFERROR(100/'Skjema total MA'!C8*C8,0)</f>
        <v>16.643552330601782</v>
      </c>
      <c r="F8" s="262"/>
      <c r="G8" s="263"/>
      <c r="H8" s="166"/>
      <c r="I8" s="175"/>
      <c r="J8" s="211">
        <f t="shared" si="1"/>
        <v>176784</v>
      </c>
      <c r="K8" s="264">
        <f t="shared" si="1"/>
        <v>189777</v>
      </c>
      <c r="L8" s="166">
        <f t="shared" si="2"/>
        <v>7.3</v>
      </c>
      <c r="M8" s="27">
        <f>IFERROR(100/'Skjema total MA'!I8*K8,0)</f>
        <v>16.643552330601782</v>
      </c>
    </row>
    <row r="9" spans="1:17" ht="15.75" x14ac:dyDescent="0.2">
      <c r="A9" s="21" t="s">
        <v>24</v>
      </c>
      <c r="B9" s="258">
        <v>28187</v>
      </c>
      <c r="C9" s="259">
        <v>29392</v>
      </c>
      <c r="D9" s="166">
        <f t="shared" si="0"/>
        <v>4.3</v>
      </c>
      <c r="E9" s="27">
        <f>IFERROR(100/'Skjema total MA'!C9*C9,0)</f>
        <v>8.2407451328033154</v>
      </c>
      <c r="F9" s="262"/>
      <c r="G9" s="263"/>
      <c r="H9" s="166"/>
      <c r="I9" s="175"/>
      <c r="J9" s="211">
        <f t="shared" si="1"/>
        <v>28187</v>
      </c>
      <c r="K9" s="264">
        <f t="shared" si="1"/>
        <v>29392</v>
      </c>
      <c r="L9" s="166">
        <f t="shared" si="2"/>
        <v>4.3</v>
      </c>
      <c r="M9" s="27">
        <f>IFERROR(100/'Skjema total MA'!I9*K9,0)</f>
        <v>8.2407451328033154</v>
      </c>
    </row>
    <row r="10" spans="1:17" ht="15.75" x14ac:dyDescent="0.2">
      <c r="A10" s="13" t="s">
        <v>341</v>
      </c>
      <c r="B10" s="286">
        <v>220161</v>
      </c>
      <c r="C10" s="287">
        <v>242412</v>
      </c>
      <c r="D10" s="171">
        <f t="shared" si="0"/>
        <v>10.1</v>
      </c>
      <c r="E10" s="11">
        <f>IFERROR(100/'Skjema total MA'!C10*C10,0)</f>
        <v>1.373801485377002</v>
      </c>
      <c r="F10" s="286"/>
      <c r="G10" s="287"/>
      <c r="H10" s="171"/>
      <c r="I10" s="160"/>
      <c r="J10" s="284">
        <f t="shared" si="1"/>
        <v>220161</v>
      </c>
      <c r="K10" s="285">
        <f t="shared" si="1"/>
        <v>242412</v>
      </c>
      <c r="L10" s="402">
        <f t="shared" si="2"/>
        <v>10.1</v>
      </c>
      <c r="M10" s="11">
        <f>IFERROR(100/'Skjema total MA'!I10*K10,0)</f>
        <v>0.29248722740453698</v>
      </c>
    </row>
    <row r="11" spans="1:17" s="43" customFormat="1" ht="15.75" x14ac:dyDescent="0.2">
      <c r="A11" s="13" t="s">
        <v>342</v>
      </c>
      <c r="B11" s="286"/>
      <c r="C11" s="287"/>
      <c r="D11" s="171"/>
      <c r="E11" s="11"/>
      <c r="F11" s="286"/>
      <c r="G11" s="287"/>
      <c r="H11" s="171"/>
      <c r="I11" s="160"/>
      <c r="J11" s="284"/>
      <c r="K11" s="285"/>
      <c r="L11" s="402"/>
      <c r="M11" s="11"/>
      <c r="N11" s="143"/>
      <c r="Q11" s="143"/>
    </row>
    <row r="12" spans="1:17" s="43" customFormat="1" ht="15.75" x14ac:dyDescent="0.2">
      <c r="A12" s="41" t="s">
        <v>343</v>
      </c>
      <c r="B12" s="288"/>
      <c r="C12" s="289"/>
      <c r="D12" s="169"/>
      <c r="E12" s="36"/>
      <c r="F12" s="288"/>
      <c r="G12" s="289"/>
      <c r="H12" s="169"/>
      <c r="I12" s="169"/>
      <c r="J12" s="290"/>
      <c r="K12" s="291"/>
      <c r="L12" s="403"/>
      <c r="M12" s="36"/>
      <c r="N12" s="143"/>
    </row>
    <row r="13" spans="1:17" s="43" customFormat="1" x14ac:dyDescent="0.2">
      <c r="A13" s="168"/>
      <c r="B13" s="145"/>
      <c r="C13" s="33"/>
      <c r="D13" s="159"/>
      <c r="E13" s="159"/>
      <c r="F13" s="145"/>
      <c r="G13" s="33"/>
      <c r="H13" s="159"/>
      <c r="I13" s="159"/>
      <c r="J13" s="48"/>
      <c r="K13" s="48"/>
      <c r="L13" s="159"/>
      <c r="M13" s="159"/>
      <c r="N13" s="143"/>
    </row>
    <row r="14" spans="1:17" x14ac:dyDescent="0.2">
      <c r="A14" s="153" t="s">
        <v>251</v>
      </c>
      <c r="B14" s="26"/>
    </row>
    <row r="15" spans="1:17" x14ac:dyDescent="0.2">
      <c r="F15" s="146"/>
      <c r="G15" s="146"/>
      <c r="H15" s="146"/>
      <c r="I15" s="146"/>
      <c r="J15" s="146"/>
      <c r="K15" s="146"/>
      <c r="L15" s="146"/>
      <c r="M15" s="146"/>
    </row>
    <row r="16" spans="1:17" s="3" customFormat="1" ht="15.75" x14ac:dyDescent="0.25">
      <c r="A16" s="164"/>
      <c r="B16" s="148"/>
      <c r="C16" s="154"/>
      <c r="D16" s="154"/>
      <c r="E16" s="154"/>
      <c r="F16" s="154"/>
      <c r="G16" s="154"/>
      <c r="H16" s="154"/>
      <c r="I16" s="154"/>
      <c r="J16" s="154"/>
      <c r="K16" s="154"/>
      <c r="L16" s="154"/>
      <c r="M16" s="154"/>
      <c r="N16" s="148"/>
    </row>
    <row r="17" spans="1:14" ht="15.75" x14ac:dyDescent="0.25">
      <c r="A17" s="147" t="s">
        <v>248</v>
      </c>
      <c r="B17" s="157"/>
      <c r="C17" s="157"/>
      <c r="D17" s="151"/>
      <c r="E17" s="151"/>
      <c r="F17" s="157"/>
      <c r="G17" s="157"/>
      <c r="H17" s="157"/>
      <c r="I17" s="157"/>
      <c r="J17" s="157"/>
      <c r="K17" s="157"/>
      <c r="L17" s="157"/>
      <c r="M17" s="157"/>
    </row>
    <row r="18" spans="1:14" ht="15.75" x14ac:dyDescent="0.25">
      <c r="B18" s="694"/>
      <c r="C18" s="694"/>
      <c r="D18" s="694"/>
      <c r="E18" s="275"/>
      <c r="F18" s="694"/>
      <c r="G18" s="694"/>
      <c r="H18" s="694"/>
      <c r="I18" s="275"/>
      <c r="J18" s="694"/>
      <c r="K18" s="694"/>
      <c r="L18" s="694"/>
      <c r="M18" s="275"/>
    </row>
    <row r="19" spans="1:14" x14ac:dyDescent="0.2">
      <c r="A19" s="144"/>
      <c r="B19" s="695" t="s">
        <v>0</v>
      </c>
      <c r="C19" s="696"/>
      <c r="D19" s="696"/>
      <c r="E19" s="277"/>
      <c r="F19" s="695" t="s">
        <v>1</v>
      </c>
      <c r="G19" s="696"/>
      <c r="H19" s="696"/>
      <c r="I19" s="280"/>
      <c r="J19" s="695" t="s">
        <v>2</v>
      </c>
      <c r="K19" s="696"/>
      <c r="L19" s="696"/>
      <c r="M19" s="280"/>
    </row>
    <row r="20" spans="1:14" x14ac:dyDescent="0.2">
      <c r="A20" s="140" t="s">
        <v>5</v>
      </c>
      <c r="B20" s="152" t="s">
        <v>412</v>
      </c>
      <c r="C20" s="152" t="s">
        <v>413</v>
      </c>
      <c r="D20" s="162" t="s">
        <v>3</v>
      </c>
      <c r="E20" s="281" t="s">
        <v>29</v>
      </c>
      <c r="F20" s="152" t="s">
        <v>412</v>
      </c>
      <c r="G20" s="152" t="s">
        <v>413</v>
      </c>
      <c r="H20" s="162" t="s">
        <v>3</v>
      </c>
      <c r="I20" s="162" t="s">
        <v>29</v>
      </c>
      <c r="J20" s="152" t="s">
        <v>412</v>
      </c>
      <c r="K20" s="152" t="s">
        <v>413</v>
      </c>
      <c r="L20" s="162" t="s">
        <v>3</v>
      </c>
      <c r="M20" s="162" t="s">
        <v>29</v>
      </c>
    </row>
    <row r="21" spans="1:14" x14ac:dyDescent="0.2">
      <c r="A21" s="662"/>
      <c r="B21" s="156"/>
      <c r="C21" s="156"/>
      <c r="D21" s="223" t="s">
        <v>4</v>
      </c>
      <c r="E21" s="156" t="s">
        <v>30</v>
      </c>
      <c r="F21" s="161"/>
      <c r="G21" s="161"/>
      <c r="H21" s="222" t="s">
        <v>4</v>
      </c>
      <c r="I21" s="156" t="s">
        <v>30</v>
      </c>
      <c r="J21" s="161"/>
      <c r="K21" s="161"/>
      <c r="L21" s="156" t="s">
        <v>4</v>
      </c>
      <c r="M21" s="156" t="s">
        <v>30</v>
      </c>
    </row>
    <row r="22" spans="1:14" ht="15.75" x14ac:dyDescent="0.2">
      <c r="A22" s="14" t="s">
        <v>23</v>
      </c>
      <c r="B22" s="286">
        <v>193277</v>
      </c>
      <c r="C22" s="286">
        <v>207638</v>
      </c>
      <c r="D22" s="326">
        <f t="shared" ref="D22:D32" si="3">IF(B22=0, "    ---- ", IF(ABS(ROUND(100/B22*C22-100,1))&lt;999,ROUND(100/B22*C22-100,1),IF(ROUND(100/B22*C22-100,1)&gt;999,999,-999)))</f>
        <v>7.4</v>
      </c>
      <c r="E22" s="11">
        <f>IFERROR(100/'Skjema total MA'!C22*C22,0)</f>
        <v>30.484992358461813</v>
      </c>
      <c r="F22" s="294">
        <v>3454</v>
      </c>
      <c r="G22" s="294">
        <v>0</v>
      </c>
      <c r="H22" s="326">
        <f t="shared" ref="H22:H33" si="4">IF(F22=0, "    ---- ", IF(ABS(ROUND(100/F22*G22-100,1))&lt;999,ROUND(100/F22*G22-100,1),IF(ROUND(100/F22*G22-100,1)&gt;999,999,-999)))</f>
        <v>-100</v>
      </c>
      <c r="I22" s="11">
        <f>IFERROR(100/'Skjema total MA'!F22*G22,0)</f>
        <v>0</v>
      </c>
      <c r="J22" s="292">
        <f t="shared" ref="J22:J33" si="5">SUM(B22,F22)</f>
        <v>196731</v>
      </c>
      <c r="K22" s="292">
        <f t="shared" ref="K22:K33" si="6">SUM(C22,G22)</f>
        <v>207638</v>
      </c>
      <c r="L22" s="401">
        <f t="shared" ref="L22:L33" si="7">IF(J22=0, "    ---- ", IF(ABS(ROUND(100/J22*K22-100,1))&lt;999,ROUND(100/J22*K22-100,1),IF(ROUND(100/J22*K22-100,1)&gt;999,999,-999)))</f>
        <v>5.5</v>
      </c>
      <c r="M22" s="24">
        <f>IFERROR(100/'Skjema total MA'!I22*K22,0)</f>
        <v>18.800718825534371</v>
      </c>
    </row>
    <row r="23" spans="1:14" ht="15.75" x14ac:dyDescent="0.2">
      <c r="A23" s="545" t="s">
        <v>344</v>
      </c>
      <c r="B23" s="258">
        <v>192927</v>
      </c>
      <c r="C23" s="258">
        <v>207638</v>
      </c>
      <c r="D23" s="166">
        <f t="shared" si="3"/>
        <v>7.6</v>
      </c>
      <c r="E23" s="11">
        <f>IFERROR(100/'Skjema total MA'!C23*C23,0)</f>
        <v>62.237305587064547</v>
      </c>
      <c r="F23" s="267"/>
      <c r="G23" s="267"/>
      <c r="H23" s="166"/>
      <c r="I23" s="391"/>
      <c r="J23" s="267">
        <f t="shared" si="5"/>
        <v>192927</v>
      </c>
      <c r="K23" s="267">
        <f t="shared" si="6"/>
        <v>207638</v>
      </c>
      <c r="L23" s="166">
        <f t="shared" si="7"/>
        <v>7.6</v>
      </c>
      <c r="M23" s="23">
        <f>IFERROR(100/'Skjema total MA'!I23*K23,0)</f>
        <v>51.789482552133101</v>
      </c>
    </row>
    <row r="24" spans="1:14" ht="15.75" x14ac:dyDescent="0.2">
      <c r="A24" s="545" t="s">
        <v>345</v>
      </c>
      <c r="B24" s="258"/>
      <c r="C24" s="258"/>
      <c r="D24" s="166"/>
      <c r="E24" s="11"/>
      <c r="F24" s="267"/>
      <c r="G24" s="267"/>
      <c r="H24" s="166"/>
      <c r="I24" s="391"/>
      <c r="J24" s="267"/>
      <c r="K24" s="267"/>
      <c r="L24" s="166"/>
      <c r="M24" s="23"/>
    </row>
    <row r="25" spans="1:14" ht="15.75" x14ac:dyDescent="0.2">
      <c r="A25" s="545" t="s">
        <v>346</v>
      </c>
      <c r="B25" s="258">
        <v>350</v>
      </c>
      <c r="C25" s="258">
        <v>0</v>
      </c>
      <c r="D25" s="166">
        <f t="shared" si="3"/>
        <v>-100</v>
      </c>
      <c r="E25" s="11">
        <f>IFERROR(100/'Skjema total MA'!C25*C25,0)</f>
        <v>0</v>
      </c>
      <c r="F25" s="267">
        <v>893</v>
      </c>
      <c r="G25" s="267">
        <v>0</v>
      </c>
      <c r="H25" s="166">
        <f t="shared" si="4"/>
        <v>-100</v>
      </c>
      <c r="I25" s="391">
        <f>IFERROR(100/'Skjema total MA'!F25*G25,0)</f>
        <v>0</v>
      </c>
      <c r="J25" s="267">
        <f t="shared" si="5"/>
        <v>1243</v>
      </c>
      <c r="K25" s="267">
        <f t="shared" si="6"/>
        <v>0</v>
      </c>
      <c r="L25" s="166">
        <f t="shared" si="7"/>
        <v>-100</v>
      </c>
      <c r="M25" s="23">
        <f>IFERROR(100/'Skjema total MA'!I25*K25,0)</f>
        <v>0</v>
      </c>
    </row>
    <row r="26" spans="1:14" ht="15.75" x14ac:dyDescent="0.2">
      <c r="A26" s="545" t="s">
        <v>347</v>
      </c>
      <c r="B26" s="258"/>
      <c r="C26" s="258"/>
      <c r="D26" s="166"/>
      <c r="E26" s="11"/>
      <c r="F26" s="267">
        <v>2561</v>
      </c>
      <c r="G26" s="267">
        <v>0</v>
      </c>
      <c r="H26" s="166">
        <f t="shared" si="4"/>
        <v>-100</v>
      </c>
      <c r="I26" s="391">
        <f>IFERROR(100/'Skjema total MA'!F26*G26,0)</f>
        <v>0</v>
      </c>
      <c r="J26" s="267">
        <f t="shared" si="5"/>
        <v>2561</v>
      </c>
      <c r="K26" s="267">
        <f t="shared" si="6"/>
        <v>0</v>
      </c>
      <c r="L26" s="166">
        <f t="shared" si="7"/>
        <v>-100</v>
      </c>
      <c r="M26" s="23">
        <f>IFERROR(100/'Skjema total MA'!I26*K26,0)</f>
        <v>0</v>
      </c>
    </row>
    <row r="27" spans="1:14" x14ac:dyDescent="0.2">
      <c r="A27" s="545" t="s">
        <v>11</v>
      </c>
      <c r="B27" s="258"/>
      <c r="C27" s="258"/>
      <c r="D27" s="166"/>
      <c r="E27" s="11"/>
      <c r="F27" s="267"/>
      <c r="G27" s="267"/>
      <c r="H27" s="166"/>
      <c r="I27" s="391"/>
      <c r="J27" s="267"/>
      <c r="K27" s="267"/>
      <c r="L27" s="166"/>
      <c r="M27" s="23"/>
    </row>
    <row r="28" spans="1:14" ht="15.75" x14ac:dyDescent="0.2">
      <c r="A28" s="49" t="s">
        <v>252</v>
      </c>
      <c r="B28" s="44">
        <v>192927</v>
      </c>
      <c r="C28" s="264">
        <v>207638</v>
      </c>
      <c r="D28" s="166">
        <f t="shared" si="3"/>
        <v>7.6</v>
      </c>
      <c r="E28" s="11">
        <f>IFERROR(100/'Skjema total MA'!C28*C28,0)</f>
        <v>28.542520258218254</v>
      </c>
      <c r="F28" s="211"/>
      <c r="G28" s="264"/>
      <c r="H28" s="166"/>
      <c r="I28" s="27"/>
      <c r="J28" s="44">
        <f t="shared" si="5"/>
        <v>192927</v>
      </c>
      <c r="K28" s="44">
        <f t="shared" si="6"/>
        <v>207638</v>
      </c>
      <c r="L28" s="231">
        <f t="shared" si="7"/>
        <v>7.6</v>
      </c>
      <c r="M28" s="23">
        <f>IFERROR(100/'Skjema total MA'!I28*K28,0)</f>
        <v>28.542520258218254</v>
      </c>
    </row>
    <row r="29" spans="1:14" s="3" customFormat="1" ht="15.75" x14ac:dyDescent="0.2">
      <c r="A29" s="13" t="s">
        <v>341</v>
      </c>
      <c r="B29" s="213">
        <v>799954</v>
      </c>
      <c r="C29" s="213">
        <v>978304</v>
      </c>
      <c r="D29" s="171">
        <f t="shared" si="3"/>
        <v>22.3</v>
      </c>
      <c r="E29" s="11">
        <f>IFERROR(100/'Skjema total MA'!C29*C29,0)</f>
        <v>2.1353788409147105</v>
      </c>
      <c r="F29" s="284">
        <v>154473</v>
      </c>
      <c r="G29" s="284">
        <v>0</v>
      </c>
      <c r="H29" s="171">
        <f t="shared" si="4"/>
        <v>-100</v>
      </c>
      <c r="I29" s="11">
        <f>IFERROR(100/'Skjema total MA'!F29*G29,0)</f>
        <v>0</v>
      </c>
      <c r="J29" s="213">
        <f t="shared" si="5"/>
        <v>954427</v>
      </c>
      <c r="K29" s="213">
        <f t="shared" si="6"/>
        <v>978304</v>
      </c>
      <c r="L29" s="402">
        <f t="shared" si="7"/>
        <v>2.5</v>
      </c>
      <c r="M29" s="24">
        <f>IFERROR(100/'Skjema total MA'!I29*K29,0)</f>
        <v>1.3734677223140632</v>
      </c>
      <c r="N29" s="148"/>
    </row>
    <row r="30" spans="1:14" s="3" customFormat="1" ht="15.75" x14ac:dyDescent="0.2">
      <c r="A30" s="545" t="s">
        <v>344</v>
      </c>
      <c r="B30" s="258">
        <v>797938</v>
      </c>
      <c r="C30" s="258">
        <v>978304</v>
      </c>
      <c r="D30" s="166">
        <f t="shared" si="3"/>
        <v>22.6</v>
      </c>
      <c r="E30" s="11">
        <f>IFERROR(100/'Skjema total MA'!C30*C30,0)</f>
        <v>7.1345690024802195</v>
      </c>
      <c r="F30" s="267"/>
      <c r="G30" s="267"/>
      <c r="H30" s="166"/>
      <c r="I30" s="391"/>
      <c r="J30" s="267">
        <f t="shared" si="5"/>
        <v>797938</v>
      </c>
      <c r="K30" s="267">
        <f t="shared" si="6"/>
        <v>978304</v>
      </c>
      <c r="L30" s="166">
        <f t="shared" si="7"/>
        <v>22.6</v>
      </c>
      <c r="M30" s="23">
        <f>IFERROR(100/'Skjema total MA'!I30*K30,0)</f>
        <v>5.337738436968821</v>
      </c>
      <c r="N30" s="148"/>
    </row>
    <row r="31" spans="1:14" s="3" customFormat="1" ht="15.75" x14ac:dyDescent="0.2">
      <c r="A31" s="545" t="s">
        <v>345</v>
      </c>
      <c r="B31" s="258"/>
      <c r="C31" s="258"/>
      <c r="D31" s="166"/>
      <c r="E31" s="11"/>
      <c r="F31" s="267"/>
      <c r="G31" s="267"/>
      <c r="H31" s="166"/>
      <c r="I31" s="391"/>
      <c r="J31" s="267"/>
      <c r="K31" s="267"/>
      <c r="L31" s="166"/>
      <c r="M31" s="23"/>
      <c r="N31" s="148"/>
    </row>
    <row r="32" spans="1:14" ht="15.75" x14ac:dyDescent="0.2">
      <c r="A32" s="545" t="s">
        <v>346</v>
      </c>
      <c r="B32" s="258">
        <v>2016</v>
      </c>
      <c r="C32" s="258">
        <v>0</v>
      </c>
      <c r="D32" s="166">
        <f t="shared" si="3"/>
        <v>-100</v>
      </c>
      <c r="E32" s="11">
        <f>IFERROR(100/'Skjema total MA'!C32*C32,0)</f>
        <v>0</v>
      </c>
      <c r="F32" s="267">
        <v>116308</v>
      </c>
      <c r="G32" s="267">
        <v>0</v>
      </c>
      <c r="H32" s="166">
        <f t="shared" si="4"/>
        <v>-100</v>
      </c>
      <c r="I32" s="391">
        <f>IFERROR(100/'Skjema total MA'!F32*G32,0)</f>
        <v>0</v>
      </c>
      <c r="J32" s="267">
        <f t="shared" si="5"/>
        <v>118324</v>
      </c>
      <c r="K32" s="267">
        <f t="shared" si="6"/>
        <v>0</v>
      </c>
      <c r="L32" s="166">
        <f t="shared" si="7"/>
        <v>-100</v>
      </c>
      <c r="M32" s="23">
        <f>IFERROR(100/'Skjema total MA'!I32*K32,0)</f>
        <v>0</v>
      </c>
    </row>
    <row r="33" spans="1:14" ht="15.75" x14ac:dyDescent="0.2">
      <c r="A33" s="545" t="s">
        <v>347</v>
      </c>
      <c r="B33" s="258"/>
      <c r="C33" s="258"/>
      <c r="D33" s="166"/>
      <c r="E33" s="11"/>
      <c r="F33" s="267">
        <v>38165</v>
      </c>
      <c r="G33" s="267">
        <v>0</v>
      </c>
      <c r="H33" s="166">
        <f t="shared" si="4"/>
        <v>-100</v>
      </c>
      <c r="I33" s="391">
        <f>IFERROR(100/'Skjema total MA'!F34*G33,0)</f>
        <v>0</v>
      </c>
      <c r="J33" s="267">
        <f t="shared" si="5"/>
        <v>38165</v>
      </c>
      <c r="K33" s="267">
        <f t="shared" si="6"/>
        <v>0</v>
      </c>
      <c r="L33" s="166">
        <f t="shared" si="7"/>
        <v>-100</v>
      </c>
      <c r="M33" s="23">
        <f>IFERROR(100/'Skjema total MA'!I34*K33,0)</f>
        <v>0</v>
      </c>
    </row>
    <row r="34" spans="1:14" ht="15.75" x14ac:dyDescent="0.2">
      <c r="A34" s="13" t="s">
        <v>342</v>
      </c>
      <c r="B34" s="213"/>
      <c r="C34" s="285"/>
      <c r="D34" s="171"/>
      <c r="E34" s="11"/>
      <c r="F34" s="284"/>
      <c r="G34" s="285"/>
      <c r="H34" s="171"/>
      <c r="I34" s="11"/>
      <c r="J34" s="213"/>
      <c r="K34" s="213"/>
      <c r="L34" s="402"/>
      <c r="M34" s="24"/>
    </row>
    <row r="35" spans="1:14" ht="15.75" x14ac:dyDescent="0.2">
      <c r="A35" s="13" t="s">
        <v>343</v>
      </c>
      <c r="B35" s="213"/>
      <c r="C35" s="285"/>
      <c r="D35" s="171"/>
      <c r="E35" s="11"/>
      <c r="F35" s="284"/>
      <c r="G35" s="285"/>
      <c r="H35" s="171"/>
      <c r="I35" s="11"/>
      <c r="J35" s="213"/>
      <c r="K35" s="213"/>
      <c r="L35" s="402"/>
      <c r="M35" s="24"/>
    </row>
    <row r="36" spans="1:14" ht="15.75" x14ac:dyDescent="0.2">
      <c r="A36" s="12" t="s">
        <v>260</v>
      </c>
      <c r="B36" s="213"/>
      <c r="C36" s="285"/>
      <c r="D36" s="171"/>
      <c r="E36" s="11"/>
      <c r="F36" s="295"/>
      <c r="G36" s="296"/>
      <c r="H36" s="171"/>
      <c r="I36" s="408"/>
      <c r="J36" s="213"/>
      <c r="K36" s="213"/>
      <c r="L36" s="402"/>
      <c r="M36" s="24"/>
    </row>
    <row r="37" spans="1:14" ht="15.75" x14ac:dyDescent="0.2">
      <c r="A37" s="12" t="s">
        <v>349</v>
      </c>
      <c r="B37" s="213"/>
      <c r="C37" s="285"/>
      <c r="D37" s="171"/>
      <c r="E37" s="11"/>
      <c r="F37" s="295"/>
      <c r="G37" s="297"/>
      <c r="H37" s="171"/>
      <c r="I37" s="408"/>
      <c r="J37" s="213"/>
      <c r="K37" s="213"/>
      <c r="L37" s="402"/>
      <c r="M37" s="24"/>
    </row>
    <row r="38" spans="1:14" ht="15.75" x14ac:dyDescent="0.2">
      <c r="A38" s="12" t="s">
        <v>350</v>
      </c>
      <c r="B38" s="213"/>
      <c r="C38" s="285"/>
      <c r="D38" s="171"/>
      <c r="E38" s="24"/>
      <c r="F38" s="295"/>
      <c r="G38" s="296"/>
      <c r="H38" s="171"/>
      <c r="I38" s="408"/>
      <c r="J38" s="213"/>
      <c r="K38" s="213"/>
      <c r="L38" s="402"/>
      <c r="M38" s="24"/>
    </row>
    <row r="39" spans="1:14" ht="15.75" x14ac:dyDescent="0.2">
      <c r="A39" s="18" t="s">
        <v>351</v>
      </c>
      <c r="B39" s="253"/>
      <c r="C39" s="291"/>
      <c r="D39" s="169"/>
      <c r="E39" s="36"/>
      <c r="F39" s="298"/>
      <c r="G39" s="299"/>
      <c r="H39" s="169"/>
      <c r="I39" s="36"/>
      <c r="J39" s="213"/>
      <c r="K39" s="213"/>
      <c r="L39" s="403"/>
      <c r="M39" s="36"/>
    </row>
    <row r="40" spans="1:14" ht="15.75" x14ac:dyDescent="0.25">
      <c r="A40" s="47"/>
      <c r="B40" s="230"/>
      <c r="C40" s="230"/>
      <c r="D40" s="698"/>
      <c r="E40" s="698"/>
      <c r="F40" s="698"/>
      <c r="G40" s="698"/>
      <c r="H40" s="698"/>
      <c r="I40" s="698"/>
      <c r="J40" s="698"/>
      <c r="K40" s="698"/>
      <c r="L40" s="698"/>
      <c r="M40" s="278"/>
    </row>
    <row r="41" spans="1:14" x14ac:dyDescent="0.2">
      <c r="A41" s="155"/>
    </row>
    <row r="42" spans="1:14" ht="15.75" x14ac:dyDescent="0.25">
      <c r="A42" s="147" t="s">
        <v>249</v>
      </c>
      <c r="B42" s="699"/>
      <c r="C42" s="699"/>
      <c r="D42" s="699"/>
      <c r="E42" s="275"/>
      <c r="F42" s="700"/>
      <c r="G42" s="700"/>
      <c r="H42" s="700"/>
      <c r="I42" s="278"/>
      <c r="J42" s="700"/>
      <c r="K42" s="700"/>
      <c r="L42" s="700"/>
      <c r="M42" s="278"/>
    </row>
    <row r="43" spans="1:14" ht="15.75" x14ac:dyDescent="0.25">
      <c r="A43" s="163"/>
      <c r="B43" s="279"/>
      <c r="C43" s="279"/>
      <c r="D43" s="279"/>
      <c r="E43" s="279"/>
      <c r="F43" s="278"/>
      <c r="G43" s="278"/>
      <c r="H43" s="278"/>
      <c r="I43" s="278"/>
      <c r="J43" s="278"/>
      <c r="K43" s="278"/>
      <c r="L43" s="278"/>
      <c r="M43" s="278"/>
    </row>
    <row r="44" spans="1:14" ht="15.75" x14ac:dyDescent="0.25">
      <c r="A44" s="224"/>
      <c r="B44" s="695" t="s">
        <v>0</v>
      </c>
      <c r="C44" s="696"/>
      <c r="D44" s="696"/>
      <c r="E44" s="220"/>
      <c r="F44" s="278"/>
      <c r="G44" s="278"/>
      <c r="H44" s="278"/>
      <c r="I44" s="278"/>
      <c r="J44" s="278"/>
      <c r="K44" s="278"/>
      <c r="L44" s="278"/>
      <c r="M44" s="278"/>
    </row>
    <row r="45" spans="1:14" s="3" customFormat="1" x14ac:dyDescent="0.2">
      <c r="A45" s="140"/>
      <c r="B45" s="152" t="s">
        <v>412</v>
      </c>
      <c r="C45" s="152" t="s">
        <v>413</v>
      </c>
      <c r="D45" s="162" t="s">
        <v>3</v>
      </c>
      <c r="E45" s="162" t="s">
        <v>29</v>
      </c>
      <c r="F45" s="174"/>
      <c r="G45" s="174"/>
      <c r="H45" s="173"/>
      <c r="I45" s="173"/>
      <c r="J45" s="174"/>
      <c r="K45" s="174"/>
      <c r="L45" s="173"/>
      <c r="M45" s="173"/>
      <c r="N45" s="148"/>
    </row>
    <row r="46" spans="1:14" s="3" customFormat="1" x14ac:dyDescent="0.2">
      <c r="A46" s="662"/>
      <c r="B46" s="221"/>
      <c r="C46" s="221"/>
      <c r="D46" s="222" t="s">
        <v>4</v>
      </c>
      <c r="E46" s="156" t="s">
        <v>30</v>
      </c>
      <c r="F46" s="173"/>
      <c r="G46" s="173"/>
      <c r="H46" s="173"/>
      <c r="I46" s="173"/>
      <c r="J46" s="173"/>
      <c r="K46" s="173"/>
      <c r="L46" s="173"/>
      <c r="M46" s="173"/>
      <c r="N46" s="148"/>
    </row>
    <row r="47" spans="1:14" s="3" customFormat="1" ht="15.75" x14ac:dyDescent="0.2">
      <c r="A47" s="14" t="s">
        <v>23</v>
      </c>
      <c r="B47" s="286">
        <v>33000</v>
      </c>
      <c r="C47" s="287">
        <v>35217</v>
      </c>
      <c r="D47" s="401">
        <f t="shared" ref="D47:D48" si="8">IF(B47=0, "    ---- ", IF(ABS(ROUND(100/B47*C47-100,1))&lt;999,ROUND(100/B47*C47-100,1),IF(ROUND(100/B47*C47-100,1)&gt;999,999,-999)))</f>
        <v>6.7</v>
      </c>
      <c r="E47" s="11">
        <f>IFERROR(100/'Skjema total MA'!C47*C47,0)</f>
        <v>1.1132044644767911</v>
      </c>
      <c r="F47" s="145"/>
      <c r="G47" s="33"/>
      <c r="H47" s="159"/>
      <c r="I47" s="159"/>
      <c r="J47" s="37"/>
      <c r="K47" s="37"/>
      <c r="L47" s="159"/>
      <c r="M47" s="159"/>
      <c r="N47" s="148"/>
    </row>
    <row r="48" spans="1:14" s="3" customFormat="1" ht="15.75" x14ac:dyDescent="0.2">
      <c r="A48" s="38" t="s">
        <v>352</v>
      </c>
      <c r="B48" s="258">
        <v>33000</v>
      </c>
      <c r="C48" s="259">
        <v>35217</v>
      </c>
      <c r="D48" s="231">
        <f t="shared" si="8"/>
        <v>6.7</v>
      </c>
      <c r="E48" s="27">
        <f>IFERROR(100/'Skjema total MA'!C48*C48,0)</f>
        <v>2.0531450988586379</v>
      </c>
      <c r="F48" s="145"/>
      <c r="G48" s="33"/>
      <c r="H48" s="145"/>
      <c r="I48" s="145"/>
      <c r="J48" s="33"/>
      <c r="K48" s="33"/>
      <c r="L48" s="159"/>
      <c r="M48" s="159"/>
      <c r="N48" s="148"/>
    </row>
    <row r="49" spans="1:14" s="3" customFormat="1" ht="15.75" x14ac:dyDescent="0.2">
      <c r="A49" s="38" t="s">
        <v>353</v>
      </c>
      <c r="B49" s="44"/>
      <c r="C49" s="264"/>
      <c r="D49" s="231"/>
      <c r="E49" s="27"/>
      <c r="F49" s="145"/>
      <c r="G49" s="33"/>
      <c r="H49" s="145"/>
      <c r="I49" s="145"/>
      <c r="J49" s="37"/>
      <c r="K49" s="37"/>
      <c r="L49" s="159"/>
      <c r="M49" s="159"/>
      <c r="N49" s="148"/>
    </row>
    <row r="50" spans="1:14" s="3" customFormat="1" x14ac:dyDescent="0.2">
      <c r="A50" s="272" t="s">
        <v>6</v>
      </c>
      <c r="B50" s="295"/>
      <c r="C50" s="295"/>
      <c r="D50" s="231"/>
      <c r="E50" s="23"/>
      <c r="F50" s="145"/>
      <c r="G50" s="33"/>
      <c r="H50" s="145"/>
      <c r="I50" s="145"/>
      <c r="J50" s="33"/>
      <c r="K50" s="33"/>
      <c r="L50" s="159"/>
      <c r="M50" s="159"/>
      <c r="N50" s="148"/>
    </row>
    <row r="51" spans="1:14" s="3" customFormat="1" x14ac:dyDescent="0.2">
      <c r="A51" s="272" t="s">
        <v>7</v>
      </c>
      <c r="B51" s="295"/>
      <c r="C51" s="295"/>
      <c r="D51" s="231"/>
      <c r="E51" s="23"/>
      <c r="F51" s="145"/>
      <c r="G51" s="33"/>
      <c r="H51" s="145"/>
      <c r="I51" s="145"/>
      <c r="J51" s="33"/>
      <c r="K51" s="33"/>
      <c r="L51" s="159"/>
      <c r="M51" s="159"/>
      <c r="N51" s="148"/>
    </row>
    <row r="52" spans="1:14" s="3" customFormat="1" x14ac:dyDescent="0.2">
      <c r="A52" s="272" t="s">
        <v>8</v>
      </c>
      <c r="B52" s="295"/>
      <c r="C52" s="295"/>
      <c r="D52" s="231"/>
      <c r="E52" s="23"/>
      <c r="F52" s="145"/>
      <c r="G52" s="33"/>
      <c r="H52" s="145"/>
      <c r="I52" s="145"/>
      <c r="J52" s="33"/>
      <c r="K52" s="33"/>
      <c r="L52" s="159"/>
      <c r="M52" s="159"/>
      <c r="N52" s="148"/>
    </row>
    <row r="53" spans="1:14" s="3" customFormat="1" ht="15.75" x14ac:dyDescent="0.2">
      <c r="A53" s="39" t="s">
        <v>354</v>
      </c>
      <c r="B53" s="286"/>
      <c r="C53" s="287"/>
      <c r="D53" s="402"/>
      <c r="E53" s="11"/>
      <c r="F53" s="145"/>
      <c r="G53" s="33"/>
      <c r="H53" s="145"/>
      <c r="I53" s="145"/>
      <c r="J53" s="33"/>
      <c r="K53" s="33"/>
      <c r="L53" s="159"/>
      <c r="M53" s="159"/>
      <c r="N53" s="148"/>
    </row>
    <row r="54" spans="1:14" s="3" customFormat="1" ht="15.75" x14ac:dyDescent="0.2">
      <c r="A54" s="38" t="s">
        <v>352</v>
      </c>
      <c r="B54" s="258"/>
      <c r="C54" s="259"/>
      <c r="D54" s="231"/>
      <c r="E54" s="27"/>
      <c r="F54" s="145"/>
      <c r="G54" s="33"/>
      <c r="H54" s="145"/>
      <c r="I54" s="145"/>
      <c r="J54" s="33"/>
      <c r="K54" s="33"/>
      <c r="L54" s="159"/>
      <c r="M54" s="159"/>
      <c r="N54" s="148"/>
    </row>
    <row r="55" spans="1:14" s="3" customFormat="1" ht="15.75" x14ac:dyDescent="0.2">
      <c r="A55" s="38" t="s">
        <v>353</v>
      </c>
      <c r="B55" s="258"/>
      <c r="C55" s="259"/>
      <c r="D55" s="231"/>
      <c r="E55" s="27"/>
      <c r="F55" s="145"/>
      <c r="G55" s="33"/>
      <c r="H55" s="145"/>
      <c r="I55" s="145"/>
      <c r="J55" s="33"/>
      <c r="K55" s="33"/>
      <c r="L55" s="159"/>
      <c r="M55" s="159"/>
      <c r="N55" s="148"/>
    </row>
    <row r="56" spans="1:14" s="3" customFormat="1" ht="15.75" x14ac:dyDescent="0.2">
      <c r="A56" s="39" t="s">
        <v>355</v>
      </c>
      <c r="B56" s="286"/>
      <c r="C56" s="287"/>
      <c r="D56" s="402"/>
      <c r="E56" s="11"/>
      <c r="F56" s="145"/>
      <c r="G56" s="33"/>
      <c r="H56" s="145"/>
      <c r="I56" s="145"/>
      <c r="J56" s="33"/>
      <c r="K56" s="33"/>
      <c r="L56" s="159"/>
      <c r="M56" s="159"/>
      <c r="N56" s="148"/>
    </row>
    <row r="57" spans="1:14" s="3" customFormat="1" ht="15.75" x14ac:dyDescent="0.2">
      <c r="A57" s="38" t="s">
        <v>352</v>
      </c>
      <c r="B57" s="258"/>
      <c r="C57" s="259"/>
      <c r="D57" s="231"/>
      <c r="E57" s="27"/>
      <c r="F57" s="145"/>
      <c r="G57" s="33"/>
      <c r="H57" s="145"/>
      <c r="I57" s="145"/>
      <c r="J57" s="33"/>
      <c r="K57" s="33"/>
      <c r="L57" s="159"/>
      <c r="M57" s="159"/>
      <c r="N57" s="148"/>
    </row>
    <row r="58" spans="1:14" s="3" customFormat="1" ht="15.75" x14ac:dyDescent="0.2">
      <c r="A58" s="46" t="s">
        <v>353</v>
      </c>
      <c r="B58" s="260"/>
      <c r="C58" s="261"/>
      <c r="D58" s="232"/>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250</v>
      </c>
      <c r="C61" s="26"/>
      <c r="D61" s="26"/>
      <c r="E61" s="26"/>
      <c r="F61" s="26"/>
      <c r="G61" s="26"/>
      <c r="H61" s="26"/>
      <c r="I61" s="26"/>
      <c r="J61" s="26"/>
      <c r="K61" s="26"/>
      <c r="L61" s="26"/>
      <c r="M61" s="26"/>
    </row>
    <row r="62" spans="1:14" ht="15.75" x14ac:dyDescent="0.25">
      <c r="B62" s="694"/>
      <c r="C62" s="694"/>
      <c r="D62" s="694"/>
      <c r="E62" s="275"/>
      <c r="F62" s="694"/>
      <c r="G62" s="694"/>
      <c r="H62" s="694"/>
      <c r="I62" s="275"/>
      <c r="J62" s="694"/>
      <c r="K62" s="694"/>
      <c r="L62" s="694"/>
      <c r="M62" s="275"/>
    </row>
    <row r="63" spans="1:14" x14ac:dyDescent="0.2">
      <c r="A63" s="144"/>
      <c r="B63" s="695" t="s">
        <v>0</v>
      </c>
      <c r="C63" s="696"/>
      <c r="D63" s="697"/>
      <c r="E63" s="276"/>
      <c r="F63" s="696" t="s">
        <v>1</v>
      </c>
      <c r="G63" s="696"/>
      <c r="H63" s="696"/>
      <c r="I63" s="280"/>
      <c r="J63" s="695" t="s">
        <v>2</v>
      </c>
      <c r="K63" s="696"/>
      <c r="L63" s="696"/>
      <c r="M63" s="280"/>
    </row>
    <row r="64" spans="1:14" x14ac:dyDescent="0.2">
      <c r="A64" s="140"/>
      <c r="B64" s="152" t="s">
        <v>412</v>
      </c>
      <c r="C64" s="152" t="s">
        <v>413</v>
      </c>
      <c r="D64" s="222" t="s">
        <v>3</v>
      </c>
      <c r="E64" s="281" t="s">
        <v>29</v>
      </c>
      <c r="F64" s="152" t="s">
        <v>412</v>
      </c>
      <c r="G64" s="152" t="s">
        <v>413</v>
      </c>
      <c r="H64" s="222" t="s">
        <v>3</v>
      </c>
      <c r="I64" s="281" t="s">
        <v>29</v>
      </c>
      <c r="J64" s="152" t="s">
        <v>412</v>
      </c>
      <c r="K64" s="152" t="s">
        <v>413</v>
      </c>
      <c r="L64" s="222" t="s">
        <v>3</v>
      </c>
      <c r="M64" s="162" t="s">
        <v>29</v>
      </c>
    </row>
    <row r="65" spans="1:14" x14ac:dyDescent="0.2">
      <c r="A65" s="662"/>
      <c r="B65" s="156"/>
      <c r="C65" s="156"/>
      <c r="D65" s="223" t="s">
        <v>4</v>
      </c>
      <c r="E65" s="156" t="s">
        <v>30</v>
      </c>
      <c r="F65" s="161"/>
      <c r="G65" s="161"/>
      <c r="H65" s="222" t="s">
        <v>4</v>
      </c>
      <c r="I65" s="156" t="s">
        <v>30</v>
      </c>
      <c r="J65" s="161"/>
      <c r="K65" s="203"/>
      <c r="L65" s="156" t="s">
        <v>4</v>
      </c>
      <c r="M65" s="156" t="s">
        <v>30</v>
      </c>
    </row>
    <row r="66" spans="1:14" ht="15.75" x14ac:dyDescent="0.2">
      <c r="A66" s="14" t="s">
        <v>23</v>
      </c>
      <c r="B66" s="329">
        <v>77386</v>
      </c>
      <c r="C66" s="329">
        <v>0</v>
      </c>
      <c r="D66" s="326">
        <f>IF(B66=0, "    ---- ", IF(ABS(ROUND(100/B66*C66-100,1))&lt;999,ROUND(100/B66*C66-100,1),IF(ROUND(100/B66*C66-100,1)&gt;999,999,-999)))</f>
        <v>-100</v>
      </c>
      <c r="E66" s="11">
        <f>IFERROR(100/'Skjema total MA'!C66*C66,0)</f>
        <v>0</v>
      </c>
      <c r="F66" s="328">
        <v>102317</v>
      </c>
      <c r="G66" s="328">
        <v>0</v>
      </c>
      <c r="H66" s="326">
        <f>IF(F66=0, "    ---- ", IF(ABS(ROUND(100/F66*G66-100,1))&lt;999,ROUND(100/F66*G66-100,1),IF(ROUND(100/F66*G66-100,1)&gt;999,999,-999)))</f>
        <v>-100</v>
      </c>
      <c r="I66" s="24">
        <f>IFERROR(100/'Skjema total MA'!F66*G66,0)</f>
        <v>0</v>
      </c>
      <c r="J66" s="159">
        <f t="shared" ref="J66:K68" si="9">SUM(B66,F66)</f>
        <v>179703</v>
      </c>
      <c r="K66" s="292">
        <f t="shared" si="9"/>
        <v>0</v>
      </c>
      <c r="L66" s="402">
        <f>IF(J66=0, "    ---- ", IF(ABS(ROUND(100/J66*K66-100,1))&lt;999,ROUND(100/J66*K66-100,1),IF(ROUND(100/J66*K66-100,1)&gt;999,999,-999)))</f>
        <v>-100</v>
      </c>
      <c r="M66" s="11">
        <f>IFERROR(100/'Skjema total MA'!I66*K66,0)</f>
        <v>0</v>
      </c>
    </row>
    <row r="67" spans="1:14" x14ac:dyDescent="0.2">
      <c r="A67" s="393" t="s">
        <v>9</v>
      </c>
      <c r="B67" s="44"/>
      <c r="C67" s="145"/>
      <c r="D67" s="166"/>
      <c r="E67" s="23"/>
      <c r="F67" s="211"/>
      <c r="G67" s="145"/>
      <c r="H67" s="166"/>
      <c r="I67" s="23"/>
      <c r="J67" s="145"/>
      <c r="K67" s="44"/>
      <c r="L67" s="231"/>
      <c r="M67" s="27"/>
    </row>
    <row r="68" spans="1:14" x14ac:dyDescent="0.2">
      <c r="A68" s="21" t="s">
        <v>10</v>
      </c>
      <c r="B68" s="268">
        <v>77386</v>
      </c>
      <c r="C68" s="269">
        <v>0</v>
      </c>
      <c r="D68" s="166">
        <f>IF(B68=0, "    ---- ", IF(ABS(ROUND(100/B68*C68-100,1))&lt;999,ROUND(100/B68*C68-100,1),IF(ROUND(100/B68*C68-100,1)&gt;999,999,-999)))</f>
        <v>-100</v>
      </c>
      <c r="E68" s="23">
        <f>IFERROR(100/'Skjema total MA'!C68*C68,0)</f>
        <v>0</v>
      </c>
      <c r="F68" s="268">
        <v>102317</v>
      </c>
      <c r="G68" s="269">
        <v>0</v>
      </c>
      <c r="H68" s="166">
        <f>IF(F68=0, "    ---- ", IF(ABS(ROUND(100/F68*G68-100,1))&lt;999,ROUND(100/F68*G68-100,1),IF(ROUND(100/F68*G68-100,1)&gt;999,999,-999)))</f>
        <v>-100</v>
      </c>
      <c r="I68" s="23">
        <f>IFERROR(100/'Skjema total MA'!F68*G68,0)</f>
        <v>0</v>
      </c>
      <c r="J68" s="145">
        <f t="shared" si="9"/>
        <v>179703</v>
      </c>
      <c r="K68" s="44">
        <f t="shared" si="9"/>
        <v>0</v>
      </c>
      <c r="L68" s="231">
        <f>IF(J68=0, "    ---- ", IF(ABS(ROUND(100/J68*K68-100,1))&lt;999,ROUND(100/J68*K68-100,1),IF(ROUND(100/J68*K68-100,1)&gt;999,999,-999)))</f>
        <v>-100</v>
      </c>
      <c r="M68" s="27">
        <f>IFERROR(100/'Skjema total MA'!I68*K68,0)</f>
        <v>0</v>
      </c>
    </row>
    <row r="69" spans="1:14" ht="15.75" x14ac:dyDescent="0.2">
      <c r="A69" s="272" t="s">
        <v>356</v>
      </c>
      <c r="B69" s="295"/>
      <c r="C69" s="295"/>
      <c r="D69" s="166"/>
      <c r="E69" s="23"/>
      <c r="F69" s="295"/>
      <c r="G69" s="295"/>
      <c r="H69" s="166"/>
      <c r="I69" s="23"/>
      <c r="J69" s="295"/>
      <c r="K69" s="295"/>
      <c r="L69" s="166"/>
      <c r="M69" s="23"/>
    </row>
    <row r="70" spans="1:14" x14ac:dyDescent="0.2">
      <c r="A70" s="272" t="s">
        <v>12</v>
      </c>
      <c r="B70" s="270"/>
      <c r="C70" s="271"/>
      <c r="D70" s="166"/>
      <c r="E70" s="23"/>
      <c r="F70" s="270"/>
      <c r="G70" s="271"/>
      <c r="H70" s="166"/>
      <c r="I70" s="23"/>
      <c r="J70" s="270"/>
      <c r="K70" s="271"/>
      <c r="L70" s="166"/>
      <c r="M70" s="23"/>
    </row>
    <row r="71" spans="1:14" x14ac:dyDescent="0.2">
      <c r="A71" s="272" t="s">
        <v>13</v>
      </c>
      <c r="B71" s="212"/>
      <c r="C71" s="266"/>
      <c r="D71" s="166"/>
      <c r="E71" s="23"/>
      <c r="F71" s="212"/>
      <c r="G71" s="266"/>
      <c r="H71" s="166"/>
      <c r="I71" s="23"/>
      <c r="J71" s="212"/>
      <c r="K71" s="266"/>
      <c r="L71" s="166"/>
      <c r="M71" s="23"/>
    </row>
    <row r="72" spans="1:14" ht="15.75" x14ac:dyDescent="0.2">
      <c r="A72" s="272" t="s">
        <v>357</v>
      </c>
      <c r="B72" s="295"/>
      <c r="C72" s="295"/>
      <c r="D72" s="166"/>
      <c r="E72" s="23"/>
      <c r="F72" s="295"/>
      <c r="G72" s="295"/>
      <c r="H72" s="166"/>
      <c r="I72" s="23"/>
      <c r="J72" s="295"/>
      <c r="K72" s="295"/>
      <c r="L72" s="166"/>
      <c r="M72" s="23"/>
    </row>
    <row r="73" spans="1:14" x14ac:dyDescent="0.2">
      <c r="A73" s="272" t="s">
        <v>12</v>
      </c>
      <c r="B73" s="212"/>
      <c r="C73" s="266"/>
      <c r="D73" s="166"/>
      <c r="E73" s="23"/>
      <c r="F73" s="212"/>
      <c r="G73" s="266"/>
      <c r="H73" s="166"/>
      <c r="I73" s="23"/>
      <c r="J73" s="212"/>
      <c r="K73" s="266"/>
      <c r="L73" s="166"/>
      <c r="M73" s="23"/>
    </row>
    <row r="74" spans="1:14" s="3" customFormat="1" x14ac:dyDescent="0.2">
      <c r="A74" s="272" t="s">
        <v>13</v>
      </c>
      <c r="B74" s="212"/>
      <c r="C74" s="266"/>
      <c r="D74" s="166"/>
      <c r="E74" s="23"/>
      <c r="F74" s="212"/>
      <c r="G74" s="266"/>
      <c r="H74" s="166"/>
      <c r="I74" s="23"/>
      <c r="J74" s="212"/>
      <c r="K74" s="266"/>
      <c r="L74" s="166"/>
      <c r="M74" s="23"/>
      <c r="N74" s="148"/>
    </row>
    <row r="75" spans="1:14" s="3" customFormat="1" x14ac:dyDescent="0.2">
      <c r="A75" s="21" t="s">
        <v>326</v>
      </c>
      <c r="B75" s="211"/>
      <c r="C75" s="145"/>
      <c r="D75" s="166"/>
      <c r="E75" s="23"/>
      <c r="F75" s="211"/>
      <c r="G75" s="145"/>
      <c r="H75" s="166"/>
      <c r="I75" s="23"/>
      <c r="J75" s="145"/>
      <c r="K75" s="44"/>
      <c r="L75" s="231"/>
      <c r="M75" s="27"/>
      <c r="N75" s="148"/>
    </row>
    <row r="76" spans="1:14" s="3" customFormat="1" x14ac:dyDescent="0.2">
      <c r="A76" s="21" t="s">
        <v>325</v>
      </c>
      <c r="B76" s="211"/>
      <c r="C76" s="145"/>
      <c r="D76" s="166"/>
      <c r="E76" s="23"/>
      <c r="F76" s="211"/>
      <c r="G76" s="145"/>
      <c r="H76" s="166"/>
      <c r="I76" s="23"/>
      <c r="J76" s="145"/>
      <c r="K76" s="44"/>
      <c r="L76" s="231"/>
      <c r="M76" s="27"/>
      <c r="N76" s="148"/>
    </row>
    <row r="77" spans="1:14" ht="15.75" x14ac:dyDescent="0.2">
      <c r="A77" s="21" t="s">
        <v>358</v>
      </c>
      <c r="B77" s="211">
        <v>77386</v>
      </c>
      <c r="C77" s="211">
        <v>0</v>
      </c>
      <c r="D77" s="166">
        <f>IF(B77=0, "    ---- ", IF(ABS(ROUND(100/B77*C77-100,1))&lt;999,ROUND(100/B77*C77-100,1),IF(ROUND(100/B77*C77-100,1)&gt;999,999,-999)))</f>
        <v>-100</v>
      </c>
      <c r="E77" s="23">
        <f>IFERROR(100/'Skjema total MA'!C77*C77,0)</f>
        <v>0</v>
      </c>
      <c r="F77" s="211">
        <v>102317</v>
      </c>
      <c r="G77" s="145">
        <v>0</v>
      </c>
      <c r="H77" s="166">
        <f>IF(F77=0, "    ---- ", IF(ABS(ROUND(100/F77*G77-100,1))&lt;999,ROUND(100/F77*G77-100,1),IF(ROUND(100/F77*G77-100,1)&gt;999,999,-999)))</f>
        <v>-100</v>
      </c>
      <c r="I77" s="23">
        <f>IFERROR(100/'Skjema total MA'!F77*G77,0)</f>
        <v>0</v>
      </c>
      <c r="J77" s="145">
        <f t="shared" ref="J77:K79" si="10">SUM(B77,F77)</f>
        <v>179703</v>
      </c>
      <c r="K77" s="44">
        <f t="shared" si="10"/>
        <v>0</v>
      </c>
      <c r="L77" s="231">
        <f>IF(J77=0, "    ---- ", IF(ABS(ROUND(100/J77*K77-100,1))&lt;999,ROUND(100/J77*K77-100,1),IF(ROUND(100/J77*K77-100,1)&gt;999,999,-999)))</f>
        <v>-100</v>
      </c>
      <c r="M77" s="27">
        <f>IFERROR(100/'Skjema total MA'!I77*K77,0)</f>
        <v>0</v>
      </c>
    </row>
    <row r="78" spans="1:14" x14ac:dyDescent="0.2">
      <c r="A78" s="21" t="s">
        <v>9</v>
      </c>
      <c r="B78" s="211"/>
      <c r="C78" s="145"/>
      <c r="D78" s="166"/>
      <c r="E78" s="23"/>
      <c r="F78" s="211"/>
      <c r="G78" s="145"/>
      <c r="H78" s="166"/>
      <c r="I78" s="23"/>
      <c r="J78" s="145"/>
      <c r="K78" s="44"/>
      <c r="L78" s="231"/>
      <c r="M78" s="27"/>
    </row>
    <row r="79" spans="1:14" x14ac:dyDescent="0.2">
      <c r="A79" s="38" t="s">
        <v>398</v>
      </c>
      <c r="B79" s="268">
        <v>77386</v>
      </c>
      <c r="C79" s="269">
        <v>0</v>
      </c>
      <c r="D79" s="166">
        <f>IF(B79=0, "    ---- ", IF(ABS(ROUND(100/B79*C79-100,1))&lt;999,ROUND(100/B79*C79-100,1),IF(ROUND(100/B79*C79-100,1)&gt;999,999,-999)))</f>
        <v>-100</v>
      </c>
      <c r="E79" s="23">
        <f>IFERROR(100/'Skjema total MA'!C79*C79,0)</f>
        <v>0</v>
      </c>
      <c r="F79" s="268">
        <v>102317</v>
      </c>
      <c r="G79" s="269">
        <v>0</v>
      </c>
      <c r="H79" s="166">
        <f>IF(F79=0, "    ---- ", IF(ABS(ROUND(100/F79*G79-100,1))&lt;999,ROUND(100/F79*G79-100,1),IF(ROUND(100/F79*G79-100,1)&gt;999,999,-999)))</f>
        <v>-100</v>
      </c>
      <c r="I79" s="23">
        <f>IFERROR(100/'Skjema total MA'!F79*G79,0)</f>
        <v>0</v>
      </c>
      <c r="J79" s="145">
        <f t="shared" si="10"/>
        <v>179703</v>
      </c>
      <c r="K79" s="44">
        <f t="shared" si="10"/>
        <v>0</v>
      </c>
      <c r="L79" s="231">
        <f>IF(J79=0, "    ---- ", IF(ABS(ROUND(100/J79*K79-100,1))&lt;999,ROUND(100/J79*K79-100,1),IF(ROUND(100/J79*K79-100,1)&gt;999,999,-999)))</f>
        <v>-100</v>
      </c>
      <c r="M79" s="27">
        <f>IFERROR(100/'Skjema total MA'!I79*K79,0)</f>
        <v>0</v>
      </c>
    </row>
    <row r="80" spans="1:14" ht="15.75" x14ac:dyDescent="0.2">
      <c r="A80" s="272" t="s">
        <v>356</v>
      </c>
      <c r="B80" s="295"/>
      <c r="C80" s="295"/>
      <c r="D80" s="166"/>
      <c r="E80" s="23"/>
      <c r="F80" s="295"/>
      <c r="G80" s="295"/>
      <c r="H80" s="166"/>
      <c r="I80" s="23"/>
      <c r="J80" s="295"/>
      <c r="K80" s="295"/>
      <c r="L80" s="166"/>
      <c r="M80" s="23"/>
    </row>
    <row r="81" spans="1:13" x14ac:dyDescent="0.2">
      <c r="A81" s="272" t="s">
        <v>12</v>
      </c>
      <c r="B81" s="295"/>
      <c r="C81" s="295"/>
      <c r="D81" s="166"/>
      <c r="E81" s="23"/>
      <c r="F81" s="270"/>
      <c r="G81" s="271"/>
      <c r="H81" s="166"/>
      <c r="I81" s="23"/>
      <c r="J81" s="270"/>
      <c r="K81" s="271"/>
      <c r="L81" s="166"/>
      <c r="M81" s="23"/>
    </row>
    <row r="82" spans="1:13" x14ac:dyDescent="0.2">
      <c r="A82" s="272" t="s">
        <v>13</v>
      </c>
      <c r="B82" s="295"/>
      <c r="C82" s="295"/>
      <c r="D82" s="166"/>
      <c r="E82" s="23"/>
      <c r="F82" s="212"/>
      <c r="G82" s="266"/>
      <c r="H82" s="166"/>
      <c r="I82" s="23"/>
      <c r="J82" s="212"/>
      <c r="K82" s="266"/>
      <c r="L82" s="166"/>
      <c r="M82" s="23"/>
    </row>
    <row r="83" spans="1:13" ht="15.75" x14ac:dyDescent="0.2">
      <c r="A83" s="272" t="s">
        <v>357</v>
      </c>
      <c r="B83" s="295"/>
      <c r="C83" s="295"/>
      <c r="D83" s="166"/>
      <c r="E83" s="23"/>
      <c r="F83" s="295"/>
      <c r="G83" s="295"/>
      <c r="H83" s="166"/>
      <c r="I83" s="23"/>
      <c r="J83" s="295"/>
      <c r="K83" s="295"/>
      <c r="L83" s="166"/>
      <c r="M83" s="23"/>
    </row>
    <row r="84" spans="1:13" x14ac:dyDescent="0.2">
      <c r="A84" s="272" t="s">
        <v>12</v>
      </c>
      <c r="B84" s="212"/>
      <c r="C84" s="266"/>
      <c r="D84" s="166"/>
      <c r="E84" s="23"/>
      <c r="F84" s="212"/>
      <c r="G84" s="266"/>
      <c r="H84" s="166"/>
      <c r="I84" s="23"/>
      <c r="J84" s="212"/>
      <c r="K84" s="266"/>
      <c r="L84" s="166"/>
      <c r="M84" s="23"/>
    </row>
    <row r="85" spans="1:13" x14ac:dyDescent="0.2">
      <c r="A85" s="272" t="s">
        <v>13</v>
      </c>
      <c r="B85" s="212"/>
      <c r="C85" s="266"/>
      <c r="D85" s="166"/>
      <c r="E85" s="23"/>
      <c r="F85" s="212"/>
      <c r="G85" s="266"/>
      <c r="H85" s="166"/>
      <c r="I85" s="23"/>
      <c r="J85" s="212"/>
      <c r="K85" s="266"/>
      <c r="L85" s="166"/>
      <c r="M85" s="23"/>
    </row>
    <row r="86" spans="1:13" ht="15.75" x14ac:dyDescent="0.2">
      <c r="A86" s="21" t="s">
        <v>359</v>
      </c>
      <c r="B86" s="211"/>
      <c r="C86" s="145"/>
      <c r="D86" s="166"/>
      <c r="E86" s="23"/>
      <c r="F86" s="211"/>
      <c r="G86" s="145"/>
      <c r="H86" s="166"/>
      <c r="I86" s="23"/>
      <c r="J86" s="145"/>
      <c r="K86" s="44"/>
      <c r="L86" s="231"/>
      <c r="M86" s="27"/>
    </row>
    <row r="87" spans="1:13" ht="15.75" x14ac:dyDescent="0.2">
      <c r="A87" s="13" t="s">
        <v>341</v>
      </c>
      <c r="B87" s="329">
        <v>223718</v>
      </c>
      <c r="C87" s="329">
        <v>0</v>
      </c>
      <c r="D87" s="171">
        <f>IF(B87=0, "    ---- ", IF(ABS(ROUND(100/B87*C87-100,1))&lt;999,ROUND(100/B87*C87-100,1),IF(ROUND(100/B87*C87-100,1)&gt;999,999,-999)))</f>
        <v>-100</v>
      </c>
      <c r="E87" s="24">
        <f>IFERROR(100/'Skjema total MA'!C87*C87,0)</f>
        <v>0</v>
      </c>
      <c r="F87" s="328">
        <v>3709469</v>
      </c>
      <c r="G87" s="328">
        <v>0</v>
      </c>
      <c r="H87" s="171">
        <f>IF(F87=0, "    ---- ", IF(ABS(ROUND(100/F87*G87-100,1))&lt;999,ROUND(100/F87*G87-100,1),IF(ROUND(100/F87*G87-100,1)&gt;999,999,-999)))</f>
        <v>-100</v>
      </c>
      <c r="I87" s="24">
        <f>IFERROR(100/'Skjema total MA'!F87*G87,0)</f>
        <v>0</v>
      </c>
      <c r="J87" s="159">
        <f t="shared" ref="J87:K89" si="11">SUM(B87,F87)</f>
        <v>3933187</v>
      </c>
      <c r="K87" s="213">
        <f t="shared" si="11"/>
        <v>0</v>
      </c>
      <c r="L87" s="402">
        <f>IF(J87=0, "    ---- ", IF(ABS(ROUND(100/J87*K87-100,1))&lt;999,ROUND(100/J87*K87-100,1),IF(ROUND(100/J87*K87-100,1)&gt;999,999,-999)))</f>
        <v>-100</v>
      </c>
      <c r="M87" s="11">
        <f>IFERROR(100/'Skjema total MA'!I87*K87,0)</f>
        <v>0</v>
      </c>
    </row>
    <row r="88" spans="1:13" x14ac:dyDescent="0.2">
      <c r="A88" s="21" t="s">
        <v>9</v>
      </c>
      <c r="B88" s="211"/>
      <c r="C88" s="145"/>
      <c r="D88" s="166"/>
      <c r="E88" s="23"/>
      <c r="F88" s="211"/>
      <c r="G88" s="145"/>
      <c r="H88" s="166"/>
      <c r="I88" s="23"/>
      <c r="J88" s="145"/>
      <c r="K88" s="44"/>
      <c r="L88" s="231"/>
      <c r="M88" s="27"/>
    </row>
    <row r="89" spans="1:13" x14ac:dyDescent="0.2">
      <c r="A89" s="21" t="s">
        <v>10</v>
      </c>
      <c r="B89" s="211">
        <v>223718</v>
      </c>
      <c r="C89" s="145">
        <v>0</v>
      </c>
      <c r="D89" s="166">
        <f>IF(B89=0, "    ---- ", IF(ABS(ROUND(100/B89*C89-100,1))&lt;999,ROUND(100/B89*C89-100,1),IF(ROUND(100/B89*C89-100,1)&gt;999,999,-999)))</f>
        <v>-100</v>
      </c>
      <c r="E89" s="23">
        <f>IFERROR(100/'Skjema total MA'!C89*C89,0)</f>
        <v>0</v>
      </c>
      <c r="F89" s="211">
        <v>3709469</v>
      </c>
      <c r="G89" s="145">
        <v>0</v>
      </c>
      <c r="H89" s="166">
        <f>IF(F89=0, "    ---- ", IF(ABS(ROUND(100/F89*G89-100,1))&lt;999,ROUND(100/F89*G89-100,1),IF(ROUND(100/F89*G89-100,1)&gt;999,999,-999)))</f>
        <v>-100</v>
      </c>
      <c r="I89" s="23">
        <f>IFERROR(100/'Skjema total MA'!F89*G89,0)</f>
        <v>0</v>
      </c>
      <c r="J89" s="145">
        <f t="shared" si="11"/>
        <v>3933187</v>
      </c>
      <c r="K89" s="44">
        <f t="shared" si="11"/>
        <v>0</v>
      </c>
      <c r="L89" s="231">
        <f>IF(J89=0, "    ---- ", IF(ABS(ROUND(100/J89*K89-100,1))&lt;999,ROUND(100/J89*K89-100,1),IF(ROUND(100/J89*K89-100,1)&gt;999,999,-999)))</f>
        <v>-100</v>
      </c>
      <c r="M89" s="27">
        <f>IFERROR(100/'Skjema total MA'!I89*K89,0)</f>
        <v>0</v>
      </c>
    </row>
    <row r="90" spans="1:13" ht="15.75" x14ac:dyDescent="0.2">
      <c r="A90" s="272" t="s">
        <v>356</v>
      </c>
      <c r="B90" s="295"/>
      <c r="C90" s="295"/>
      <c r="D90" s="166"/>
      <c r="E90" s="23"/>
      <c r="F90" s="295"/>
      <c r="G90" s="295"/>
      <c r="H90" s="166"/>
      <c r="I90" s="23"/>
      <c r="J90" s="295"/>
      <c r="K90" s="295"/>
      <c r="L90" s="166"/>
      <c r="M90" s="23"/>
    </row>
    <row r="91" spans="1:13" x14ac:dyDescent="0.2">
      <c r="A91" s="272" t="s">
        <v>12</v>
      </c>
      <c r="B91" s="295"/>
      <c r="C91" s="295"/>
      <c r="D91" s="166"/>
      <c r="E91" s="23"/>
      <c r="F91" s="270"/>
      <c r="G91" s="271"/>
      <c r="H91" s="166"/>
      <c r="I91" s="23"/>
      <c r="J91" s="270"/>
      <c r="K91" s="271"/>
      <c r="L91" s="166"/>
      <c r="M91" s="23"/>
    </row>
    <row r="92" spans="1:13" x14ac:dyDescent="0.2">
      <c r="A92" s="272" t="s">
        <v>13</v>
      </c>
      <c r="B92" s="295"/>
      <c r="C92" s="295"/>
      <c r="D92" s="166"/>
      <c r="E92" s="23"/>
      <c r="F92" s="212"/>
      <c r="G92" s="266"/>
      <c r="H92" s="166"/>
      <c r="I92" s="23"/>
      <c r="J92" s="212"/>
      <c r="K92" s="266"/>
      <c r="L92" s="166"/>
      <c r="M92" s="23"/>
    </row>
    <row r="93" spans="1:13" ht="15.75" x14ac:dyDescent="0.2">
      <c r="A93" s="272" t="s">
        <v>357</v>
      </c>
      <c r="B93" s="295"/>
      <c r="C93" s="295"/>
      <c r="D93" s="166"/>
      <c r="E93" s="23"/>
      <c r="F93" s="295"/>
      <c r="G93" s="295"/>
      <c r="H93" s="166"/>
      <c r="I93" s="23"/>
      <c r="J93" s="295"/>
      <c r="K93" s="295"/>
      <c r="L93" s="166"/>
      <c r="M93" s="23"/>
    </row>
    <row r="94" spans="1:13" x14ac:dyDescent="0.2">
      <c r="A94" s="272" t="s">
        <v>12</v>
      </c>
      <c r="B94" s="212"/>
      <c r="C94" s="266"/>
      <c r="D94" s="166"/>
      <c r="E94" s="23"/>
      <c r="F94" s="212"/>
      <c r="G94" s="266"/>
      <c r="H94" s="166"/>
      <c r="I94" s="23"/>
      <c r="J94" s="212"/>
      <c r="K94" s="266"/>
      <c r="L94" s="166"/>
      <c r="M94" s="23"/>
    </row>
    <row r="95" spans="1:13" x14ac:dyDescent="0.2">
      <c r="A95" s="272" t="s">
        <v>13</v>
      </c>
      <c r="B95" s="212"/>
      <c r="C95" s="266"/>
      <c r="D95" s="166"/>
      <c r="E95" s="23"/>
      <c r="F95" s="212"/>
      <c r="G95" s="266"/>
      <c r="H95" s="166"/>
      <c r="I95" s="23"/>
      <c r="J95" s="212"/>
      <c r="K95" s="266"/>
      <c r="L95" s="166"/>
      <c r="M95" s="23"/>
    </row>
    <row r="96" spans="1:13" x14ac:dyDescent="0.2">
      <c r="A96" s="21" t="s">
        <v>324</v>
      </c>
      <c r="B96" s="211"/>
      <c r="C96" s="145"/>
      <c r="D96" s="166"/>
      <c r="E96" s="23"/>
      <c r="F96" s="211"/>
      <c r="G96" s="145"/>
      <c r="H96" s="166"/>
      <c r="I96" s="23"/>
      <c r="J96" s="145"/>
      <c r="K96" s="44"/>
      <c r="L96" s="231"/>
      <c r="M96" s="27"/>
    </row>
    <row r="97" spans="1:13" x14ac:dyDescent="0.2">
      <c r="A97" s="21" t="s">
        <v>323</v>
      </c>
      <c r="B97" s="211"/>
      <c r="C97" s="145"/>
      <c r="D97" s="166"/>
      <c r="E97" s="23"/>
      <c r="F97" s="211"/>
      <c r="G97" s="145"/>
      <c r="H97" s="166"/>
      <c r="I97" s="23"/>
      <c r="J97" s="145"/>
      <c r="K97" s="44"/>
      <c r="L97" s="231"/>
      <c r="M97" s="27"/>
    </row>
    <row r="98" spans="1:13" ht="15.75" x14ac:dyDescent="0.2">
      <c r="A98" s="21" t="s">
        <v>358</v>
      </c>
      <c r="B98" s="211">
        <v>223718</v>
      </c>
      <c r="C98" s="211">
        <v>0</v>
      </c>
      <c r="D98" s="166">
        <f t="shared" ref="D98:D100" si="12">IF(B98=0, "    ---- ", IF(ABS(ROUND(100/B98*C98-100,1))&lt;999,ROUND(100/B98*C98-100,1),IF(ROUND(100/B98*C98-100,1)&gt;999,999,-999)))</f>
        <v>-100</v>
      </c>
      <c r="E98" s="23">
        <f>IFERROR(100/'Skjema total MA'!C98*C98,0)</f>
        <v>0</v>
      </c>
      <c r="F98" s="268">
        <v>3709469</v>
      </c>
      <c r="G98" s="268">
        <v>0</v>
      </c>
      <c r="H98" s="166">
        <f t="shared" ref="H98:H100" si="13">IF(F98=0, "    ---- ", IF(ABS(ROUND(100/F98*G98-100,1))&lt;999,ROUND(100/F98*G98-100,1),IF(ROUND(100/F98*G98-100,1)&gt;999,999,-999)))</f>
        <v>-100</v>
      </c>
      <c r="I98" s="23">
        <f>IFERROR(100/'Skjema total MA'!F98*G98,0)</f>
        <v>0</v>
      </c>
      <c r="J98" s="145">
        <f t="shared" ref="J98:K100" si="14">SUM(B98,F98)</f>
        <v>3933187</v>
      </c>
      <c r="K98" s="44">
        <f t="shared" si="14"/>
        <v>0</v>
      </c>
      <c r="L98" s="231">
        <f t="shared" ref="L98:L100" si="15">IF(J98=0, "    ---- ", IF(ABS(ROUND(100/J98*K98-100,1))&lt;999,ROUND(100/J98*K98-100,1),IF(ROUND(100/J98*K98-100,1)&gt;999,999,-999)))</f>
        <v>-100</v>
      </c>
      <c r="M98" s="27">
        <f>IFERROR(100/'Skjema total MA'!I98*K98,0)</f>
        <v>0</v>
      </c>
    </row>
    <row r="99" spans="1:13" x14ac:dyDescent="0.2">
      <c r="A99" s="21" t="s">
        <v>9</v>
      </c>
      <c r="B99" s="268"/>
      <c r="C99" s="269"/>
      <c r="D99" s="166"/>
      <c r="E99" s="23"/>
      <c r="F99" s="211"/>
      <c r="G99" s="145"/>
      <c r="H99" s="166"/>
      <c r="I99" s="23"/>
      <c r="J99" s="145"/>
      <c r="K99" s="44"/>
      <c r="L99" s="231"/>
      <c r="M99" s="27"/>
    </row>
    <row r="100" spans="1:13" ht="15.75" x14ac:dyDescent="0.2">
      <c r="A100" s="38" t="s">
        <v>399</v>
      </c>
      <c r="B100" s="268">
        <v>223718</v>
      </c>
      <c r="C100" s="269">
        <v>0</v>
      </c>
      <c r="D100" s="166">
        <f t="shared" si="12"/>
        <v>-100</v>
      </c>
      <c r="E100" s="23">
        <f>IFERROR(100/'Skjema total MA'!C100*C100,0)</f>
        <v>0</v>
      </c>
      <c r="F100" s="211">
        <v>3709469</v>
      </c>
      <c r="G100" s="211">
        <v>0</v>
      </c>
      <c r="H100" s="166">
        <f t="shared" si="13"/>
        <v>-100</v>
      </c>
      <c r="I100" s="23">
        <f>IFERROR(100/'Skjema total MA'!F100*G100,0)</f>
        <v>0</v>
      </c>
      <c r="J100" s="145">
        <f t="shared" si="14"/>
        <v>3933187</v>
      </c>
      <c r="K100" s="44">
        <f t="shared" si="14"/>
        <v>0</v>
      </c>
      <c r="L100" s="231">
        <f t="shared" si="15"/>
        <v>-100</v>
      </c>
      <c r="M100" s="27">
        <f>IFERROR(100/'Skjema total MA'!I100*K100,0)</f>
        <v>0</v>
      </c>
    </row>
    <row r="101" spans="1:13" ht="15.75" x14ac:dyDescent="0.2">
      <c r="A101" s="38" t="s">
        <v>400</v>
      </c>
      <c r="B101" s="268"/>
      <c r="C101" s="268"/>
      <c r="D101" s="166"/>
      <c r="E101" s="23"/>
      <c r="F101" s="268"/>
      <c r="G101" s="268"/>
      <c r="H101" s="166"/>
      <c r="I101" s="23"/>
      <c r="J101" s="145"/>
      <c r="K101" s="44"/>
      <c r="L101" s="231"/>
      <c r="M101" s="27"/>
    </row>
    <row r="102" spans="1:13" ht="15.75" x14ac:dyDescent="0.2">
      <c r="A102" s="272" t="s">
        <v>356</v>
      </c>
      <c r="B102" s="295"/>
      <c r="C102" s="295"/>
      <c r="D102" s="166"/>
      <c r="E102" s="23"/>
      <c r="F102" s="295"/>
      <c r="G102" s="295"/>
      <c r="H102" s="166"/>
      <c r="I102" s="23"/>
      <c r="J102" s="295"/>
      <c r="K102" s="295"/>
      <c r="L102" s="166"/>
      <c r="M102" s="23"/>
    </row>
    <row r="103" spans="1:13" x14ac:dyDescent="0.2">
      <c r="A103" s="272" t="s">
        <v>12</v>
      </c>
      <c r="B103" s="295"/>
      <c r="C103" s="295"/>
      <c r="D103" s="166"/>
      <c r="E103" s="23"/>
      <c r="F103" s="270"/>
      <c r="G103" s="271"/>
      <c r="H103" s="166"/>
      <c r="I103" s="23"/>
      <c r="J103" s="270"/>
      <c r="K103" s="271"/>
      <c r="L103" s="166"/>
      <c r="M103" s="23"/>
    </row>
    <row r="104" spans="1:13" x14ac:dyDescent="0.2">
      <c r="A104" s="272" t="s">
        <v>13</v>
      </c>
      <c r="B104" s="295"/>
      <c r="C104" s="295"/>
      <c r="D104" s="166"/>
      <c r="E104" s="23"/>
      <c r="F104" s="212"/>
      <c r="G104" s="266"/>
      <c r="H104" s="166"/>
      <c r="I104" s="23"/>
      <c r="J104" s="212"/>
      <c r="K104" s="266"/>
      <c r="L104" s="166"/>
      <c r="M104" s="23"/>
    </row>
    <row r="105" spans="1:13" ht="15.75" x14ac:dyDescent="0.2">
      <c r="A105" s="272" t="s">
        <v>357</v>
      </c>
      <c r="B105" s="295"/>
      <c r="C105" s="295"/>
      <c r="D105" s="166"/>
      <c r="E105" s="23"/>
      <c r="F105" s="295"/>
      <c r="G105" s="295"/>
      <c r="H105" s="166"/>
      <c r="I105" s="23"/>
      <c r="J105" s="295"/>
      <c r="K105" s="295"/>
      <c r="L105" s="166"/>
      <c r="M105" s="23"/>
    </row>
    <row r="106" spans="1:13" x14ac:dyDescent="0.2">
      <c r="A106" s="272" t="s">
        <v>12</v>
      </c>
      <c r="B106" s="212"/>
      <c r="C106" s="266"/>
      <c r="D106" s="166"/>
      <c r="E106" s="23"/>
      <c r="F106" s="212"/>
      <c r="G106" s="266"/>
      <c r="H106" s="166"/>
      <c r="I106" s="23"/>
      <c r="J106" s="212"/>
      <c r="K106" s="266"/>
      <c r="L106" s="166"/>
      <c r="M106" s="23"/>
    </row>
    <row r="107" spans="1:13" x14ac:dyDescent="0.2">
      <c r="A107" s="272" t="s">
        <v>13</v>
      </c>
      <c r="B107" s="212"/>
      <c r="C107" s="266"/>
      <c r="D107" s="166"/>
      <c r="E107" s="23"/>
      <c r="F107" s="212"/>
      <c r="G107" s="266"/>
      <c r="H107" s="166"/>
      <c r="I107" s="23"/>
      <c r="J107" s="212"/>
      <c r="K107" s="266"/>
      <c r="L107" s="166"/>
      <c r="M107" s="23"/>
    </row>
    <row r="108" spans="1:13" ht="15.75" x14ac:dyDescent="0.2">
      <c r="A108" s="21" t="s">
        <v>359</v>
      </c>
      <c r="B108" s="211"/>
      <c r="C108" s="145"/>
      <c r="D108" s="166"/>
      <c r="E108" s="23"/>
      <c r="F108" s="211"/>
      <c r="G108" s="145"/>
      <c r="H108" s="166"/>
      <c r="I108" s="23"/>
      <c r="J108" s="145"/>
      <c r="K108" s="44"/>
      <c r="L108" s="231"/>
      <c r="M108" s="27"/>
    </row>
    <row r="109" spans="1:13" ht="15.75" x14ac:dyDescent="0.2">
      <c r="A109" s="21" t="s">
        <v>360</v>
      </c>
      <c r="B109" s="211"/>
      <c r="C109" s="211"/>
      <c r="D109" s="166"/>
      <c r="E109" s="23"/>
      <c r="F109" s="211"/>
      <c r="G109" s="211"/>
      <c r="H109" s="166"/>
      <c r="I109" s="23"/>
      <c r="J109" s="145"/>
      <c r="K109" s="44"/>
      <c r="L109" s="231"/>
      <c r="M109" s="27"/>
    </row>
    <row r="110" spans="1:13" ht="15.75" x14ac:dyDescent="0.2">
      <c r="A110" s="38" t="s">
        <v>416</v>
      </c>
      <c r="B110" s="211"/>
      <c r="C110" s="211"/>
      <c r="D110" s="166"/>
      <c r="E110" s="23"/>
      <c r="F110" s="211">
        <v>1288051</v>
      </c>
      <c r="G110" s="211">
        <v>0</v>
      </c>
      <c r="H110" s="166">
        <f t="shared" ref="H110:H112" si="16">IF(F110=0, "    ---- ", IF(ABS(ROUND(100/F110*G110-100,1))&lt;999,ROUND(100/F110*G110-100,1),IF(ROUND(100/F110*G110-100,1)&gt;999,999,-999)))</f>
        <v>-100</v>
      </c>
      <c r="I110" s="23">
        <f>IFERROR(100/'Skjema total MA'!F110*G110,0)</f>
        <v>0</v>
      </c>
      <c r="J110" s="145">
        <f t="shared" ref="J110:K112" si="17">SUM(B110,F110)</f>
        <v>1288051</v>
      </c>
      <c r="K110" s="44">
        <f t="shared" si="17"/>
        <v>0</v>
      </c>
      <c r="L110" s="231">
        <f t="shared" ref="L110:L112" si="18">IF(J110=0, "    ---- ", IF(ABS(ROUND(100/J110*K110-100,1))&lt;999,ROUND(100/J110*K110-100,1),IF(ROUND(100/J110*K110-100,1)&gt;999,999,-999)))</f>
        <v>-100</v>
      </c>
      <c r="M110" s="27">
        <f>IFERROR(100/'Skjema total MA'!I110*K110,0)</f>
        <v>0</v>
      </c>
    </row>
    <row r="111" spans="1:13" ht="15.75" x14ac:dyDescent="0.2">
      <c r="A111" s="21" t="s">
        <v>362</v>
      </c>
      <c r="B111" s="211"/>
      <c r="C111" s="211"/>
      <c r="D111" s="166"/>
      <c r="E111" s="23"/>
      <c r="F111" s="211"/>
      <c r="G111" s="211"/>
      <c r="H111" s="166"/>
      <c r="I111" s="23"/>
      <c r="J111" s="145"/>
      <c r="K111" s="44"/>
      <c r="L111" s="231"/>
      <c r="M111" s="27"/>
    </row>
    <row r="112" spans="1:13" ht="15.75" x14ac:dyDescent="0.2">
      <c r="A112" s="13" t="s">
        <v>342</v>
      </c>
      <c r="B112" s="284">
        <v>454</v>
      </c>
      <c r="C112" s="159">
        <v>0</v>
      </c>
      <c r="D112" s="171">
        <f t="shared" ref="D112" si="19">IF(B112=0, "    ---- ", IF(ABS(ROUND(100/B112*C112-100,1))&lt;999,ROUND(100/B112*C112-100,1),IF(ROUND(100/B112*C112-100,1)&gt;999,999,-999)))</f>
        <v>-100</v>
      </c>
      <c r="E112" s="24">
        <f>IFERROR(100/'Skjema total MA'!C112*C112,0)</f>
        <v>0</v>
      </c>
      <c r="F112" s="284">
        <v>39356</v>
      </c>
      <c r="G112" s="159">
        <v>0</v>
      </c>
      <c r="H112" s="171">
        <f t="shared" si="16"/>
        <v>-100</v>
      </c>
      <c r="I112" s="24">
        <f>IFERROR(100/'Skjema total MA'!F112*G112,0)</f>
        <v>0</v>
      </c>
      <c r="J112" s="159">
        <f t="shared" si="17"/>
        <v>39810</v>
      </c>
      <c r="K112" s="213">
        <f t="shared" si="17"/>
        <v>0</v>
      </c>
      <c r="L112" s="402">
        <f t="shared" si="18"/>
        <v>-100</v>
      </c>
      <c r="M112" s="11">
        <f>IFERROR(100/'Skjema total MA'!I112*K112,0)</f>
        <v>0</v>
      </c>
    </row>
    <row r="113" spans="1:14" x14ac:dyDescent="0.2">
      <c r="A113" s="21" t="s">
        <v>9</v>
      </c>
      <c r="B113" s="211"/>
      <c r="C113" s="145"/>
      <c r="D113" s="166"/>
      <c r="E113" s="23"/>
      <c r="F113" s="211"/>
      <c r="G113" s="145"/>
      <c r="H113" s="166"/>
      <c r="I113" s="23"/>
      <c r="J113" s="145"/>
      <c r="K113" s="44"/>
      <c r="L113" s="231"/>
      <c r="M113" s="27"/>
    </row>
    <row r="114" spans="1:14" x14ac:dyDescent="0.2">
      <c r="A114" s="21" t="s">
        <v>10</v>
      </c>
      <c r="B114" s="211">
        <v>454</v>
      </c>
      <c r="C114" s="145">
        <v>0</v>
      </c>
      <c r="D114" s="166">
        <f t="shared" ref="D114:D122" si="20">IF(B114=0, "    ---- ", IF(ABS(ROUND(100/B114*C114-100,1))&lt;999,ROUND(100/B114*C114-100,1),IF(ROUND(100/B114*C114-100,1)&gt;999,999,-999)))</f>
        <v>-100</v>
      </c>
      <c r="E114" s="23">
        <f>IFERROR(100/'Skjema total MA'!C114*C114,0)</f>
        <v>0</v>
      </c>
      <c r="F114" s="211">
        <v>39356</v>
      </c>
      <c r="G114" s="145">
        <v>0</v>
      </c>
      <c r="H114" s="166">
        <f t="shared" ref="H114:H122" si="21">IF(F114=0, "    ---- ", IF(ABS(ROUND(100/F114*G114-100,1))&lt;999,ROUND(100/F114*G114-100,1),IF(ROUND(100/F114*G114-100,1)&gt;999,999,-999)))</f>
        <v>-100</v>
      </c>
      <c r="I114" s="23">
        <f>IFERROR(100/'Skjema total MA'!F114*G114,0)</f>
        <v>0</v>
      </c>
      <c r="J114" s="145">
        <f t="shared" ref="J114:K122" si="22">SUM(B114,F114)</f>
        <v>39810</v>
      </c>
      <c r="K114" s="44">
        <f t="shared" si="22"/>
        <v>0</v>
      </c>
      <c r="L114" s="231">
        <f t="shared" ref="L114:L122" si="23">IF(J114=0, "    ---- ", IF(ABS(ROUND(100/J114*K114-100,1))&lt;999,ROUND(100/J114*K114-100,1),IF(ROUND(100/J114*K114-100,1)&gt;999,999,-999)))</f>
        <v>-100</v>
      </c>
      <c r="M114" s="27">
        <f>IFERROR(100/'Skjema total MA'!I114*K114,0)</f>
        <v>0</v>
      </c>
    </row>
    <row r="115" spans="1:14" x14ac:dyDescent="0.2">
      <c r="A115" s="21" t="s">
        <v>26</v>
      </c>
      <c r="B115" s="211"/>
      <c r="C115" s="145"/>
      <c r="D115" s="166"/>
      <c r="E115" s="23"/>
      <c r="F115" s="211"/>
      <c r="G115" s="145"/>
      <c r="H115" s="166"/>
      <c r="I115" s="23"/>
      <c r="J115" s="145"/>
      <c r="K115" s="44"/>
      <c r="L115" s="231"/>
      <c r="M115" s="27"/>
    </row>
    <row r="116" spans="1:14" x14ac:dyDescent="0.2">
      <c r="A116" s="272" t="s">
        <v>15</v>
      </c>
      <c r="B116" s="258"/>
      <c r="C116" s="258"/>
      <c r="D116" s="166"/>
      <c r="E116" s="23"/>
      <c r="F116" s="665"/>
      <c r="G116" s="258"/>
      <c r="H116" s="166"/>
      <c r="I116" s="23"/>
      <c r="J116" s="667"/>
      <c r="K116" s="267"/>
      <c r="L116" s="166"/>
      <c r="M116" s="23"/>
    </row>
    <row r="117" spans="1:14" ht="15.75" x14ac:dyDescent="0.2">
      <c r="A117" s="21" t="s">
        <v>363</v>
      </c>
      <c r="B117" s="211"/>
      <c r="C117" s="211"/>
      <c r="D117" s="166"/>
      <c r="E117" s="23"/>
      <c r="F117" s="211"/>
      <c r="G117" s="211"/>
      <c r="H117" s="166"/>
      <c r="I117" s="23"/>
      <c r="J117" s="145"/>
      <c r="K117" s="44"/>
      <c r="L117" s="231"/>
      <c r="M117" s="27"/>
    </row>
    <row r="118" spans="1:14" ht="15.75" x14ac:dyDescent="0.2">
      <c r="A118" s="21" t="s">
        <v>364</v>
      </c>
      <c r="B118" s="211"/>
      <c r="C118" s="211"/>
      <c r="D118" s="166"/>
      <c r="E118" s="23"/>
      <c r="F118" s="211"/>
      <c r="G118" s="211"/>
      <c r="H118" s="166"/>
      <c r="I118" s="23"/>
      <c r="J118" s="145"/>
      <c r="K118" s="44"/>
      <c r="L118" s="231"/>
      <c r="M118" s="27"/>
    </row>
    <row r="119" spans="1:14" ht="15.75" x14ac:dyDescent="0.2">
      <c r="A119" s="21" t="s">
        <v>362</v>
      </c>
      <c r="B119" s="211"/>
      <c r="C119" s="211"/>
      <c r="D119" s="166"/>
      <c r="E119" s="23"/>
      <c r="F119" s="211"/>
      <c r="G119" s="211"/>
      <c r="H119" s="166"/>
      <c r="I119" s="23"/>
      <c r="J119" s="145"/>
      <c r="K119" s="44"/>
      <c r="L119" s="231"/>
      <c r="M119" s="27"/>
    </row>
    <row r="120" spans="1:14" ht="15.75" x14ac:dyDescent="0.2">
      <c r="A120" s="13" t="s">
        <v>343</v>
      </c>
      <c r="B120" s="284">
        <v>1116</v>
      </c>
      <c r="C120" s="159">
        <v>0</v>
      </c>
      <c r="D120" s="171">
        <f t="shared" si="20"/>
        <v>-100</v>
      </c>
      <c r="E120" s="24">
        <f>IFERROR(100/'Skjema total MA'!C120*C120,0)</f>
        <v>0</v>
      </c>
      <c r="F120" s="284">
        <v>59896</v>
      </c>
      <c r="G120" s="159">
        <v>0</v>
      </c>
      <c r="H120" s="171">
        <f t="shared" si="21"/>
        <v>-100</v>
      </c>
      <c r="I120" s="24">
        <f>IFERROR(100/'Skjema total MA'!F120*G120,0)</f>
        <v>0</v>
      </c>
      <c r="J120" s="159">
        <f t="shared" si="22"/>
        <v>61012</v>
      </c>
      <c r="K120" s="213">
        <f t="shared" si="22"/>
        <v>0</v>
      </c>
      <c r="L120" s="402">
        <f t="shared" si="23"/>
        <v>-100</v>
      </c>
      <c r="M120" s="11">
        <f>IFERROR(100/'Skjema total MA'!I120*K120,0)</f>
        <v>0</v>
      </c>
    </row>
    <row r="121" spans="1:14" x14ac:dyDescent="0.2">
      <c r="A121" s="21" t="s">
        <v>9</v>
      </c>
      <c r="B121" s="211"/>
      <c r="C121" s="145"/>
      <c r="D121" s="166"/>
      <c r="E121" s="23"/>
      <c r="F121" s="211"/>
      <c r="G121" s="145"/>
      <c r="H121" s="166"/>
      <c r="I121" s="23"/>
      <c r="J121" s="145"/>
      <c r="K121" s="44"/>
      <c r="L121" s="231"/>
      <c r="M121" s="27"/>
    </row>
    <row r="122" spans="1:14" x14ac:dyDescent="0.2">
      <c r="A122" s="21" t="s">
        <v>10</v>
      </c>
      <c r="B122" s="211">
        <v>1116</v>
      </c>
      <c r="C122" s="145">
        <v>0</v>
      </c>
      <c r="D122" s="166">
        <f t="shared" si="20"/>
        <v>-100</v>
      </c>
      <c r="E122" s="23">
        <f>IFERROR(100/'Skjema total MA'!C122*C122,0)</f>
        <v>0</v>
      </c>
      <c r="F122" s="211">
        <v>59896</v>
      </c>
      <c r="G122" s="145">
        <v>0</v>
      </c>
      <c r="H122" s="166">
        <f t="shared" si="21"/>
        <v>-100</v>
      </c>
      <c r="I122" s="23">
        <f>IFERROR(100/'Skjema total MA'!F122*G122,0)</f>
        <v>0</v>
      </c>
      <c r="J122" s="145">
        <f t="shared" si="22"/>
        <v>61012</v>
      </c>
      <c r="K122" s="44">
        <f t="shared" si="22"/>
        <v>0</v>
      </c>
      <c r="L122" s="231">
        <f t="shared" si="23"/>
        <v>-100</v>
      </c>
      <c r="M122" s="27">
        <f>IFERROR(100/'Skjema total MA'!I122*K122,0)</f>
        <v>0</v>
      </c>
    </row>
    <row r="123" spans="1:14" x14ac:dyDescent="0.2">
      <c r="A123" s="21" t="s">
        <v>26</v>
      </c>
      <c r="B123" s="211"/>
      <c r="C123" s="145"/>
      <c r="D123" s="166"/>
      <c r="E123" s="23"/>
      <c r="F123" s="211"/>
      <c r="G123" s="145"/>
      <c r="H123" s="166"/>
      <c r="I123" s="23"/>
      <c r="J123" s="145"/>
      <c r="K123" s="44"/>
      <c r="L123" s="231"/>
      <c r="M123" s="27"/>
    </row>
    <row r="124" spans="1:14" x14ac:dyDescent="0.2">
      <c r="A124" s="272" t="s">
        <v>14</v>
      </c>
      <c r="B124" s="258"/>
      <c r="C124" s="258"/>
      <c r="D124" s="166"/>
      <c r="E124" s="23"/>
      <c r="F124" s="665"/>
      <c r="G124" s="258"/>
      <c r="H124" s="166"/>
      <c r="I124" s="23"/>
      <c r="J124" s="667"/>
      <c r="K124" s="267"/>
      <c r="L124" s="166"/>
      <c r="M124" s="23"/>
    </row>
    <row r="125" spans="1:14" ht="15.75" x14ac:dyDescent="0.2">
      <c r="A125" s="21" t="s">
        <v>369</v>
      </c>
      <c r="B125" s="211"/>
      <c r="C125" s="211"/>
      <c r="D125" s="166"/>
      <c r="E125" s="23"/>
      <c r="F125" s="211"/>
      <c r="G125" s="211"/>
      <c r="H125" s="166"/>
      <c r="I125" s="23"/>
      <c r="J125" s="145"/>
      <c r="K125" s="44"/>
      <c r="L125" s="231"/>
      <c r="M125" s="27"/>
    </row>
    <row r="126" spans="1:14" ht="15.75" x14ac:dyDescent="0.2">
      <c r="A126" s="21" t="s">
        <v>361</v>
      </c>
      <c r="B126" s="211"/>
      <c r="C126" s="211"/>
      <c r="D126" s="166"/>
      <c r="E126" s="23"/>
      <c r="F126" s="211"/>
      <c r="G126" s="211"/>
      <c r="H126" s="166"/>
      <c r="I126" s="23"/>
      <c r="J126" s="145"/>
      <c r="K126" s="44"/>
      <c r="L126" s="231"/>
      <c r="M126" s="27"/>
    </row>
    <row r="127" spans="1:14" ht="15.75" x14ac:dyDescent="0.2">
      <c r="A127" s="10" t="s">
        <v>362</v>
      </c>
      <c r="B127" s="45"/>
      <c r="C127" s="45"/>
      <c r="D127" s="167"/>
      <c r="E127" s="22"/>
      <c r="F127" s="666"/>
      <c r="G127" s="45"/>
      <c r="H127" s="167"/>
      <c r="I127" s="22"/>
      <c r="J127" s="668"/>
      <c r="K127" s="45"/>
      <c r="L127" s="232"/>
      <c r="M127" s="22"/>
    </row>
    <row r="128" spans="1:14" x14ac:dyDescent="0.2">
      <c r="A128" s="155"/>
      <c r="L128" s="26"/>
      <c r="M128" s="26"/>
      <c r="N128" s="26"/>
    </row>
    <row r="129" spans="1:14" x14ac:dyDescent="0.2">
      <c r="L129" s="26"/>
      <c r="M129" s="26"/>
      <c r="N129" s="26"/>
    </row>
    <row r="130" spans="1:14" ht="15.75" x14ac:dyDescent="0.25">
      <c r="A130" s="165" t="s">
        <v>27</v>
      </c>
    </row>
    <row r="131" spans="1:14" ht="15.75" x14ac:dyDescent="0.25">
      <c r="B131" s="694"/>
      <c r="C131" s="694"/>
      <c r="D131" s="694"/>
      <c r="E131" s="275"/>
      <c r="F131" s="694"/>
      <c r="G131" s="694"/>
      <c r="H131" s="694"/>
      <c r="I131" s="275"/>
      <c r="J131" s="694"/>
      <c r="K131" s="694"/>
      <c r="L131" s="694"/>
      <c r="M131" s="275"/>
    </row>
    <row r="132" spans="1:14" s="3" customFormat="1" x14ac:dyDescent="0.2">
      <c r="A132" s="144"/>
      <c r="B132" s="695" t="s">
        <v>0</v>
      </c>
      <c r="C132" s="696"/>
      <c r="D132" s="696"/>
      <c r="E132" s="277"/>
      <c r="F132" s="695" t="s">
        <v>1</v>
      </c>
      <c r="G132" s="696"/>
      <c r="H132" s="696"/>
      <c r="I132" s="280"/>
      <c r="J132" s="695" t="s">
        <v>2</v>
      </c>
      <c r="K132" s="696"/>
      <c r="L132" s="696"/>
      <c r="M132" s="280"/>
      <c r="N132" s="148"/>
    </row>
    <row r="133" spans="1:14" s="3" customFormat="1" x14ac:dyDescent="0.2">
      <c r="A133" s="140"/>
      <c r="B133" s="152" t="s">
        <v>412</v>
      </c>
      <c r="C133" s="152" t="s">
        <v>413</v>
      </c>
      <c r="D133" s="222" t="s">
        <v>3</v>
      </c>
      <c r="E133" s="281" t="s">
        <v>29</v>
      </c>
      <c r="F133" s="152" t="s">
        <v>412</v>
      </c>
      <c r="G133" s="152" t="s">
        <v>413</v>
      </c>
      <c r="H133" s="203" t="s">
        <v>3</v>
      </c>
      <c r="I133" s="162" t="s">
        <v>29</v>
      </c>
      <c r="J133" s="152" t="s">
        <v>412</v>
      </c>
      <c r="K133" s="152" t="s">
        <v>413</v>
      </c>
      <c r="L133" s="223" t="s">
        <v>3</v>
      </c>
      <c r="M133" s="162" t="s">
        <v>29</v>
      </c>
      <c r="N133" s="148"/>
    </row>
    <row r="134" spans="1:14" s="3" customFormat="1" x14ac:dyDescent="0.2">
      <c r="A134" s="662"/>
      <c r="B134" s="156"/>
      <c r="C134" s="156"/>
      <c r="D134" s="223" t="s">
        <v>4</v>
      </c>
      <c r="E134" s="156" t="s">
        <v>30</v>
      </c>
      <c r="F134" s="161"/>
      <c r="G134" s="161"/>
      <c r="H134" s="203" t="s">
        <v>4</v>
      </c>
      <c r="I134" s="156" t="s">
        <v>30</v>
      </c>
      <c r="J134" s="156"/>
      <c r="K134" s="156"/>
      <c r="L134" s="150" t="s">
        <v>4</v>
      </c>
      <c r="M134" s="156" t="s">
        <v>30</v>
      </c>
      <c r="N134" s="148"/>
    </row>
    <row r="135" spans="1:14" s="3" customFormat="1" ht="15.75" x14ac:dyDescent="0.2">
      <c r="A135" s="14" t="s">
        <v>365</v>
      </c>
      <c r="B135" s="213"/>
      <c r="C135" s="285"/>
      <c r="D135" s="326"/>
      <c r="E135" s="11"/>
      <c r="F135" s="292"/>
      <c r="G135" s="293"/>
      <c r="H135" s="405"/>
      <c r="I135" s="24"/>
      <c r="J135" s="294"/>
      <c r="K135" s="294"/>
      <c r="L135" s="401"/>
      <c r="M135" s="11"/>
      <c r="N135" s="148"/>
    </row>
    <row r="136" spans="1:14" s="3" customFormat="1" ht="15.75" x14ac:dyDescent="0.2">
      <c r="A136" s="13" t="s">
        <v>370</v>
      </c>
      <c r="B136" s="213"/>
      <c r="C136" s="285"/>
      <c r="D136" s="171"/>
      <c r="E136" s="11"/>
      <c r="F136" s="213"/>
      <c r="G136" s="285"/>
      <c r="H136" s="406"/>
      <c r="I136" s="24"/>
      <c r="J136" s="284"/>
      <c r="K136" s="284"/>
      <c r="L136" s="402"/>
      <c r="M136" s="11"/>
      <c r="N136" s="148"/>
    </row>
    <row r="137" spans="1:14" s="3" customFormat="1" ht="15.75" x14ac:dyDescent="0.2">
      <c r="A137" s="13" t="s">
        <v>367</v>
      </c>
      <c r="B137" s="213"/>
      <c r="C137" s="285"/>
      <c r="D137" s="171"/>
      <c r="E137" s="11"/>
      <c r="F137" s="213"/>
      <c r="G137" s="285"/>
      <c r="H137" s="406"/>
      <c r="I137" s="24"/>
      <c r="J137" s="284"/>
      <c r="K137" s="284"/>
      <c r="L137" s="402"/>
      <c r="M137" s="11"/>
      <c r="N137" s="148"/>
    </row>
    <row r="138" spans="1:14" s="3" customFormat="1" ht="15.75" x14ac:dyDescent="0.2">
      <c r="A138" s="41" t="s">
        <v>368</v>
      </c>
      <c r="B138" s="253"/>
      <c r="C138" s="291"/>
      <c r="D138" s="169"/>
      <c r="E138" s="9"/>
      <c r="F138" s="253"/>
      <c r="G138" s="291"/>
      <c r="H138" s="407"/>
      <c r="I138" s="36"/>
      <c r="J138" s="290"/>
      <c r="K138" s="290"/>
      <c r="L138" s="403"/>
      <c r="M138" s="36"/>
      <c r="N138" s="148"/>
    </row>
    <row r="139" spans="1:14" s="3" customFormat="1"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68"/>
      <c r="B141" s="33"/>
      <c r="C141" s="33"/>
      <c r="D141" s="159"/>
      <c r="E141" s="159"/>
      <c r="F141" s="33"/>
      <c r="G141" s="33"/>
      <c r="H141" s="159"/>
      <c r="I141" s="159"/>
      <c r="J141" s="33"/>
      <c r="K141" s="33"/>
      <c r="L141" s="159"/>
      <c r="M141" s="159"/>
      <c r="N141" s="148"/>
    </row>
    <row r="142" spans="1:14" x14ac:dyDescent="0.2">
      <c r="A142" s="146"/>
      <c r="B142" s="146"/>
      <c r="C142" s="146"/>
      <c r="D142" s="146"/>
      <c r="E142" s="146"/>
      <c r="F142" s="146"/>
      <c r="G142" s="146"/>
      <c r="H142" s="146"/>
      <c r="I142" s="146"/>
      <c r="J142" s="146"/>
      <c r="K142" s="146"/>
      <c r="L142" s="146"/>
      <c r="M142" s="146"/>
      <c r="N142" s="146"/>
    </row>
    <row r="143" spans="1:14" ht="15.75" x14ac:dyDescent="0.25">
      <c r="B143" s="142"/>
      <c r="C143" s="142"/>
      <c r="D143" s="142"/>
      <c r="E143" s="142"/>
      <c r="F143" s="142"/>
      <c r="G143" s="142"/>
      <c r="H143" s="142"/>
      <c r="I143" s="142"/>
      <c r="J143" s="142"/>
      <c r="K143" s="142"/>
      <c r="L143" s="142"/>
      <c r="M143" s="142"/>
      <c r="N143" s="142"/>
    </row>
    <row r="144" spans="1:14" ht="15.75" x14ac:dyDescent="0.25">
      <c r="B144" s="157"/>
      <c r="C144" s="157"/>
      <c r="D144" s="157"/>
      <c r="E144" s="157"/>
      <c r="F144" s="157"/>
      <c r="G144" s="157"/>
      <c r="H144" s="157"/>
      <c r="I144" s="157"/>
      <c r="J144" s="157"/>
      <c r="K144" s="157"/>
      <c r="L144" s="157"/>
      <c r="M144" s="157"/>
      <c r="N144" s="157"/>
    </row>
    <row r="145" spans="2:14" ht="15.75" x14ac:dyDescent="0.25">
      <c r="B145" s="157"/>
      <c r="C145" s="157"/>
      <c r="D145" s="157"/>
      <c r="E145" s="157"/>
      <c r="F145" s="157"/>
      <c r="G145" s="157"/>
      <c r="H145" s="157"/>
      <c r="I145" s="157"/>
      <c r="J145" s="157"/>
      <c r="K145" s="157"/>
      <c r="L145" s="157"/>
      <c r="M145" s="157"/>
      <c r="N145" s="157"/>
    </row>
  </sheetData>
  <mergeCells count="31">
    <mergeCell ref="B132:D132"/>
    <mergeCell ref="F132:H132"/>
    <mergeCell ref="J132:L132"/>
    <mergeCell ref="B63:D63"/>
    <mergeCell ref="F63:H63"/>
    <mergeCell ref="J63:L63"/>
    <mergeCell ref="B131:D131"/>
    <mergeCell ref="F131:H131"/>
    <mergeCell ref="J131:L131"/>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6">
    <cfRule type="expression" dxfId="552" priority="76">
      <formula>kvartal &lt; 4</formula>
    </cfRule>
  </conditionalFormatting>
  <conditionalFormatting sqref="C116">
    <cfRule type="expression" dxfId="551" priority="75">
      <formula>kvartal &lt; 4</formula>
    </cfRule>
  </conditionalFormatting>
  <conditionalFormatting sqref="B124">
    <cfRule type="expression" dxfId="550" priority="74">
      <formula>kvartal &lt; 4</formula>
    </cfRule>
  </conditionalFormatting>
  <conditionalFormatting sqref="C124">
    <cfRule type="expression" dxfId="549" priority="73">
      <formula>kvartal &lt; 4</formula>
    </cfRule>
  </conditionalFormatting>
  <conditionalFormatting sqref="F116">
    <cfRule type="expression" dxfId="548" priority="58">
      <formula>kvartal &lt; 4</formula>
    </cfRule>
  </conditionalFormatting>
  <conditionalFormatting sqref="G116">
    <cfRule type="expression" dxfId="547" priority="57">
      <formula>kvartal &lt; 4</formula>
    </cfRule>
  </conditionalFormatting>
  <conditionalFormatting sqref="F124:G124">
    <cfRule type="expression" dxfId="546" priority="56">
      <formula>kvartal &lt; 4</formula>
    </cfRule>
  </conditionalFormatting>
  <conditionalFormatting sqref="J116:K116">
    <cfRule type="expression" dxfId="545" priority="32">
      <formula>kvartal &lt; 4</formula>
    </cfRule>
  </conditionalFormatting>
  <conditionalFormatting sqref="J124:K124">
    <cfRule type="expression" dxfId="544" priority="31">
      <formula>kvartal &lt; 4</formula>
    </cfRule>
  </conditionalFormatting>
  <conditionalFormatting sqref="A50:A52">
    <cfRule type="expression" dxfId="543" priority="12">
      <formula>kvartal &lt; 4</formula>
    </cfRule>
  </conditionalFormatting>
  <conditionalFormatting sqref="A69:A74">
    <cfRule type="expression" dxfId="542" priority="10">
      <formula>kvartal &lt; 4</formula>
    </cfRule>
  </conditionalFormatting>
  <conditionalFormatting sqref="A80:A85">
    <cfRule type="expression" dxfId="541" priority="9">
      <formula>kvartal &lt; 4</formula>
    </cfRule>
  </conditionalFormatting>
  <conditionalFormatting sqref="A90:A95">
    <cfRule type="expression" dxfId="540" priority="6">
      <formula>kvartal &lt; 4</formula>
    </cfRule>
  </conditionalFormatting>
  <conditionalFormatting sqref="A102:A107">
    <cfRule type="expression" dxfId="539" priority="5">
      <formula>kvartal &lt; 4</formula>
    </cfRule>
  </conditionalFormatting>
  <conditionalFormatting sqref="A116">
    <cfRule type="expression" dxfId="538" priority="4">
      <formula>kvartal &lt; 4</formula>
    </cfRule>
  </conditionalFormatting>
  <conditionalFormatting sqref="A124">
    <cfRule type="expression" dxfId="537" priority="3">
      <formula>kvartal &lt; 4</formula>
    </cfRule>
  </conditionalFormatting>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5"/>
  <dimension ref="A1:N145"/>
  <sheetViews>
    <sheetView showGridLines="0" zoomScaleNormal="100" workbookViewId="0">
      <selection activeCell="A111" sqref="A111"/>
    </sheetView>
  </sheetViews>
  <sheetFormatPr baseColWidth="10" defaultColWidth="11.42578125" defaultRowHeight="12.75" x14ac:dyDescent="0.2"/>
  <cols>
    <col min="1" max="1" width="41.57031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134</v>
      </c>
      <c r="B1" s="663"/>
      <c r="C1" s="225" t="s">
        <v>126</v>
      </c>
      <c r="D1" s="26"/>
      <c r="E1" s="26"/>
      <c r="F1" s="26"/>
      <c r="G1" s="26"/>
      <c r="H1" s="26"/>
      <c r="I1" s="26"/>
      <c r="J1" s="26"/>
      <c r="K1" s="26"/>
      <c r="L1" s="26"/>
      <c r="M1" s="26"/>
    </row>
    <row r="2" spans="1:14" ht="15.75" x14ac:dyDescent="0.25">
      <c r="A2" s="165" t="s">
        <v>28</v>
      </c>
      <c r="B2" s="699"/>
      <c r="C2" s="699"/>
      <c r="D2" s="699"/>
      <c r="E2" s="275"/>
      <c r="F2" s="699"/>
      <c r="G2" s="699"/>
      <c r="H2" s="699"/>
      <c r="I2" s="275"/>
      <c r="J2" s="699"/>
      <c r="K2" s="699"/>
      <c r="L2" s="699"/>
      <c r="M2" s="275"/>
    </row>
    <row r="3" spans="1:14" ht="15.75" x14ac:dyDescent="0.25">
      <c r="A3" s="163"/>
      <c r="B3" s="275"/>
      <c r="C3" s="275"/>
      <c r="D3" s="275"/>
      <c r="E3" s="275"/>
      <c r="F3" s="275"/>
      <c r="G3" s="275"/>
      <c r="H3" s="275"/>
      <c r="I3" s="275"/>
      <c r="J3" s="275"/>
      <c r="K3" s="275"/>
      <c r="L3" s="275"/>
      <c r="M3" s="275"/>
    </row>
    <row r="4" spans="1:14" x14ac:dyDescent="0.2">
      <c r="A4" s="144"/>
      <c r="B4" s="695" t="s">
        <v>0</v>
      </c>
      <c r="C4" s="696"/>
      <c r="D4" s="696"/>
      <c r="E4" s="277"/>
      <c r="F4" s="695" t="s">
        <v>1</v>
      </c>
      <c r="G4" s="696"/>
      <c r="H4" s="696"/>
      <c r="I4" s="280"/>
      <c r="J4" s="695" t="s">
        <v>2</v>
      </c>
      <c r="K4" s="696"/>
      <c r="L4" s="696"/>
      <c r="M4" s="280"/>
    </row>
    <row r="5" spans="1:14" x14ac:dyDescent="0.2">
      <c r="A5" s="158"/>
      <c r="B5" s="152" t="s">
        <v>412</v>
      </c>
      <c r="C5" s="152" t="s">
        <v>413</v>
      </c>
      <c r="D5" s="222" t="s">
        <v>3</v>
      </c>
      <c r="E5" s="281" t="s">
        <v>29</v>
      </c>
      <c r="F5" s="152" t="s">
        <v>412</v>
      </c>
      <c r="G5" s="152" t="s">
        <v>413</v>
      </c>
      <c r="H5" s="222" t="s">
        <v>3</v>
      </c>
      <c r="I5" s="162" t="s">
        <v>29</v>
      </c>
      <c r="J5" s="152" t="s">
        <v>412</v>
      </c>
      <c r="K5" s="152" t="s">
        <v>413</v>
      </c>
      <c r="L5" s="222" t="s">
        <v>3</v>
      </c>
      <c r="M5" s="162" t="s">
        <v>29</v>
      </c>
    </row>
    <row r="6" spans="1:14" x14ac:dyDescent="0.2">
      <c r="A6" s="661"/>
      <c r="B6" s="156"/>
      <c r="C6" s="156"/>
      <c r="D6" s="223" t="s">
        <v>4</v>
      </c>
      <c r="E6" s="156" t="s">
        <v>30</v>
      </c>
      <c r="F6" s="161"/>
      <c r="G6" s="161"/>
      <c r="H6" s="222" t="s">
        <v>4</v>
      </c>
      <c r="I6" s="156" t="s">
        <v>30</v>
      </c>
      <c r="J6" s="161"/>
      <c r="K6" s="161"/>
      <c r="L6" s="222" t="s">
        <v>4</v>
      </c>
      <c r="M6" s="156" t="s">
        <v>30</v>
      </c>
    </row>
    <row r="7" spans="1:14" ht="15.75" x14ac:dyDescent="0.2">
      <c r="A7" s="14" t="s">
        <v>23</v>
      </c>
      <c r="B7" s="282"/>
      <c r="C7" s="283"/>
      <c r="D7" s="326"/>
      <c r="E7" s="11"/>
      <c r="F7" s="282"/>
      <c r="G7" s="283"/>
      <c r="H7" s="326"/>
      <c r="I7" s="160"/>
      <c r="J7" s="284"/>
      <c r="K7" s="285"/>
      <c r="L7" s="401"/>
      <c r="M7" s="11"/>
    </row>
    <row r="8" spans="1:14" ht="15.75" x14ac:dyDescent="0.2">
      <c r="A8" s="21" t="s">
        <v>25</v>
      </c>
      <c r="B8" s="258"/>
      <c r="C8" s="259"/>
      <c r="D8" s="166"/>
      <c r="E8" s="27"/>
      <c r="F8" s="262"/>
      <c r="G8" s="263"/>
      <c r="H8" s="166"/>
      <c r="I8" s="175"/>
      <c r="J8" s="211"/>
      <c r="K8" s="264"/>
      <c r="L8" s="166"/>
      <c r="M8" s="27"/>
    </row>
    <row r="9" spans="1:14" ht="15.75" x14ac:dyDescent="0.2">
      <c r="A9" s="21" t="s">
        <v>24</v>
      </c>
      <c r="B9" s="258"/>
      <c r="C9" s="259"/>
      <c r="D9" s="166"/>
      <c r="E9" s="27"/>
      <c r="F9" s="262"/>
      <c r="G9" s="263"/>
      <c r="H9" s="166"/>
      <c r="I9" s="175"/>
      <c r="J9" s="211"/>
      <c r="K9" s="264"/>
      <c r="L9" s="166"/>
      <c r="M9" s="27"/>
    </row>
    <row r="10" spans="1:14" ht="15.75" x14ac:dyDescent="0.2">
      <c r="A10" s="13" t="s">
        <v>341</v>
      </c>
      <c r="B10" s="286"/>
      <c r="C10" s="287"/>
      <c r="D10" s="171"/>
      <c r="E10" s="11"/>
      <c r="F10" s="286"/>
      <c r="G10" s="287"/>
      <c r="H10" s="171"/>
      <c r="I10" s="160"/>
      <c r="J10" s="284"/>
      <c r="K10" s="285"/>
      <c r="L10" s="402"/>
      <c r="M10" s="11"/>
    </row>
    <row r="11" spans="1:14" s="43" customFormat="1" ht="15.75" x14ac:dyDescent="0.2">
      <c r="A11" s="13" t="s">
        <v>342</v>
      </c>
      <c r="B11" s="286"/>
      <c r="C11" s="287"/>
      <c r="D11" s="171"/>
      <c r="E11" s="11"/>
      <c r="F11" s="286"/>
      <c r="G11" s="287"/>
      <c r="H11" s="171"/>
      <c r="I11" s="160"/>
      <c r="J11" s="284"/>
      <c r="K11" s="285"/>
      <c r="L11" s="402"/>
      <c r="M11" s="11"/>
      <c r="N11" s="143"/>
    </row>
    <row r="12" spans="1:14" s="43" customFormat="1" ht="15.75" x14ac:dyDescent="0.2">
      <c r="A12" s="41" t="s">
        <v>343</v>
      </c>
      <c r="B12" s="288"/>
      <c r="C12" s="289"/>
      <c r="D12" s="169"/>
      <c r="E12" s="36"/>
      <c r="F12" s="288"/>
      <c r="G12" s="289"/>
      <c r="H12" s="169"/>
      <c r="I12" s="169"/>
      <c r="J12" s="290"/>
      <c r="K12" s="291"/>
      <c r="L12" s="403"/>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251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248</v>
      </c>
      <c r="B17" s="157"/>
      <c r="C17" s="157"/>
      <c r="D17" s="151"/>
      <c r="E17" s="151"/>
      <c r="F17" s="157"/>
      <c r="G17" s="157"/>
      <c r="H17" s="157"/>
      <c r="I17" s="157"/>
      <c r="J17" s="157"/>
      <c r="K17" s="157"/>
      <c r="L17" s="157"/>
      <c r="M17" s="157"/>
    </row>
    <row r="18" spans="1:14" ht="15.75" x14ac:dyDescent="0.25">
      <c r="B18" s="694"/>
      <c r="C18" s="694"/>
      <c r="D18" s="694"/>
      <c r="E18" s="275"/>
      <c r="F18" s="694"/>
      <c r="G18" s="694"/>
      <c r="H18" s="694"/>
      <c r="I18" s="275"/>
      <c r="J18" s="694"/>
      <c r="K18" s="694"/>
      <c r="L18" s="694"/>
      <c r="M18" s="275"/>
    </row>
    <row r="19" spans="1:14" x14ac:dyDescent="0.2">
      <c r="A19" s="144"/>
      <c r="B19" s="695" t="s">
        <v>0</v>
      </c>
      <c r="C19" s="696"/>
      <c r="D19" s="696"/>
      <c r="E19" s="277"/>
      <c r="F19" s="695" t="s">
        <v>1</v>
      </c>
      <c r="G19" s="696"/>
      <c r="H19" s="696"/>
      <c r="I19" s="280"/>
      <c r="J19" s="695" t="s">
        <v>2</v>
      </c>
      <c r="K19" s="696"/>
      <c r="L19" s="696"/>
      <c r="M19" s="280"/>
    </row>
    <row r="20" spans="1:14" x14ac:dyDescent="0.2">
      <c r="A20" s="140" t="s">
        <v>5</v>
      </c>
      <c r="B20" s="152" t="s">
        <v>412</v>
      </c>
      <c r="C20" s="152" t="s">
        <v>413</v>
      </c>
      <c r="D20" s="162" t="s">
        <v>3</v>
      </c>
      <c r="E20" s="281" t="s">
        <v>29</v>
      </c>
      <c r="F20" s="152" t="s">
        <v>412</v>
      </c>
      <c r="G20" s="152" t="s">
        <v>413</v>
      </c>
      <c r="H20" s="162" t="s">
        <v>3</v>
      </c>
      <c r="I20" s="162" t="s">
        <v>29</v>
      </c>
      <c r="J20" s="152" t="s">
        <v>412</v>
      </c>
      <c r="K20" s="152" t="s">
        <v>413</v>
      </c>
      <c r="L20" s="162" t="s">
        <v>3</v>
      </c>
      <c r="M20" s="162" t="s">
        <v>29</v>
      </c>
    </row>
    <row r="21" spans="1:14" x14ac:dyDescent="0.2">
      <c r="A21" s="662"/>
      <c r="B21" s="156"/>
      <c r="C21" s="156"/>
      <c r="D21" s="223" t="s">
        <v>4</v>
      </c>
      <c r="E21" s="156" t="s">
        <v>30</v>
      </c>
      <c r="F21" s="161"/>
      <c r="G21" s="161"/>
      <c r="H21" s="222" t="s">
        <v>4</v>
      </c>
      <c r="I21" s="156" t="s">
        <v>30</v>
      </c>
      <c r="J21" s="161"/>
      <c r="K21" s="161"/>
      <c r="L21" s="156" t="s">
        <v>4</v>
      </c>
      <c r="M21" s="156" t="s">
        <v>30</v>
      </c>
    </row>
    <row r="22" spans="1:14" ht="15.75" x14ac:dyDescent="0.2">
      <c r="A22" s="14" t="s">
        <v>23</v>
      </c>
      <c r="B22" s="286"/>
      <c r="C22" s="286"/>
      <c r="D22" s="326"/>
      <c r="E22" s="11"/>
      <c r="F22" s="294"/>
      <c r="G22" s="294"/>
      <c r="H22" s="326"/>
      <c r="I22" s="11"/>
      <c r="J22" s="292"/>
      <c r="K22" s="292"/>
      <c r="L22" s="401"/>
      <c r="M22" s="24"/>
    </row>
    <row r="23" spans="1:14" ht="15.75" x14ac:dyDescent="0.2">
      <c r="A23" s="545" t="s">
        <v>344</v>
      </c>
      <c r="B23" s="258"/>
      <c r="C23" s="258"/>
      <c r="D23" s="166"/>
      <c r="E23" s="11"/>
      <c r="F23" s="267"/>
      <c r="G23" s="267"/>
      <c r="H23" s="166"/>
      <c r="I23" s="391"/>
      <c r="J23" s="267"/>
      <c r="K23" s="267"/>
      <c r="L23" s="166"/>
      <c r="M23" s="23"/>
    </row>
    <row r="24" spans="1:14" ht="15.75" x14ac:dyDescent="0.2">
      <c r="A24" s="545" t="s">
        <v>345</v>
      </c>
      <c r="B24" s="258"/>
      <c r="C24" s="258"/>
      <c r="D24" s="166"/>
      <c r="E24" s="11"/>
      <c r="F24" s="267"/>
      <c r="G24" s="267"/>
      <c r="H24" s="166"/>
      <c r="I24" s="391"/>
      <c r="J24" s="267"/>
      <c r="K24" s="267"/>
      <c r="L24" s="166"/>
      <c r="M24" s="23"/>
    </row>
    <row r="25" spans="1:14" ht="15.75" x14ac:dyDescent="0.2">
      <c r="A25" s="545" t="s">
        <v>346</v>
      </c>
      <c r="B25" s="258"/>
      <c r="C25" s="258"/>
      <c r="D25" s="166"/>
      <c r="E25" s="11"/>
      <c r="F25" s="267"/>
      <c r="G25" s="267"/>
      <c r="H25" s="166"/>
      <c r="I25" s="391"/>
      <c r="J25" s="267"/>
      <c r="K25" s="267"/>
      <c r="L25" s="166"/>
      <c r="M25" s="23"/>
    </row>
    <row r="26" spans="1:14" ht="15.75" x14ac:dyDescent="0.2">
      <c r="A26" s="545" t="s">
        <v>347</v>
      </c>
      <c r="B26" s="258"/>
      <c r="C26" s="258"/>
      <c r="D26" s="166"/>
      <c r="E26" s="11"/>
      <c r="F26" s="267"/>
      <c r="G26" s="267"/>
      <c r="H26" s="166"/>
      <c r="I26" s="391"/>
      <c r="J26" s="267"/>
      <c r="K26" s="267"/>
      <c r="L26" s="166"/>
      <c r="M26" s="23"/>
    </row>
    <row r="27" spans="1:14" x14ac:dyDescent="0.2">
      <c r="A27" s="545" t="s">
        <v>11</v>
      </c>
      <c r="B27" s="258"/>
      <c r="C27" s="258"/>
      <c r="D27" s="166"/>
      <c r="E27" s="11"/>
      <c r="F27" s="267"/>
      <c r="G27" s="267"/>
      <c r="H27" s="166"/>
      <c r="I27" s="391"/>
      <c r="J27" s="267"/>
      <c r="K27" s="267"/>
      <c r="L27" s="166"/>
      <c r="M27" s="23"/>
    </row>
    <row r="28" spans="1:14" ht="15.75" x14ac:dyDescent="0.2">
      <c r="A28" s="49" t="s">
        <v>252</v>
      </c>
      <c r="B28" s="44"/>
      <c r="C28" s="264"/>
      <c r="D28" s="166"/>
      <c r="E28" s="11"/>
      <c r="F28" s="211"/>
      <c r="G28" s="264"/>
      <c r="H28" s="166"/>
      <c r="I28" s="27"/>
      <c r="J28" s="44"/>
      <c r="K28" s="44"/>
      <c r="L28" s="231"/>
      <c r="M28" s="23"/>
    </row>
    <row r="29" spans="1:14" s="3" customFormat="1" ht="15.75" x14ac:dyDescent="0.2">
      <c r="A29" s="13" t="s">
        <v>341</v>
      </c>
      <c r="B29" s="213"/>
      <c r="C29" s="213"/>
      <c r="D29" s="171"/>
      <c r="E29" s="11"/>
      <c r="F29" s="284"/>
      <c r="G29" s="284"/>
      <c r="H29" s="171"/>
      <c r="I29" s="11"/>
      <c r="J29" s="213"/>
      <c r="K29" s="213"/>
      <c r="L29" s="402"/>
      <c r="M29" s="24"/>
      <c r="N29" s="148"/>
    </row>
    <row r="30" spans="1:14" s="3" customFormat="1" ht="15.75" x14ac:dyDescent="0.2">
      <c r="A30" s="545" t="s">
        <v>344</v>
      </c>
      <c r="B30" s="258"/>
      <c r="C30" s="258"/>
      <c r="D30" s="166"/>
      <c r="E30" s="11"/>
      <c r="F30" s="267"/>
      <c r="G30" s="267"/>
      <c r="H30" s="166"/>
      <c r="I30" s="391"/>
      <c r="J30" s="267"/>
      <c r="K30" s="267"/>
      <c r="L30" s="166"/>
      <c r="M30" s="23"/>
      <c r="N30" s="148"/>
    </row>
    <row r="31" spans="1:14" s="3" customFormat="1" ht="15.75" x14ac:dyDescent="0.2">
      <c r="A31" s="545" t="s">
        <v>345</v>
      </c>
      <c r="B31" s="258"/>
      <c r="C31" s="258"/>
      <c r="D31" s="166"/>
      <c r="E31" s="11"/>
      <c r="F31" s="267"/>
      <c r="G31" s="267"/>
      <c r="H31" s="166"/>
      <c r="I31" s="391"/>
      <c r="J31" s="267"/>
      <c r="K31" s="267"/>
      <c r="L31" s="166"/>
      <c r="M31" s="23"/>
      <c r="N31" s="148"/>
    </row>
    <row r="32" spans="1:14" ht="15.75" x14ac:dyDescent="0.2">
      <c r="A32" s="545" t="s">
        <v>346</v>
      </c>
      <c r="B32" s="258"/>
      <c r="C32" s="258"/>
      <c r="D32" s="166"/>
      <c r="E32" s="11"/>
      <c r="F32" s="267"/>
      <c r="G32" s="267"/>
      <c r="H32" s="166"/>
      <c r="I32" s="391"/>
      <c r="J32" s="267"/>
      <c r="K32" s="267"/>
      <c r="L32" s="166"/>
      <c r="M32" s="23"/>
    </row>
    <row r="33" spans="1:14" ht="15.75" x14ac:dyDescent="0.2">
      <c r="A33" s="545" t="s">
        <v>347</v>
      </c>
      <c r="B33" s="258"/>
      <c r="C33" s="258"/>
      <c r="D33" s="166"/>
      <c r="E33" s="11"/>
      <c r="F33" s="267"/>
      <c r="G33" s="267"/>
      <c r="H33" s="166"/>
      <c r="I33" s="391"/>
      <c r="J33" s="267"/>
      <c r="K33" s="267"/>
      <c r="L33" s="166"/>
      <c r="M33" s="23"/>
    </row>
    <row r="34" spans="1:14" ht="15.75" x14ac:dyDescent="0.2">
      <c r="A34" s="13" t="s">
        <v>342</v>
      </c>
      <c r="B34" s="213"/>
      <c r="C34" s="285"/>
      <c r="D34" s="171"/>
      <c r="E34" s="11"/>
      <c r="F34" s="284"/>
      <c r="G34" s="285"/>
      <c r="H34" s="171"/>
      <c r="I34" s="11"/>
      <c r="J34" s="213"/>
      <c r="K34" s="213"/>
      <c r="L34" s="402"/>
      <c r="M34" s="24"/>
    </row>
    <row r="35" spans="1:14" ht="15.75" x14ac:dyDescent="0.2">
      <c r="A35" s="13" t="s">
        <v>343</v>
      </c>
      <c r="B35" s="213"/>
      <c r="C35" s="285"/>
      <c r="D35" s="171"/>
      <c r="E35" s="11"/>
      <c r="F35" s="284"/>
      <c r="G35" s="285"/>
      <c r="H35" s="171"/>
      <c r="I35" s="11"/>
      <c r="J35" s="213"/>
      <c r="K35" s="213"/>
      <c r="L35" s="402"/>
      <c r="M35" s="24"/>
    </row>
    <row r="36" spans="1:14" ht="15.75" x14ac:dyDescent="0.2">
      <c r="A36" s="12" t="s">
        <v>260</v>
      </c>
      <c r="B36" s="213"/>
      <c r="C36" s="285"/>
      <c r="D36" s="171"/>
      <c r="E36" s="11"/>
      <c r="F36" s="295"/>
      <c r="G36" s="296"/>
      <c r="H36" s="171"/>
      <c r="I36" s="408"/>
      <c r="J36" s="213"/>
      <c r="K36" s="213"/>
      <c r="L36" s="402"/>
      <c r="M36" s="24"/>
    </row>
    <row r="37" spans="1:14" ht="15.75" x14ac:dyDescent="0.2">
      <c r="A37" s="12" t="s">
        <v>349</v>
      </c>
      <c r="B37" s="213"/>
      <c r="C37" s="285"/>
      <c r="D37" s="171"/>
      <c r="E37" s="11"/>
      <c r="F37" s="295"/>
      <c r="G37" s="297"/>
      <c r="H37" s="171"/>
      <c r="I37" s="408"/>
      <c r="J37" s="213"/>
      <c r="K37" s="213"/>
      <c r="L37" s="402"/>
      <c r="M37" s="24"/>
    </row>
    <row r="38" spans="1:14" ht="15.75" x14ac:dyDescent="0.2">
      <c r="A38" s="12" t="s">
        <v>350</v>
      </c>
      <c r="B38" s="213"/>
      <c r="C38" s="285"/>
      <c r="D38" s="171"/>
      <c r="E38" s="24"/>
      <c r="F38" s="295"/>
      <c r="G38" s="296"/>
      <c r="H38" s="171"/>
      <c r="I38" s="408"/>
      <c r="J38" s="213"/>
      <c r="K38" s="213"/>
      <c r="L38" s="402"/>
      <c r="M38" s="24"/>
    </row>
    <row r="39" spans="1:14" ht="15.75" x14ac:dyDescent="0.2">
      <c r="A39" s="18" t="s">
        <v>351</v>
      </c>
      <c r="B39" s="253"/>
      <c r="C39" s="291"/>
      <c r="D39" s="169"/>
      <c r="E39" s="36"/>
      <c r="F39" s="298"/>
      <c r="G39" s="299"/>
      <c r="H39" s="169"/>
      <c r="I39" s="36"/>
      <c r="J39" s="213"/>
      <c r="K39" s="213"/>
      <c r="L39" s="403"/>
      <c r="M39" s="36"/>
    </row>
    <row r="40" spans="1:14" ht="15.75" x14ac:dyDescent="0.25">
      <c r="A40" s="47"/>
      <c r="B40" s="230"/>
      <c r="C40" s="230"/>
      <c r="D40" s="698"/>
      <c r="E40" s="698"/>
      <c r="F40" s="698"/>
      <c r="G40" s="698"/>
      <c r="H40" s="698"/>
      <c r="I40" s="698"/>
      <c r="J40" s="698"/>
      <c r="K40" s="698"/>
      <c r="L40" s="698"/>
      <c r="M40" s="278"/>
    </row>
    <row r="41" spans="1:14" x14ac:dyDescent="0.2">
      <c r="A41" s="155"/>
    </row>
    <row r="42" spans="1:14" ht="15.75" x14ac:dyDescent="0.25">
      <c r="A42" s="147" t="s">
        <v>249</v>
      </c>
      <c r="B42" s="699"/>
      <c r="C42" s="699"/>
      <c r="D42" s="699"/>
      <c r="E42" s="275"/>
      <c r="F42" s="700"/>
      <c r="G42" s="700"/>
      <c r="H42" s="700"/>
      <c r="I42" s="278"/>
      <c r="J42" s="700"/>
      <c r="K42" s="700"/>
      <c r="L42" s="700"/>
      <c r="M42" s="278"/>
    </row>
    <row r="43" spans="1:14" ht="15.75" x14ac:dyDescent="0.25">
      <c r="A43" s="163"/>
      <c r="B43" s="279"/>
      <c r="C43" s="279"/>
      <c r="D43" s="279"/>
      <c r="E43" s="279"/>
      <c r="F43" s="278"/>
      <c r="G43" s="278"/>
      <c r="H43" s="278"/>
      <c r="I43" s="278"/>
      <c r="J43" s="278"/>
      <c r="K43" s="278"/>
      <c r="L43" s="278"/>
      <c r="M43" s="278"/>
    </row>
    <row r="44" spans="1:14" ht="15.75" x14ac:dyDescent="0.25">
      <c r="A44" s="224"/>
      <c r="B44" s="695" t="s">
        <v>0</v>
      </c>
      <c r="C44" s="696"/>
      <c r="D44" s="696"/>
      <c r="E44" s="220"/>
      <c r="F44" s="278"/>
      <c r="G44" s="278"/>
      <c r="H44" s="278"/>
      <c r="I44" s="278"/>
      <c r="J44" s="278"/>
      <c r="K44" s="278"/>
      <c r="L44" s="278"/>
      <c r="M44" s="278"/>
    </row>
    <row r="45" spans="1:14" s="3" customFormat="1" x14ac:dyDescent="0.2">
      <c r="A45" s="140"/>
      <c r="B45" s="152" t="s">
        <v>412</v>
      </c>
      <c r="C45" s="152" t="s">
        <v>413</v>
      </c>
      <c r="D45" s="162" t="s">
        <v>3</v>
      </c>
      <c r="E45" s="162" t="s">
        <v>29</v>
      </c>
      <c r="F45" s="174"/>
      <c r="G45" s="174"/>
      <c r="H45" s="173"/>
      <c r="I45" s="173"/>
      <c r="J45" s="174"/>
      <c r="K45" s="174"/>
      <c r="L45" s="173"/>
      <c r="M45" s="173"/>
      <c r="N45" s="148"/>
    </row>
    <row r="46" spans="1:14" s="3" customFormat="1" x14ac:dyDescent="0.2">
      <c r="A46" s="662"/>
      <c r="B46" s="221"/>
      <c r="C46" s="221"/>
      <c r="D46" s="222" t="s">
        <v>4</v>
      </c>
      <c r="E46" s="156" t="s">
        <v>30</v>
      </c>
      <c r="F46" s="173"/>
      <c r="G46" s="173"/>
      <c r="H46" s="173"/>
      <c r="I46" s="173"/>
      <c r="J46" s="173"/>
      <c r="K46" s="173"/>
      <c r="L46" s="173"/>
      <c r="M46" s="173"/>
      <c r="N46" s="148"/>
    </row>
    <row r="47" spans="1:14" s="3" customFormat="1" ht="15.75" x14ac:dyDescent="0.2">
      <c r="A47" s="14" t="s">
        <v>23</v>
      </c>
      <c r="B47" s="286">
        <v>838</v>
      </c>
      <c r="C47" s="287">
        <v>5032.16</v>
      </c>
      <c r="D47" s="401">
        <f t="shared" ref="D47:D57" si="0">IF(B47=0, "    ---- ", IF(ABS(ROUND(100/B47*C47-100,1))&lt;999,ROUND(100/B47*C47-100,1),IF(ROUND(100/B47*C47-100,1)&gt;999,999,-999)))</f>
        <v>500.5</v>
      </c>
      <c r="E47" s="11">
        <f>IFERROR(100/'Skjema total MA'!C47*C47,0)</f>
        <v>0.1590658766493889</v>
      </c>
      <c r="F47" s="145"/>
      <c r="G47" s="33"/>
      <c r="H47" s="159"/>
      <c r="I47" s="159"/>
      <c r="J47" s="37"/>
      <c r="K47" s="37"/>
      <c r="L47" s="159"/>
      <c r="M47" s="159"/>
      <c r="N47" s="148"/>
    </row>
    <row r="48" spans="1:14" s="3" customFormat="1" ht="15.75" x14ac:dyDescent="0.2">
      <c r="A48" s="38" t="s">
        <v>352</v>
      </c>
      <c r="B48" s="258">
        <v>838</v>
      </c>
      <c r="C48" s="259">
        <v>5032.16</v>
      </c>
      <c r="D48" s="231">
        <f t="shared" si="0"/>
        <v>500.5</v>
      </c>
      <c r="E48" s="27">
        <f>IFERROR(100/'Skjema total MA'!C48*C48,0)</f>
        <v>0.29337407049642172</v>
      </c>
      <c r="F48" s="145"/>
      <c r="G48" s="33"/>
      <c r="H48" s="145"/>
      <c r="I48" s="145"/>
      <c r="J48" s="33"/>
      <c r="K48" s="33"/>
      <c r="L48" s="159"/>
      <c r="M48" s="159"/>
      <c r="N48" s="148"/>
    </row>
    <row r="49" spans="1:14" s="3" customFormat="1" ht="15.75" x14ac:dyDescent="0.2">
      <c r="A49" s="38" t="s">
        <v>353</v>
      </c>
      <c r="B49" s="44"/>
      <c r="C49" s="264"/>
      <c r="D49" s="231"/>
      <c r="E49" s="27"/>
      <c r="F49" s="145"/>
      <c r="G49" s="33"/>
      <c r="H49" s="145"/>
      <c r="I49" s="145"/>
      <c r="J49" s="37"/>
      <c r="K49" s="37"/>
      <c r="L49" s="159"/>
      <c r="M49" s="159"/>
      <c r="N49" s="148"/>
    </row>
    <row r="50" spans="1:14" s="3" customFormat="1" x14ac:dyDescent="0.2">
      <c r="A50" s="272" t="s">
        <v>6</v>
      </c>
      <c r="B50" s="295"/>
      <c r="C50" s="295"/>
      <c r="D50" s="231"/>
      <c r="E50" s="23"/>
      <c r="F50" s="145"/>
      <c r="G50" s="33"/>
      <c r="H50" s="145"/>
      <c r="I50" s="145"/>
      <c r="J50" s="33"/>
      <c r="K50" s="33"/>
      <c r="L50" s="159"/>
      <c r="M50" s="159"/>
      <c r="N50" s="148"/>
    </row>
    <row r="51" spans="1:14" s="3" customFormat="1" x14ac:dyDescent="0.2">
      <c r="A51" s="272" t="s">
        <v>7</v>
      </c>
      <c r="B51" s="295"/>
      <c r="C51" s="295"/>
      <c r="D51" s="231"/>
      <c r="E51" s="23"/>
      <c r="F51" s="145"/>
      <c r="G51" s="33"/>
      <c r="H51" s="145"/>
      <c r="I51" s="145"/>
      <c r="J51" s="33"/>
      <c r="K51" s="33"/>
      <c r="L51" s="159"/>
      <c r="M51" s="159"/>
      <c r="N51" s="148"/>
    </row>
    <row r="52" spans="1:14" s="3" customFormat="1" x14ac:dyDescent="0.2">
      <c r="A52" s="272" t="s">
        <v>8</v>
      </c>
      <c r="B52" s="295"/>
      <c r="C52" s="295"/>
      <c r="D52" s="231"/>
      <c r="E52" s="23"/>
      <c r="F52" s="145"/>
      <c r="G52" s="33"/>
      <c r="H52" s="145"/>
      <c r="I52" s="145"/>
      <c r="J52" s="33"/>
      <c r="K52" s="33"/>
      <c r="L52" s="159"/>
      <c r="M52" s="159"/>
      <c r="N52" s="148"/>
    </row>
    <row r="53" spans="1:14" s="3" customFormat="1" ht="15.75" x14ac:dyDescent="0.2">
      <c r="A53" s="39" t="s">
        <v>354</v>
      </c>
      <c r="B53" s="286">
        <v>178</v>
      </c>
      <c r="C53" s="287">
        <v>371.29</v>
      </c>
      <c r="D53" s="402">
        <f t="shared" si="0"/>
        <v>108.6</v>
      </c>
      <c r="E53" s="11">
        <f>IFERROR(100/'Skjema total MA'!C53*C53,0)</f>
        <v>0.16903811734632126</v>
      </c>
      <c r="F53" s="145"/>
      <c r="G53" s="33"/>
      <c r="H53" s="145"/>
      <c r="I53" s="145"/>
      <c r="J53" s="33"/>
      <c r="K53" s="33"/>
      <c r="L53" s="159"/>
      <c r="M53" s="159"/>
      <c r="N53" s="148"/>
    </row>
    <row r="54" spans="1:14" s="3" customFormat="1" ht="15.75" x14ac:dyDescent="0.2">
      <c r="A54" s="38" t="s">
        <v>352</v>
      </c>
      <c r="B54" s="258">
        <v>178</v>
      </c>
      <c r="C54" s="259">
        <v>371.29</v>
      </c>
      <c r="D54" s="231">
        <f t="shared" si="0"/>
        <v>108.6</v>
      </c>
      <c r="E54" s="27">
        <f>IFERROR(100/'Skjema total MA'!C54*C54,0)</f>
        <v>0.18491604258316072</v>
      </c>
      <c r="F54" s="145"/>
      <c r="G54" s="33"/>
      <c r="H54" s="145"/>
      <c r="I54" s="145"/>
      <c r="J54" s="33"/>
      <c r="K54" s="33"/>
      <c r="L54" s="159"/>
      <c r="M54" s="159"/>
      <c r="N54" s="148"/>
    </row>
    <row r="55" spans="1:14" s="3" customFormat="1" ht="15.75" x14ac:dyDescent="0.2">
      <c r="A55" s="38" t="s">
        <v>353</v>
      </c>
      <c r="B55" s="258"/>
      <c r="C55" s="259"/>
      <c r="D55" s="231"/>
      <c r="E55" s="27"/>
      <c r="F55" s="145"/>
      <c r="G55" s="33"/>
      <c r="H55" s="145"/>
      <c r="I55" s="145"/>
      <c r="J55" s="33"/>
      <c r="K55" s="33"/>
      <c r="L55" s="159"/>
      <c r="M55" s="159"/>
      <c r="N55" s="148"/>
    </row>
    <row r="56" spans="1:14" s="3" customFormat="1" ht="15.75" x14ac:dyDescent="0.2">
      <c r="A56" s="39" t="s">
        <v>355</v>
      </c>
      <c r="B56" s="286">
        <v>0</v>
      </c>
      <c r="C56" s="287">
        <v>137.988</v>
      </c>
      <c r="D56" s="402" t="str">
        <f t="shared" si="0"/>
        <v xml:space="preserve">    ---- </v>
      </c>
      <c r="E56" s="11">
        <f>IFERROR(100/'Skjema total MA'!C56*C56,0)</f>
        <v>0.2924547178733285</v>
      </c>
      <c r="F56" s="145"/>
      <c r="G56" s="33"/>
      <c r="H56" s="145"/>
      <c r="I56" s="145"/>
      <c r="J56" s="33"/>
      <c r="K56" s="33"/>
      <c r="L56" s="159"/>
      <c r="M56" s="159"/>
      <c r="N56" s="148"/>
    </row>
    <row r="57" spans="1:14" s="3" customFormat="1" ht="15.75" x14ac:dyDescent="0.2">
      <c r="A57" s="38" t="s">
        <v>352</v>
      </c>
      <c r="B57" s="258">
        <v>0</v>
      </c>
      <c r="C57" s="259">
        <v>137.988</v>
      </c>
      <c r="D57" s="231" t="str">
        <f t="shared" si="0"/>
        <v xml:space="preserve">    ---- </v>
      </c>
      <c r="E57" s="27">
        <f>IFERROR(100/'Skjema total MA'!C57*C57,0)</f>
        <v>0.2924547178733285</v>
      </c>
      <c r="F57" s="145"/>
      <c r="G57" s="33"/>
      <c r="H57" s="145"/>
      <c r="I57" s="145"/>
      <c r="J57" s="33"/>
      <c r="K57" s="33"/>
      <c r="L57" s="159"/>
      <c r="M57" s="159"/>
      <c r="N57" s="148"/>
    </row>
    <row r="58" spans="1:14" s="3" customFormat="1" ht="15.75" x14ac:dyDescent="0.2">
      <c r="A58" s="46" t="s">
        <v>353</v>
      </c>
      <c r="B58" s="260"/>
      <c r="C58" s="261"/>
      <c r="D58" s="232"/>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250</v>
      </c>
      <c r="C61" s="26"/>
      <c r="D61" s="26"/>
      <c r="E61" s="26"/>
      <c r="F61" s="26"/>
      <c r="G61" s="26"/>
      <c r="H61" s="26"/>
      <c r="I61" s="26"/>
      <c r="J61" s="26"/>
      <c r="K61" s="26"/>
      <c r="L61" s="26"/>
      <c r="M61" s="26"/>
    </row>
    <row r="62" spans="1:14" ht="15.75" x14ac:dyDescent="0.25">
      <c r="B62" s="694"/>
      <c r="C62" s="694"/>
      <c r="D62" s="694"/>
      <c r="E62" s="275"/>
      <c r="F62" s="694"/>
      <c r="G62" s="694"/>
      <c r="H62" s="694"/>
      <c r="I62" s="275"/>
      <c r="J62" s="694"/>
      <c r="K62" s="694"/>
      <c r="L62" s="694"/>
      <c r="M62" s="275"/>
    </row>
    <row r="63" spans="1:14" x14ac:dyDescent="0.2">
      <c r="A63" s="144"/>
      <c r="B63" s="695" t="s">
        <v>0</v>
      </c>
      <c r="C63" s="696"/>
      <c r="D63" s="697"/>
      <c r="E63" s="276"/>
      <c r="F63" s="696" t="s">
        <v>1</v>
      </c>
      <c r="G63" s="696"/>
      <c r="H63" s="696"/>
      <c r="I63" s="280"/>
      <c r="J63" s="695" t="s">
        <v>2</v>
      </c>
      <c r="K63" s="696"/>
      <c r="L63" s="696"/>
      <c r="M63" s="280"/>
    </row>
    <row r="64" spans="1:14" x14ac:dyDescent="0.2">
      <c r="A64" s="140"/>
      <c r="B64" s="152" t="s">
        <v>412</v>
      </c>
      <c r="C64" s="152" t="s">
        <v>413</v>
      </c>
      <c r="D64" s="222" t="s">
        <v>3</v>
      </c>
      <c r="E64" s="281" t="s">
        <v>29</v>
      </c>
      <c r="F64" s="152" t="s">
        <v>412</v>
      </c>
      <c r="G64" s="152" t="s">
        <v>413</v>
      </c>
      <c r="H64" s="222" t="s">
        <v>3</v>
      </c>
      <c r="I64" s="281" t="s">
        <v>29</v>
      </c>
      <c r="J64" s="152" t="s">
        <v>412</v>
      </c>
      <c r="K64" s="152" t="s">
        <v>413</v>
      </c>
      <c r="L64" s="222" t="s">
        <v>3</v>
      </c>
      <c r="M64" s="162" t="s">
        <v>29</v>
      </c>
    </row>
    <row r="65" spans="1:14" x14ac:dyDescent="0.2">
      <c r="A65" s="662"/>
      <c r="B65" s="156"/>
      <c r="C65" s="156"/>
      <c r="D65" s="223" t="s">
        <v>4</v>
      </c>
      <c r="E65" s="156" t="s">
        <v>30</v>
      </c>
      <c r="F65" s="161"/>
      <c r="G65" s="161"/>
      <c r="H65" s="222" t="s">
        <v>4</v>
      </c>
      <c r="I65" s="156" t="s">
        <v>30</v>
      </c>
      <c r="J65" s="161"/>
      <c r="K65" s="203"/>
      <c r="L65" s="156" t="s">
        <v>4</v>
      </c>
      <c r="M65" s="156" t="s">
        <v>30</v>
      </c>
    </row>
    <row r="66" spans="1:14" ht="15.75" x14ac:dyDescent="0.2">
      <c r="A66" s="14" t="s">
        <v>23</v>
      </c>
      <c r="B66" s="329"/>
      <c r="C66" s="329"/>
      <c r="D66" s="326"/>
      <c r="E66" s="11"/>
      <c r="F66" s="328"/>
      <c r="G66" s="328"/>
      <c r="H66" s="326"/>
      <c r="I66" s="24"/>
      <c r="J66" s="159"/>
      <c r="K66" s="292"/>
      <c r="L66" s="402"/>
      <c r="M66" s="11"/>
    </row>
    <row r="67" spans="1:14" x14ac:dyDescent="0.2">
      <c r="A67" s="393" t="s">
        <v>9</v>
      </c>
      <c r="B67" s="44"/>
      <c r="C67" s="145"/>
      <c r="D67" s="166"/>
      <c r="E67" s="23"/>
      <c r="F67" s="211"/>
      <c r="G67" s="145"/>
      <c r="H67" s="166"/>
      <c r="I67" s="23"/>
      <c r="J67" s="145"/>
      <c r="K67" s="44"/>
      <c r="L67" s="231"/>
      <c r="M67" s="27"/>
    </row>
    <row r="68" spans="1:14" x14ac:dyDescent="0.2">
      <c r="A68" s="21" t="s">
        <v>10</v>
      </c>
      <c r="B68" s="268"/>
      <c r="C68" s="269"/>
      <c r="D68" s="166"/>
      <c r="E68" s="23"/>
      <c r="F68" s="268"/>
      <c r="G68" s="269"/>
      <c r="H68" s="166"/>
      <c r="I68" s="23"/>
      <c r="J68" s="145"/>
      <c r="K68" s="44"/>
      <c r="L68" s="231"/>
      <c r="M68" s="27"/>
    </row>
    <row r="69" spans="1:14" ht="15.75" x14ac:dyDescent="0.2">
      <c r="A69" s="272" t="s">
        <v>356</v>
      </c>
      <c r="B69" s="295"/>
      <c r="C69" s="295"/>
      <c r="D69" s="166"/>
      <c r="E69" s="23"/>
      <c r="F69" s="295"/>
      <c r="G69" s="295"/>
      <c r="H69" s="166"/>
      <c r="I69" s="23"/>
      <c r="J69" s="295"/>
      <c r="K69" s="295"/>
      <c r="L69" s="166"/>
      <c r="M69" s="23"/>
    </row>
    <row r="70" spans="1:14" x14ac:dyDescent="0.2">
      <c r="A70" s="272" t="s">
        <v>12</v>
      </c>
      <c r="B70" s="270"/>
      <c r="C70" s="271"/>
      <c r="D70" s="166"/>
      <c r="E70" s="23"/>
      <c r="F70" s="270"/>
      <c r="G70" s="271"/>
      <c r="H70" s="166"/>
      <c r="I70" s="23"/>
      <c r="J70" s="270"/>
      <c r="K70" s="271"/>
      <c r="L70" s="166"/>
      <c r="M70" s="23"/>
    </row>
    <row r="71" spans="1:14" x14ac:dyDescent="0.2">
      <c r="A71" s="272" t="s">
        <v>13</v>
      </c>
      <c r="B71" s="212"/>
      <c r="C71" s="266"/>
      <c r="D71" s="166"/>
      <c r="E71" s="23"/>
      <c r="F71" s="212"/>
      <c r="G71" s="266"/>
      <c r="H71" s="166"/>
      <c r="I71" s="23"/>
      <c r="J71" s="212"/>
      <c r="K71" s="266"/>
      <c r="L71" s="166"/>
      <c r="M71" s="23"/>
    </row>
    <row r="72" spans="1:14" ht="15.75" x14ac:dyDescent="0.2">
      <c r="A72" s="272" t="s">
        <v>357</v>
      </c>
      <c r="B72" s="295"/>
      <c r="C72" s="295"/>
      <c r="D72" s="166"/>
      <c r="E72" s="23"/>
      <c r="F72" s="295"/>
      <c r="G72" s="295"/>
      <c r="H72" s="166"/>
      <c r="I72" s="23"/>
      <c r="J72" s="295"/>
      <c r="K72" s="295"/>
      <c r="L72" s="166"/>
      <c r="M72" s="23"/>
    </row>
    <row r="73" spans="1:14" x14ac:dyDescent="0.2">
      <c r="A73" s="272" t="s">
        <v>12</v>
      </c>
      <c r="B73" s="212"/>
      <c r="C73" s="266"/>
      <c r="D73" s="166"/>
      <c r="E73" s="23"/>
      <c r="F73" s="212"/>
      <c r="G73" s="266"/>
      <c r="H73" s="166"/>
      <c r="I73" s="23"/>
      <c r="J73" s="212"/>
      <c r="K73" s="266"/>
      <c r="L73" s="166"/>
      <c r="M73" s="23"/>
    </row>
    <row r="74" spans="1:14" s="3" customFormat="1" x14ac:dyDescent="0.2">
      <c r="A74" s="272" t="s">
        <v>13</v>
      </c>
      <c r="B74" s="212"/>
      <c r="C74" s="266"/>
      <c r="D74" s="166"/>
      <c r="E74" s="23"/>
      <c r="F74" s="212"/>
      <c r="G74" s="266"/>
      <c r="H74" s="166"/>
      <c r="I74" s="23"/>
      <c r="J74" s="212"/>
      <c r="K74" s="266"/>
      <c r="L74" s="166"/>
      <c r="M74" s="23"/>
      <c r="N74" s="148"/>
    </row>
    <row r="75" spans="1:14" s="3" customFormat="1" x14ac:dyDescent="0.2">
      <c r="A75" s="21" t="s">
        <v>326</v>
      </c>
      <c r="B75" s="211"/>
      <c r="C75" s="145"/>
      <c r="D75" s="166"/>
      <c r="E75" s="23"/>
      <c r="F75" s="211"/>
      <c r="G75" s="145"/>
      <c r="H75" s="166"/>
      <c r="I75" s="23"/>
      <c r="J75" s="145"/>
      <c r="K75" s="44"/>
      <c r="L75" s="231"/>
      <c r="M75" s="27"/>
      <c r="N75" s="148"/>
    </row>
    <row r="76" spans="1:14" s="3" customFormat="1" x14ac:dyDescent="0.2">
      <c r="A76" s="21" t="s">
        <v>325</v>
      </c>
      <c r="B76" s="211"/>
      <c r="C76" s="145"/>
      <c r="D76" s="166"/>
      <c r="E76" s="23"/>
      <c r="F76" s="211"/>
      <c r="G76" s="145"/>
      <c r="H76" s="166"/>
      <c r="I76" s="23"/>
      <c r="J76" s="145"/>
      <c r="K76" s="44"/>
      <c r="L76" s="231"/>
      <c r="M76" s="27"/>
      <c r="N76" s="148"/>
    </row>
    <row r="77" spans="1:14" ht="15.75" x14ac:dyDescent="0.2">
      <c r="A77" s="21" t="s">
        <v>358</v>
      </c>
      <c r="B77" s="211"/>
      <c r="C77" s="211"/>
      <c r="D77" s="166"/>
      <c r="E77" s="23"/>
      <c r="F77" s="211"/>
      <c r="G77" s="145"/>
      <c r="H77" s="166"/>
      <c r="I77" s="23"/>
      <c r="J77" s="145"/>
      <c r="K77" s="44"/>
      <c r="L77" s="231"/>
      <c r="M77" s="27"/>
    </row>
    <row r="78" spans="1:14" x14ac:dyDescent="0.2">
      <c r="A78" s="21" t="s">
        <v>9</v>
      </c>
      <c r="B78" s="211"/>
      <c r="C78" s="145"/>
      <c r="D78" s="166"/>
      <c r="E78" s="23"/>
      <c r="F78" s="211"/>
      <c r="G78" s="145"/>
      <c r="H78" s="166"/>
      <c r="I78" s="23"/>
      <c r="J78" s="145"/>
      <c r="K78" s="44"/>
      <c r="L78" s="231"/>
      <c r="M78" s="27"/>
    </row>
    <row r="79" spans="1:14" x14ac:dyDescent="0.2">
      <c r="A79" s="38" t="s">
        <v>398</v>
      </c>
      <c r="B79" s="268"/>
      <c r="C79" s="269"/>
      <c r="D79" s="166"/>
      <c r="E79" s="23"/>
      <c r="F79" s="268"/>
      <c r="G79" s="269"/>
      <c r="H79" s="166"/>
      <c r="I79" s="23"/>
      <c r="J79" s="145"/>
      <c r="K79" s="44"/>
      <c r="L79" s="231"/>
      <c r="M79" s="27"/>
    </row>
    <row r="80" spans="1:14" ht="15.75" x14ac:dyDescent="0.2">
      <c r="A80" s="272" t="s">
        <v>356</v>
      </c>
      <c r="B80" s="295"/>
      <c r="C80" s="295"/>
      <c r="D80" s="166"/>
      <c r="E80" s="23"/>
      <c r="F80" s="295"/>
      <c r="G80" s="295"/>
      <c r="H80" s="166"/>
      <c r="I80" s="23"/>
      <c r="J80" s="295"/>
      <c r="K80" s="295"/>
      <c r="L80" s="166"/>
      <c r="M80" s="23"/>
    </row>
    <row r="81" spans="1:13" x14ac:dyDescent="0.2">
      <c r="A81" s="272" t="s">
        <v>12</v>
      </c>
      <c r="B81" s="295"/>
      <c r="C81" s="295"/>
      <c r="D81" s="166"/>
      <c r="E81" s="23"/>
      <c r="F81" s="270"/>
      <c r="G81" s="271"/>
      <c r="H81" s="166"/>
      <c r="I81" s="23"/>
      <c r="J81" s="270"/>
      <c r="K81" s="271"/>
      <c r="L81" s="166"/>
      <c r="M81" s="23"/>
    </row>
    <row r="82" spans="1:13" x14ac:dyDescent="0.2">
      <c r="A82" s="272" t="s">
        <v>13</v>
      </c>
      <c r="B82" s="295"/>
      <c r="C82" s="295"/>
      <c r="D82" s="166"/>
      <c r="E82" s="23"/>
      <c r="F82" s="212"/>
      <c r="G82" s="266"/>
      <c r="H82" s="166"/>
      <c r="I82" s="23"/>
      <c r="J82" s="212"/>
      <c r="K82" s="266"/>
      <c r="L82" s="166"/>
      <c r="M82" s="23"/>
    </row>
    <row r="83" spans="1:13" ht="15.75" x14ac:dyDescent="0.2">
      <c r="A83" s="272" t="s">
        <v>357</v>
      </c>
      <c r="B83" s="295"/>
      <c r="C83" s="295"/>
      <c r="D83" s="166"/>
      <c r="E83" s="23"/>
      <c r="F83" s="295"/>
      <c r="G83" s="295"/>
      <c r="H83" s="166"/>
      <c r="I83" s="23"/>
      <c r="J83" s="295"/>
      <c r="K83" s="295"/>
      <c r="L83" s="166"/>
      <c r="M83" s="23"/>
    </row>
    <row r="84" spans="1:13" x14ac:dyDescent="0.2">
      <c r="A84" s="272" t="s">
        <v>12</v>
      </c>
      <c r="B84" s="212"/>
      <c r="C84" s="266"/>
      <c r="D84" s="166"/>
      <c r="E84" s="23"/>
      <c r="F84" s="212"/>
      <c r="G84" s="266"/>
      <c r="H84" s="166"/>
      <c r="I84" s="23"/>
      <c r="J84" s="212"/>
      <c r="K84" s="266"/>
      <c r="L84" s="166"/>
      <c r="M84" s="23"/>
    </row>
    <row r="85" spans="1:13" x14ac:dyDescent="0.2">
      <c r="A85" s="272" t="s">
        <v>13</v>
      </c>
      <c r="B85" s="212"/>
      <c r="C85" s="266"/>
      <c r="D85" s="166"/>
      <c r="E85" s="23"/>
      <c r="F85" s="212"/>
      <c r="G85" s="266"/>
      <c r="H85" s="166"/>
      <c r="I85" s="23"/>
      <c r="J85" s="212"/>
      <c r="K85" s="266"/>
      <c r="L85" s="166"/>
      <c r="M85" s="23"/>
    </row>
    <row r="86" spans="1:13" ht="15.75" x14ac:dyDescent="0.2">
      <c r="A86" s="21" t="s">
        <v>359</v>
      </c>
      <c r="B86" s="211"/>
      <c r="C86" s="145"/>
      <c r="D86" s="166"/>
      <c r="E86" s="23"/>
      <c r="F86" s="211"/>
      <c r="G86" s="145"/>
      <c r="H86" s="166"/>
      <c r="I86" s="23"/>
      <c r="J86" s="145"/>
      <c r="K86" s="44"/>
      <c r="L86" s="231"/>
      <c r="M86" s="27"/>
    </row>
    <row r="87" spans="1:13" ht="15.75" x14ac:dyDescent="0.2">
      <c r="A87" s="13" t="s">
        <v>341</v>
      </c>
      <c r="B87" s="329"/>
      <c r="C87" s="329"/>
      <c r="D87" s="171"/>
      <c r="E87" s="24"/>
      <c r="F87" s="328"/>
      <c r="G87" s="328"/>
      <c r="H87" s="171"/>
      <c r="I87" s="24"/>
      <c r="J87" s="159"/>
      <c r="K87" s="213"/>
      <c r="L87" s="402"/>
      <c r="M87" s="11"/>
    </row>
    <row r="88" spans="1:13" x14ac:dyDescent="0.2">
      <c r="A88" s="21" t="s">
        <v>9</v>
      </c>
      <c r="B88" s="211"/>
      <c r="C88" s="145"/>
      <c r="D88" s="166"/>
      <c r="E88" s="23"/>
      <c r="F88" s="211"/>
      <c r="G88" s="145"/>
      <c r="H88" s="166"/>
      <c r="I88" s="23"/>
      <c r="J88" s="145"/>
      <c r="K88" s="44"/>
      <c r="L88" s="231"/>
      <c r="M88" s="27"/>
    </row>
    <row r="89" spans="1:13" x14ac:dyDescent="0.2">
      <c r="A89" s="21" t="s">
        <v>10</v>
      </c>
      <c r="B89" s="211"/>
      <c r="C89" s="145"/>
      <c r="D89" s="166"/>
      <c r="E89" s="23"/>
      <c r="F89" s="211"/>
      <c r="G89" s="145"/>
      <c r="H89" s="166"/>
      <c r="I89" s="23"/>
      <c r="J89" s="145"/>
      <c r="K89" s="44"/>
      <c r="L89" s="231"/>
      <c r="M89" s="27"/>
    </row>
    <row r="90" spans="1:13" ht="15.75" x14ac:dyDescent="0.2">
      <c r="A90" s="272" t="s">
        <v>356</v>
      </c>
      <c r="B90" s="295"/>
      <c r="C90" s="295"/>
      <c r="D90" s="166"/>
      <c r="E90" s="23"/>
      <c r="F90" s="295"/>
      <c r="G90" s="295"/>
      <c r="H90" s="166"/>
      <c r="I90" s="23"/>
      <c r="J90" s="295"/>
      <c r="K90" s="295"/>
      <c r="L90" s="166"/>
      <c r="M90" s="23"/>
    </row>
    <row r="91" spans="1:13" x14ac:dyDescent="0.2">
      <c r="A91" s="272" t="s">
        <v>12</v>
      </c>
      <c r="B91" s="295"/>
      <c r="C91" s="295"/>
      <c r="D91" s="166"/>
      <c r="E91" s="23"/>
      <c r="F91" s="270"/>
      <c r="G91" s="271"/>
      <c r="H91" s="166"/>
      <c r="I91" s="23"/>
      <c r="J91" s="270"/>
      <c r="K91" s="271"/>
      <c r="L91" s="166"/>
      <c r="M91" s="23"/>
    </row>
    <row r="92" spans="1:13" x14ac:dyDescent="0.2">
      <c r="A92" s="272" t="s">
        <v>13</v>
      </c>
      <c r="B92" s="295"/>
      <c r="C92" s="295"/>
      <c r="D92" s="166"/>
      <c r="E92" s="23"/>
      <c r="F92" s="212"/>
      <c r="G92" s="266"/>
      <c r="H92" s="166"/>
      <c r="I92" s="23"/>
      <c r="J92" s="212"/>
      <c r="K92" s="266"/>
      <c r="L92" s="166"/>
      <c r="M92" s="23"/>
    </row>
    <row r="93" spans="1:13" ht="15.75" x14ac:dyDescent="0.2">
      <c r="A93" s="272" t="s">
        <v>357</v>
      </c>
      <c r="B93" s="295"/>
      <c r="C93" s="295"/>
      <c r="D93" s="166"/>
      <c r="E93" s="23"/>
      <c r="F93" s="295"/>
      <c r="G93" s="295"/>
      <c r="H93" s="166"/>
      <c r="I93" s="23"/>
      <c r="J93" s="295"/>
      <c r="K93" s="295"/>
      <c r="L93" s="166"/>
      <c r="M93" s="23"/>
    </row>
    <row r="94" spans="1:13" x14ac:dyDescent="0.2">
      <c r="A94" s="272" t="s">
        <v>12</v>
      </c>
      <c r="B94" s="212"/>
      <c r="C94" s="266"/>
      <c r="D94" s="166"/>
      <c r="E94" s="23"/>
      <c r="F94" s="212"/>
      <c r="G94" s="266"/>
      <c r="H94" s="166"/>
      <c r="I94" s="23"/>
      <c r="J94" s="212"/>
      <c r="K94" s="266"/>
      <c r="L94" s="166"/>
      <c r="M94" s="23"/>
    </row>
    <row r="95" spans="1:13" x14ac:dyDescent="0.2">
      <c r="A95" s="272" t="s">
        <v>13</v>
      </c>
      <c r="B95" s="212"/>
      <c r="C95" s="266"/>
      <c r="D95" s="166"/>
      <c r="E95" s="23"/>
      <c r="F95" s="212"/>
      <c r="G95" s="266"/>
      <c r="H95" s="166"/>
      <c r="I95" s="23"/>
      <c r="J95" s="212"/>
      <c r="K95" s="266"/>
      <c r="L95" s="166"/>
      <c r="M95" s="23"/>
    </row>
    <row r="96" spans="1:13" x14ac:dyDescent="0.2">
      <c r="A96" s="21" t="s">
        <v>324</v>
      </c>
      <c r="B96" s="211"/>
      <c r="C96" s="145"/>
      <c r="D96" s="166"/>
      <c r="E96" s="23"/>
      <c r="F96" s="211"/>
      <c r="G96" s="145"/>
      <c r="H96" s="166"/>
      <c r="I96" s="23"/>
      <c r="J96" s="145"/>
      <c r="K96" s="44"/>
      <c r="L96" s="231"/>
      <c r="M96" s="27"/>
    </row>
    <row r="97" spans="1:13" x14ac:dyDescent="0.2">
      <c r="A97" s="21" t="s">
        <v>323</v>
      </c>
      <c r="B97" s="211"/>
      <c r="C97" s="145"/>
      <c r="D97" s="166"/>
      <c r="E97" s="23"/>
      <c r="F97" s="211"/>
      <c r="G97" s="145"/>
      <c r="H97" s="166"/>
      <c r="I97" s="23"/>
      <c r="J97" s="145"/>
      <c r="K97" s="44"/>
      <c r="L97" s="231"/>
      <c r="M97" s="27"/>
    </row>
    <row r="98" spans="1:13" ht="15.75" x14ac:dyDescent="0.2">
      <c r="A98" s="21" t="s">
        <v>358</v>
      </c>
      <c r="B98" s="211"/>
      <c r="C98" s="211"/>
      <c r="D98" s="166"/>
      <c r="E98" s="23"/>
      <c r="F98" s="268"/>
      <c r="G98" s="268"/>
      <c r="H98" s="166"/>
      <c r="I98" s="23"/>
      <c r="J98" s="145"/>
      <c r="K98" s="44"/>
      <c r="L98" s="231"/>
      <c r="M98" s="27"/>
    </row>
    <row r="99" spans="1:13" x14ac:dyDescent="0.2">
      <c r="A99" s="21" t="s">
        <v>9</v>
      </c>
      <c r="B99" s="268"/>
      <c r="C99" s="269"/>
      <c r="D99" s="166"/>
      <c r="E99" s="23"/>
      <c r="F99" s="211"/>
      <c r="G99" s="145"/>
      <c r="H99" s="166"/>
      <c r="I99" s="23"/>
      <c r="J99" s="145"/>
      <c r="K99" s="44"/>
      <c r="L99" s="231"/>
      <c r="M99" s="27"/>
    </row>
    <row r="100" spans="1:13" ht="15.75" x14ac:dyDescent="0.2">
      <c r="A100" s="38" t="s">
        <v>399</v>
      </c>
      <c r="B100" s="268"/>
      <c r="C100" s="269"/>
      <c r="D100" s="166"/>
      <c r="E100" s="23"/>
      <c r="F100" s="211"/>
      <c r="G100" s="211"/>
      <c r="H100" s="166"/>
      <c r="I100" s="23"/>
      <c r="J100" s="145"/>
      <c r="K100" s="44"/>
      <c r="L100" s="231"/>
      <c r="M100" s="27"/>
    </row>
    <row r="101" spans="1:13" ht="15.75" x14ac:dyDescent="0.2">
      <c r="A101" s="38" t="s">
        <v>400</v>
      </c>
      <c r="B101" s="268"/>
      <c r="C101" s="268"/>
      <c r="D101" s="166"/>
      <c r="E101" s="23"/>
      <c r="F101" s="268"/>
      <c r="G101" s="268"/>
      <c r="H101" s="166"/>
      <c r="I101" s="23"/>
      <c r="J101" s="145"/>
      <c r="K101" s="44"/>
      <c r="L101" s="231"/>
      <c r="M101" s="27"/>
    </row>
    <row r="102" spans="1:13" ht="15.75" x14ac:dyDescent="0.2">
      <c r="A102" s="272" t="s">
        <v>356</v>
      </c>
      <c r="B102" s="295"/>
      <c r="C102" s="295"/>
      <c r="D102" s="166"/>
      <c r="E102" s="23"/>
      <c r="F102" s="295"/>
      <c r="G102" s="295"/>
      <c r="H102" s="166"/>
      <c r="I102" s="23"/>
      <c r="J102" s="295"/>
      <c r="K102" s="295"/>
      <c r="L102" s="166"/>
      <c r="M102" s="23"/>
    </row>
    <row r="103" spans="1:13" x14ac:dyDescent="0.2">
      <c r="A103" s="272" t="s">
        <v>12</v>
      </c>
      <c r="B103" s="295"/>
      <c r="C103" s="295"/>
      <c r="D103" s="166"/>
      <c r="E103" s="23"/>
      <c r="F103" s="270"/>
      <c r="G103" s="271"/>
      <c r="H103" s="166"/>
      <c r="I103" s="23"/>
      <c r="J103" s="270"/>
      <c r="K103" s="271"/>
      <c r="L103" s="166"/>
      <c r="M103" s="23"/>
    </row>
    <row r="104" spans="1:13" x14ac:dyDescent="0.2">
      <c r="A104" s="272" t="s">
        <v>13</v>
      </c>
      <c r="B104" s="295"/>
      <c r="C104" s="295"/>
      <c r="D104" s="166"/>
      <c r="E104" s="23"/>
      <c r="F104" s="212"/>
      <c r="G104" s="266"/>
      <c r="H104" s="166"/>
      <c r="I104" s="23"/>
      <c r="J104" s="212"/>
      <c r="K104" s="266"/>
      <c r="L104" s="166"/>
      <c r="M104" s="23"/>
    </row>
    <row r="105" spans="1:13" ht="15.75" x14ac:dyDescent="0.2">
      <c r="A105" s="272" t="s">
        <v>357</v>
      </c>
      <c r="B105" s="295"/>
      <c r="C105" s="295"/>
      <c r="D105" s="166"/>
      <c r="E105" s="23"/>
      <c r="F105" s="295"/>
      <c r="G105" s="295"/>
      <c r="H105" s="166"/>
      <c r="I105" s="23"/>
      <c r="J105" s="295"/>
      <c r="K105" s="295"/>
      <c r="L105" s="166"/>
      <c r="M105" s="23"/>
    </row>
    <row r="106" spans="1:13" x14ac:dyDescent="0.2">
      <c r="A106" s="272" t="s">
        <v>12</v>
      </c>
      <c r="B106" s="212"/>
      <c r="C106" s="266"/>
      <c r="D106" s="166"/>
      <c r="E106" s="23"/>
      <c r="F106" s="212"/>
      <c r="G106" s="266"/>
      <c r="H106" s="166"/>
      <c r="I106" s="23"/>
      <c r="J106" s="212"/>
      <c r="K106" s="266"/>
      <c r="L106" s="166"/>
      <c r="M106" s="23"/>
    </row>
    <row r="107" spans="1:13" x14ac:dyDescent="0.2">
      <c r="A107" s="272" t="s">
        <v>13</v>
      </c>
      <c r="B107" s="212"/>
      <c r="C107" s="266"/>
      <c r="D107" s="166"/>
      <c r="E107" s="23"/>
      <c r="F107" s="212"/>
      <c r="G107" s="266"/>
      <c r="H107" s="166"/>
      <c r="I107" s="23"/>
      <c r="J107" s="212"/>
      <c r="K107" s="266"/>
      <c r="L107" s="166"/>
      <c r="M107" s="23"/>
    </row>
    <row r="108" spans="1:13" ht="15.75" x14ac:dyDescent="0.2">
      <c r="A108" s="21" t="s">
        <v>359</v>
      </c>
      <c r="B108" s="211"/>
      <c r="C108" s="145"/>
      <c r="D108" s="166"/>
      <c r="E108" s="23"/>
      <c r="F108" s="211"/>
      <c r="G108" s="145"/>
      <c r="H108" s="166"/>
      <c r="I108" s="23"/>
      <c r="J108" s="145"/>
      <c r="K108" s="44"/>
      <c r="L108" s="231"/>
      <c r="M108" s="27"/>
    </row>
    <row r="109" spans="1:13" ht="15.75" x14ac:dyDescent="0.2">
      <c r="A109" s="21" t="s">
        <v>360</v>
      </c>
      <c r="B109" s="211"/>
      <c r="C109" s="211"/>
      <c r="D109" s="166"/>
      <c r="E109" s="23"/>
      <c r="F109" s="211"/>
      <c r="G109" s="211"/>
      <c r="H109" s="166"/>
      <c r="I109" s="23"/>
      <c r="J109" s="145"/>
      <c r="K109" s="44"/>
      <c r="L109" s="231"/>
      <c r="M109" s="27"/>
    </row>
    <row r="110" spans="1:13" ht="15.75" x14ac:dyDescent="0.2">
      <c r="A110" s="38" t="s">
        <v>416</v>
      </c>
      <c r="B110" s="211"/>
      <c r="C110" s="211"/>
      <c r="D110" s="166"/>
      <c r="E110" s="23"/>
      <c r="F110" s="211"/>
      <c r="G110" s="211"/>
      <c r="H110" s="166"/>
      <c r="I110" s="23"/>
      <c r="J110" s="145"/>
      <c r="K110" s="44"/>
      <c r="L110" s="231"/>
      <c r="M110" s="27"/>
    </row>
    <row r="111" spans="1:13" ht="15.75" x14ac:dyDescent="0.2">
      <c r="A111" s="21" t="s">
        <v>362</v>
      </c>
      <c r="B111" s="211"/>
      <c r="C111" s="211"/>
      <c r="D111" s="166"/>
      <c r="E111" s="23"/>
      <c r="F111" s="211"/>
      <c r="G111" s="211"/>
      <c r="H111" s="166"/>
      <c r="I111" s="23"/>
      <c r="J111" s="145"/>
      <c r="K111" s="44"/>
      <c r="L111" s="231"/>
      <c r="M111" s="27"/>
    </row>
    <row r="112" spans="1:13" ht="15.75" x14ac:dyDescent="0.2">
      <c r="A112" s="13" t="s">
        <v>342</v>
      </c>
      <c r="B112" s="284"/>
      <c r="C112" s="159"/>
      <c r="D112" s="171"/>
      <c r="E112" s="24"/>
      <c r="F112" s="284"/>
      <c r="G112" s="159"/>
      <c r="H112" s="171"/>
      <c r="I112" s="24"/>
      <c r="J112" s="159"/>
      <c r="K112" s="213"/>
      <c r="L112" s="402"/>
      <c r="M112" s="11"/>
    </row>
    <row r="113" spans="1:14" x14ac:dyDescent="0.2">
      <c r="A113" s="21" t="s">
        <v>9</v>
      </c>
      <c r="B113" s="211"/>
      <c r="C113" s="145"/>
      <c r="D113" s="166"/>
      <c r="E113" s="23"/>
      <c r="F113" s="211"/>
      <c r="G113" s="145"/>
      <c r="H113" s="166"/>
      <c r="I113" s="23"/>
      <c r="J113" s="145"/>
      <c r="K113" s="44"/>
      <c r="L113" s="231"/>
      <c r="M113" s="27"/>
    </row>
    <row r="114" spans="1:14" x14ac:dyDescent="0.2">
      <c r="A114" s="21" t="s">
        <v>10</v>
      </c>
      <c r="B114" s="211"/>
      <c r="C114" s="145"/>
      <c r="D114" s="166"/>
      <c r="E114" s="23"/>
      <c r="F114" s="211"/>
      <c r="G114" s="145"/>
      <c r="H114" s="166"/>
      <c r="I114" s="23"/>
      <c r="J114" s="145"/>
      <c r="K114" s="44"/>
      <c r="L114" s="231"/>
      <c r="M114" s="27"/>
    </row>
    <row r="115" spans="1:14" x14ac:dyDescent="0.2">
      <c r="A115" s="21" t="s">
        <v>26</v>
      </c>
      <c r="B115" s="211"/>
      <c r="C115" s="145"/>
      <c r="D115" s="166"/>
      <c r="E115" s="23"/>
      <c r="F115" s="211"/>
      <c r="G115" s="145"/>
      <c r="H115" s="166"/>
      <c r="I115" s="23"/>
      <c r="J115" s="145"/>
      <c r="K115" s="44"/>
      <c r="L115" s="231"/>
      <c r="M115" s="27"/>
    </row>
    <row r="116" spans="1:14" x14ac:dyDescent="0.2">
      <c r="A116" s="272" t="s">
        <v>15</v>
      </c>
      <c r="B116" s="258"/>
      <c r="C116" s="258"/>
      <c r="D116" s="166"/>
      <c r="E116" s="23"/>
      <c r="F116" s="665"/>
      <c r="G116" s="258"/>
      <c r="H116" s="166"/>
      <c r="I116" s="23"/>
      <c r="J116" s="667"/>
      <c r="K116" s="267"/>
      <c r="L116" s="166"/>
      <c r="M116" s="23"/>
    </row>
    <row r="117" spans="1:14" ht="15.75" x14ac:dyDescent="0.2">
      <c r="A117" s="21" t="s">
        <v>363</v>
      </c>
      <c r="B117" s="211"/>
      <c r="C117" s="211"/>
      <c r="D117" s="166"/>
      <c r="E117" s="23"/>
      <c r="F117" s="211"/>
      <c r="G117" s="211"/>
      <c r="H117" s="166"/>
      <c r="I117" s="23"/>
      <c r="J117" s="145"/>
      <c r="K117" s="44"/>
      <c r="L117" s="231"/>
      <c r="M117" s="27"/>
    </row>
    <row r="118" spans="1:14" ht="15.75" x14ac:dyDescent="0.2">
      <c r="A118" s="21" t="s">
        <v>364</v>
      </c>
      <c r="B118" s="211"/>
      <c r="C118" s="211"/>
      <c r="D118" s="166"/>
      <c r="E118" s="23"/>
      <c r="F118" s="211"/>
      <c r="G118" s="211"/>
      <c r="H118" s="166"/>
      <c r="I118" s="23"/>
      <c r="J118" s="145"/>
      <c r="K118" s="44"/>
      <c r="L118" s="231"/>
      <c r="M118" s="27"/>
    </row>
    <row r="119" spans="1:14" ht="15.75" x14ac:dyDescent="0.2">
      <c r="A119" s="21" t="s">
        <v>362</v>
      </c>
      <c r="B119" s="211"/>
      <c r="C119" s="211"/>
      <c r="D119" s="166"/>
      <c r="E119" s="23"/>
      <c r="F119" s="211"/>
      <c r="G119" s="211"/>
      <c r="H119" s="166"/>
      <c r="I119" s="23"/>
      <c r="J119" s="145"/>
      <c r="K119" s="44"/>
      <c r="L119" s="231"/>
      <c r="M119" s="27"/>
    </row>
    <row r="120" spans="1:14" ht="15.75" x14ac:dyDescent="0.2">
      <c r="A120" s="13" t="s">
        <v>343</v>
      </c>
      <c r="B120" s="284"/>
      <c r="C120" s="159"/>
      <c r="D120" s="171"/>
      <c r="E120" s="24"/>
      <c r="F120" s="284"/>
      <c r="G120" s="159"/>
      <c r="H120" s="171"/>
      <c r="I120" s="24"/>
      <c r="J120" s="159"/>
      <c r="K120" s="213"/>
      <c r="L120" s="402"/>
      <c r="M120" s="11"/>
    </row>
    <row r="121" spans="1:14" x14ac:dyDescent="0.2">
      <c r="A121" s="21" t="s">
        <v>9</v>
      </c>
      <c r="B121" s="211"/>
      <c r="C121" s="145"/>
      <c r="D121" s="166"/>
      <c r="E121" s="23"/>
      <c r="F121" s="211"/>
      <c r="G121" s="145"/>
      <c r="H121" s="166"/>
      <c r="I121" s="23"/>
      <c r="J121" s="145"/>
      <c r="K121" s="44"/>
      <c r="L121" s="231"/>
      <c r="M121" s="27"/>
    </row>
    <row r="122" spans="1:14" x14ac:dyDescent="0.2">
      <c r="A122" s="21" t="s">
        <v>10</v>
      </c>
      <c r="B122" s="211"/>
      <c r="C122" s="145"/>
      <c r="D122" s="166"/>
      <c r="E122" s="23"/>
      <c r="F122" s="211"/>
      <c r="G122" s="145"/>
      <c r="H122" s="166"/>
      <c r="I122" s="23"/>
      <c r="J122" s="145"/>
      <c r="K122" s="44"/>
      <c r="L122" s="231"/>
      <c r="M122" s="27"/>
    </row>
    <row r="123" spans="1:14" x14ac:dyDescent="0.2">
      <c r="A123" s="21" t="s">
        <v>26</v>
      </c>
      <c r="B123" s="211"/>
      <c r="C123" s="145"/>
      <c r="D123" s="166"/>
      <c r="E123" s="23"/>
      <c r="F123" s="211"/>
      <c r="G123" s="145"/>
      <c r="H123" s="166"/>
      <c r="I123" s="23"/>
      <c r="J123" s="145"/>
      <c r="K123" s="44"/>
      <c r="L123" s="231"/>
      <c r="M123" s="27"/>
    </row>
    <row r="124" spans="1:14" x14ac:dyDescent="0.2">
      <c r="A124" s="272" t="s">
        <v>14</v>
      </c>
      <c r="B124" s="258"/>
      <c r="C124" s="258"/>
      <c r="D124" s="166"/>
      <c r="E124" s="23"/>
      <c r="F124" s="665"/>
      <c r="G124" s="258"/>
      <c r="H124" s="166"/>
      <c r="I124" s="23"/>
      <c r="J124" s="667"/>
      <c r="K124" s="267"/>
      <c r="L124" s="166"/>
      <c r="M124" s="23"/>
    </row>
    <row r="125" spans="1:14" ht="15.75" x14ac:dyDescent="0.2">
      <c r="A125" s="21" t="s">
        <v>369</v>
      </c>
      <c r="B125" s="211"/>
      <c r="C125" s="211"/>
      <c r="D125" s="166"/>
      <c r="E125" s="23"/>
      <c r="F125" s="211"/>
      <c r="G125" s="211"/>
      <c r="H125" s="166"/>
      <c r="I125" s="23"/>
      <c r="J125" s="145"/>
      <c r="K125" s="44"/>
      <c r="L125" s="231"/>
      <c r="M125" s="27"/>
    </row>
    <row r="126" spans="1:14" ht="15.75" x14ac:dyDescent="0.2">
      <c r="A126" s="21" t="s">
        <v>361</v>
      </c>
      <c r="B126" s="211"/>
      <c r="C126" s="211"/>
      <c r="D126" s="166"/>
      <c r="E126" s="23"/>
      <c r="F126" s="211"/>
      <c r="G126" s="211"/>
      <c r="H126" s="166"/>
      <c r="I126" s="23"/>
      <c r="J126" s="145"/>
      <c r="K126" s="44"/>
      <c r="L126" s="231"/>
      <c r="M126" s="27"/>
    </row>
    <row r="127" spans="1:14" ht="15.75" x14ac:dyDescent="0.2">
      <c r="A127" s="10" t="s">
        <v>362</v>
      </c>
      <c r="B127" s="45"/>
      <c r="C127" s="45"/>
      <c r="D127" s="167"/>
      <c r="E127" s="22"/>
      <c r="F127" s="666"/>
      <c r="G127" s="45"/>
      <c r="H127" s="167"/>
      <c r="I127" s="22"/>
      <c r="J127" s="668"/>
      <c r="K127" s="45"/>
      <c r="L127" s="232"/>
      <c r="M127" s="22"/>
    </row>
    <row r="128" spans="1:14" x14ac:dyDescent="0.2">
      <c r="A128" s="155"/>
      <c r="L128" s="26"/>
      <c r="M128" s="26"/>
      <c r="N128" s="26"/>
    </row>
    <row r="129" spans="1:14" x14ac:dyDescent="0.2">
      <c r="L129" s="26"/>
      <c r="M129" s="26"/>
      <c r="N129" s="26"/>
    </row>
    <row r="130" spans="1:14" ht="15.75" x14ac:dyDescent="0.25">
      <c r="A130" s="165" t="s">
        <v>27</v>
      </c>
    </row>
    <row r="131" spans="1:14" ht="15.75" x14ac:dyDescent="0.25">
      <c r="B131" s="694"/>
      <c r="C131" s="694"/>
      <c r="D131" s="694"/>
      <c r="E131" s="275"/>
      <c r="F131" s="694"/>
      <c r="G131" s="694"/>
      <c r="H131" s="694"/>
      <c r="I131" s="275"/>
      <c r="J131" s="694"/>
      <c r="K131" s="694"/>
      <c r="L131" s="694"/>
      <c r="M131" s="275"/>
    </row>
    <row r="132" spans="1:14" s="3" customFormat="1" x14ac:dyDescent="0.2">
      <c r="A132" s="144"/>
      <c r="B132" s="695" t="s">
        <v>0</v>
      </c>
      <c r="C132" s="696"/>
      <c r="D132" s="696"/>
      <c r="E132" s="277"/>
      <c r="F132" s="695" t="s">
        <v>1</v>
      </c>
      <c r="G132" s="696"/>
      <c r="H132" s="696"/>
      <c r="I132" s="280"/>
      <c r="J132" s="695" t="s">
        <v>2</v>
      </c>
      <c r="K132" s="696"/>
      <c r="L132" s="696"/>
      <c r="M132" s="280"/>
      <c r="N132" s="148"/>
    </row>
    <row r="133" spans="1:14" s="3" customFormat="1" x14ac:dyDescent="0.2">
      <c r="A133" s="140"/>
      <c r="B133" s="152" t="s">
        <v>412</v>
      </c>
      <c r="C133" s="152" t="s">
        <v>413</v>
      </c>
      <c r="D133" s="222" t="s">
        <v>3</v>
      </c>
      <c r="E133" s="281" t="s">
        <v>29</v>
      </c>
      <c r="F133" s="152" t="s">
        <v>412</v>
      </c>
      <c r="G133" s="152" t="s">
        <v>413</v>
      </c>
      <c r="H133" s="203" t="s">
        <v>3</v>
      </c>
      <c r="I133" s="162" t="s">
        <v>29</v>
      </c>
      <c r="J133" s="152" t="s">
        <v>412</v>
      </c>
      <c r="K133" s="152" t="s">
        <v>413</v>
      </c>
      <c r="L133" s="223" t="s">
        <v>3</v>
      </c>
      <c r="M133" s="162" t="s">
        <v>29</v>
      </c>
      <c r="N133" s="148"/>
    </row>
    <row r="134" spans="1:14" s="3" customFormat="1" x14ac:dyDescent="0.2">
      <c r="A134" s="662"/>
      <c r="B134" s="156"/>
      <c r="C134" s="156"/>
      <c r="D134" s="223" t="s">
        <v>4</v>
      </c>
      <c r="E134" s="156" t="s">
        <v>30</v>
      </c>
      <c r="F134" s="161"/>
      <c r="G134" s="161"/>
      <c r="H134" s="203" t="s">
        <v>4</v>
      </c>
      <c r="I134" s="156" t="s">
        <v>30</v>
      </c>
      <c r="J134" s="156"/>
      <c r="K134" s="156"/>
      <c r="L134" s="150" t="s">
        <v>4</v>
      </c>
      <c r="M134" s="156" t="s">
        <v>30</v>
      </c>
      <c r="N134" s="148"/>
    </row>
    <row r="135" spans="1:14" s="3" customFormat="1" ht="15.75" x14ac:dyDescent="0.2">
      <c r="A135" s="14" t="s">
        <v>365</v>
      </c>
      <c r="B135" s="213"/>
      <c r="C135" s="285"/>
      <c r="D135" s="326"/>
      <c r="E135" s="11"/>
      <c r="F135" s="292"/>
      <c r="G135" s="293"/>
      <c r="H135" s="405"/>
      <c r="I135" s="24"/>
      <c r="J135" s="294"/>
      <c r="K135" s="294"/>
      <c r="L135" s="401"/>
      <c r="M135" s="11"/>
      <c r="N135" s="148"/>
    </row>
    <row r="136" spans="1:14" s="3" customFormat="1" ht="15.75" x14ac:dyDescent="0.2">
      <c r="A136" s="13" t="s">
        <v>370</v>
      </c>
      <c r="B136" s="213"/>
      <c r="C136" s="285"/>
      <c r="D136" s="171"/>
      <c r="E136" s="11"/>
      <c r="F136" s="213"/>
      <c r="G136" s="285"/>
      <c r="H136" s="406"/>
      <c r="I136" s="24"/>
      <c r="J136" s="284"/>
      <c r="K136" s="284"/>
      <c r="L136" s="402"/>
      <c r="M136" s="11"/>
      <c r="N136" s="148"/>
    </row>
    <row r="137" spans="1:14" s="3" customFormat="1" ht="15.75" x14ac:dyDescent="0.2">
      <c r="A137" s="13" t="s">
        <v>367</v>
      </c>
      <c r="B137" s="213"/>
      <c r="C137" s="285"/>
      <c r="D137" s="171"/>
      <c r="E137" s="11"/>
      <c r="F137" s="213"/>
      <c r="G137" s="285"/>
      <c r="H137" s="406"/>
      <c r="I137" s="24"/>
      <c r="J137" s="284"/>
      <c r="K137" s="284"/>
      <c r="L137" s="402"/>
      <c r="M137" s="11"/>
      <c r="N137" s="148"/>
    </row>
    <row r="138" spans="1:14" s="3" customFormat="1" ht="15.75" x14ac:dyDescent="0.2">
      <c r="A138" s="41" t="s">
        <v>368</v>
      </c>
      <c r="B138" s="253"/>
      <c r="C138" s="291"/>
      <c r="D138" s="169"/>
      <c r="E138" s="9"/>
      <c r="F138" s="253"/>
      <c r="G138" s="291"/>
      <c r="H138" s="407"/>
      <c r="I138" s="36"/>
      <c r="J138" s="290"/>
      <c r="K138" s="290"/>
      <c r="L138" s="403"/>
      <c r="M138" s="36"/>
      <c r="N138" s="148"/>
    </row>
    <row r="139" spans="1:14" s="3" customFormat="1"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68"/>
      <c r="B141" s="33"/>
      <c r="C141" s="33"/>
      <c r="D141" s="159"/>
      <c r="E141" s="159"/>
      <c r="F141" s="33"/>
      <c r="G141" s="33"/>
      <c r="H141" s="159"/>
      <c r="I141" s="159"/>
      <c r="J141" s="33"/>
      <c r="K141" s="33"/>
      <c r="L141" s="159"/>
      <c r="M141" s="159"/>
      <c r="N141" s="148"/>
    </row>
    <row r="142" spans="1:14" x14ac:dyDescent="0.2">
      <c r="A142" s="146"/>
      <c r="B142" s="146"/>
      <c r="C142" s="146"/>
      <c r="D142" s="146"/>
      <c r="E142" s="146"/>
      <c r="F142" s="146"/>
      <c r="G142" s="146"/>
      <c r="H142" s="146"/>
      <c r="I142" s="146"/>
      <c r="J142" s="146"/>
      <c r="K142" s="146"/>
      <c r="L142" s="146"/>
      <c r="M142" s="146"/>
      <c r="N142" s="146"/>
    </row>
    <row r="143" spans="1:14" ht="15.75" x14ac:dyDescent="0.25">
      <c r="B143" s="142"/>
      <c r="C143" s="142"/>
      <c r="D143" s="142"/>
      <c r="E143" s="142"/>
      <c r="F143" s="142"/>
      <c r="G143" s="142"/>
      <c r="H143" s="142"/>
      <c r="I143" s="142"/>
      <c r="J143" s="142"/>
      <c r="K143" s="142"/>
      <c r="L143" s="142"/>
      <c r="M143" s="142"/>
      <c r="N143" s="142"/>
    </row>
    <row r="144" spans="1:14" ht="15.75" x14ac:dyDescent="0.25">
      <c r="B144" s="157"/>
      <c r="C144" s="157"/>
      <c r="D144" s="157"/>
      <c r="E144" s="157"/>
      <c r="F144" s="157"/>
      <c r="G144" s="157"/>
      <c r="H144" s="157"/>
      <c r="I144" s="157"/>
      <c r="J144" s="157"/>
      <c r="K144" s="157"/>
      <c r="L144" s="157"/>
      <c r="M144" s="157"/>
      <c r="N144" s="157"/>
    </row>
    <row r="145" spans="2:14" ht="15.75" x14ac:dyDescent="0.25">
      <c r="B145" s="157"/>
      <c r="C145" s="157"/>
      <c r="D145" s="157"/>
      <c r="E145" s="157"/>
      <c r="F145" s="157"/>
      <c r="G145" s="157"/>
      <c r="H145" s="157"/>
      <c r="I145" s="157"/>
      <c r="J145" s="157"/>
      <c r="K145" s="157"/>
      <c r="L145" s="157"/>
      <c r="M145" s="157"/>
      <c r="N145" s="157"/>
    </row>
  </sheetData>
  <mergeCells count="31">
    <mergeCell ref="B132:D132"/>
    <mergeCell ref="F132:H132"/>
    <mergeCell ref="J132:L132"/>
    <mergeCell ref="B63:D63"/>
    <mergeCell ref="F63:H63"/>
    <mergeCell ref="J63:L63"/>
    <mergeCell ref="B131:D131"/>
    <mergeCell ref="F131:H131"/>
    <mergeCell ref="J131:L131"/>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6">
    <cfRule type="expression" dxfId="536" priority="76">
      <formula>kvartal &lt; 4</formula>
    </cfRule>
  </conditionalFormatting>
  <conditionalFormatting sqref="C116">
    <cfRule type="expression" dxfId="535" priority="75">
      <formula>kvartal &lt; 4</formula>
    </cfRule>
  </conditionalFormatting>
  <conditionalFormatting sqref="B124">
    <cfRule type="expression" dxfId="534" priority="74">
      <formula>kvartal &lt; 4</formula>
    </cfRule>
  </conditionalFormatting>
  <conditionalFormatting sqref="C124">
    <cfRule type="expression" dxfId="533" priority="73">
      <formula>kvartal &lt; 4</formula>
    </cfRule>
  </conditionalFormatting>
  <conditionalFormatting sqref="F116">
    <cfRule type="expression" dxfId="532" priority="58">
      <formula>kvartal &lt; 4</formula>
    </cfRule>
  </conditionalFormatting>
  <conditionalFormatting sqref="G116">
    <cfRule type="expression" dxfId="531" priority="57">
      <formula>kvartal &lt; 4</formula>
    </cfRule>
  </conditionalFormatting>
  <conditionalFormatting sqref="F124:G124">
    <cfRule type="expression" dxfId="530" priority="56">
      <formula>kvartal &lt; 4</formula>
    </cfRule>
  </conditionalFormatting>
  <conditionalFormatting sqref="J116:K116">
    <cfRule type="expression" dxfId="529" priority="32">
      <formula>kvartal &lt; 4</formula>
    </cfRule>
  </conditionalFormatting>
  <conditionalFormatting sqref="J124:K124">
    <cfRule type="expression" dxfId="528" priority="31">
      <formula>kvartal &lt; 4</formula>
    </cfRule>
  </conditionalFormatting>
  <conditionalFormatting sqref="A50:A52">
    <cfRule type="expression" dxfId="527" priority="12">
      <formula>kvartal &lt; 4</formula>
    </cfRule>
  </conditionalFormatting>
  <conditionalFormatting sqref="A69:A74">
    <cfRule type="expression" dxfId="526" priority="10">
      <formula>kvartal &lt; 4</formula>
    </cfRule>
  </conditionalFormatting>
  <conditionalFormatting sqref="A80:A85">
    <cfRule type="expression" dxfId="525" priority="9">
      <formula>kvartal &lt; 4</formula>
    </cfRule>
  </conditionalFormatting>
  <conditionalFormatting sqref="A90:A95">
    <cfRule type="expression" dxfId="524" priority="6">
      <formula>kvartal &lt; 4</formula>
    </cfRule>
  </conditionalFormatting>
  <conditionalFormatting sqref="A102:A107">
    <cfRule type="expression" dxfId="523" priority="5">
      <formula>kvartal &lt; 4</formula>
    </cfRule>
  </conditionalFormatting>
  <conditionalFormatting sqref="A116">
    <cfRule type="expression" dxfId="522" priority="4">
      <formula>kvartal &lt; 4</formula>
    </cfRule>
  </conditionalFormatting>
  <conditionalFormatting sqref="A124">
    <cfRule type="expression" dxfId="521" priority="3">
      <formula>kvartal &lt; 4</formula>
    </cfRule>
  </conditionalFormatting>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6"/>
  <dimension ref="A1:N145"/>
  <sheetViews>
    <sheetView showGridLines="0" zoomScaleNormal="100" zoomScaleSheetLayoutView="100" workbookViewId="0">
      <selection activeCell="A111" sqref="A111"/>
    </sheetView>
  </sheetViews>
  <sheetFormatPr baseColWidth="10" defaultColWidth="11.42578125" defaultRowHeight="12.75" x14ac:dyDescent="0.2"/>
  <cols>
    <col min="1" max="1" width="41.57031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134</v>
      </c>
      <c r="B1" s="663"/>
      <c r="C1" s="225" t="s">
        <v>127</v>
      </c>
      <c r="D1" s="26"/>
      <c r="E1" s="26"/>
      <c r="F1" s="26"/>
      <c r="G1" s="26"/>
      <c r="H1" s="26"/>
      <c r="I1" s="26"/>
      <c r="J1" s="26"/>
      <c r="K1" s="26"/>
      <c r="L1" s="26"/>
      <c r="M1" s="26"/>
    </row>
    <row r="2" spans="1:14" ht="15.75" x14ac:dyDescent="0.25">
      <c r="A2" s="165" t="s">
        <v>28</v>
      </c>
      <c r="B2" s="699"/>
      <c r="C2" s="699"/>
      <c r="D2" s="699"/>
      <c r="E2" s="275"/>
      <c r="F2" s="699"/>
      <c r="G2" s="699"/>
      <c r="H2" s="699"/>
      <c r="I2" s="275"/>
      <c r="J2" s="699"/>
      <c r="K2" s="699"/>
      <c r="L2" s="699"/>
      <c r="M2" s="275"/>
    </row>
    <row r="3" spans="1:14" ht="15.75" x14ac:dyDescent="0.25">
      <c r="A3" s="163"/>
      <c r="B3" s="275"/>
      <c r="C3" s="275"/>
      <c r="D3" s="275"/>
      <c r="E3" s="275"/>
      <c r="F3" s="275"/>
      <c r="G3" s="275"/>
      <c r="H3" s="275"/>
      <c r="I3" s="275"/>
      <c r="J3" s="275"/>
      <c r="K3" s="275"/>
      <c r="L3" s="275"/>
      <c r="M3" s="275"/>
    </row>
    <row r="4" spans="1:14" x14ac:dyDescent="0.2">
      <c r="A4" s="144"/>
      <c r="B4" s="695" t="s">
        <v>0</v>
      </c>
      <c r="C4" s="696"/>
      <c r="D4" s="696"/>
      <c r="E4" s="277"/>
      <c r="F4" s="695" t="s">
        <v>1</v>
      </c>
      <c r="G4" s="696"/>
      <c r="H4" s="696"/>
      <c r="I4" s="280"/>
      <c r="J4" s="695" t="s">
        <v>2</v>
      </c>
      <c r="K4" s="696"/>
      <c r="L4" s="696"/>
      <c r="M4" s="280"/>
    </row>
    <row r="5" spans="1:14" x14ac:dyDescent="0.2">
      <c r="A5" s="158"/>
      <c r="B5" s="152" t="s">
        <v>412</v>
      </c>
      <c r="C5" s="152" t="s">
        <v>413</v>
      </c>
      <c r="D5" s="222" t="s">
        <v>3</v>
      </c>
      <c r="E5" s="281" t="s">
        <v>29</v>
      </c>
      <c r="F5" s="152" t="s">
        <v>412</v>
      </c>
      <c r="G5" s="152" t="s">
        <v>413</v>
      </c>
      <c r="H5" s="222" t="s">
        <v>3</v>
      </c>
      <c r="I5" s="162" t="s">
        <v>29</v>
      </c>
      <c r="J5" s="152" t="s">
        <v>412</v>
      </c>
      <c r="K5" s="152" t="s">
        <v>413</v>
      </c>
      <c r="L5" s="222" t="s">
        <v>3</v>
      </c>
      <c r="M5" s="162" t="s">
        <v>29</v>
      </c>
    </row>
    <row r="6" spans="1:14" x14ac:dyDescent="0.2">
      <c r="A6" s="661"/>
      <c r="B6" s="156"/>
      <c r="C6" s="156"/>
      <c r="D6" s="223" t="s">
        <v>4</v>
      </c>
      <c r="E6" s="156" t="s">
        <v>30</v>
      </c>
      <c r="F6" s="161"/>
      <c r="G6" s="161"/>
      <c r="H6" s="222" t="s">
        <v>4</v>
      </c>
      <c r="I6" s="156" t="s">
        <v>30</v>
      </c>
      <c r="J6" s="161"/>
      <c r="K6" s="161"/>
      <c r="L6" s="222" t="s">
        <v>4</v>
      </c>
      <c r="M6" s="156" t="s">
        <v>30</v>
      </c>
    </row>
    <row r="7" spans="1:14" ht="15.75" x14ac:dyDescent="0.2">
      <c r="A7" s="14" t="s">
        <v>23</v>
      </c>
      <c r="B7" s="282">
        <v>441826</v>
      </c>
      <c r="C7" s="283">
        <v>453020.45799999998</v>
      </c>
      <c r="D7" s="326">
        <f t="shared" ref="D7:D9" si="0">IF(B7=0, "    ---- ", IF(ABS(ROUND(100/B7*C7-100,1))&lt;999,ROUND(100/B7*C7-100,1),IF(ROUND(100/B7*C7-100,1)&gt;999,999,-999)))</f>
        <v>2.5</v>
      </c>
      <c r="E7" s="11">
        <f>IFERROR(100/'Skjema total MA'!C7*C7,0)</f>
        <v>26.883923758582949</v>
      </c>
      <c r="F7" s="282"/>
      <c r="G7" s="283"/>
      <c r="H7" s="326"/>
      <c r="I7" s="160"/>
      <c r="J7" s="284">
        <f t="shared" ref="J7:K9" si="1">SUM(B7,F7)</f>
        <v>441826</v>
      </c>
      <c r="K7" s="285">
        <f t="shared" si="1"/>
        <v>453020.45799999998</v>
      </c>
      <c r="L7" s="401">
        <f t="shared" ref="L7:L9" si="2">IF(J7=0, "    ---- ", IF(ABS(ROUND(100/J7*K7-100,1))&lt;999,ROUND(100/J7*K7-100,1),IF(ROUND(100/J7*K7-100,1)&gt;999,999,-999)))</f>
        <v>2.5</v>
      </c>
      <c r="M7" s="11">
        <f>IFERROR(100/'Skjema total MA'!I7*K7,0)</f>
        <v>8.1075240489638603</v>
      </c>
    </row>
    <row r="8" spans="1:14" ht="15.75" x14ac:dyDescent="0.2">
      <c r="A8" s="21" t="s">
        <v>25</v>
      </c>
      <c r="B8" s="258">
        <v>312304</v>
      </c>
      <c r="C8" s="259">
        <v>291603.80800000002</v>
      </c>
      <c r="D8" s="166">
        <f t="shared" si="0"/>
        <v>-6.6</v>
      </c>
      <c r="E8" s="27">
        <f>IFERROR(100/'Skjema total MA'!C8*C8,0)</f>
        <v>25.573822108320581</v>
      </c>
      <c r="F8" s="262"/>
      <c r="G8" s="263"/>
      <c r="H8" s="166"/>
      <c r="I8" s="175"/>
      <c r="J8" s="211">
        <f t="shared" si="1"/>
        <v>312304</v>
      </c>
      <c r="K8" s="264">
        <f t="shared" si="1"/>
        <v>291603.80800000002</v>
      </c>
      <c r="L8" s="166">
        <f t="shared" si="2"/>
        <v>-6.6</v>
      </c>
      <c r="M8" s="27">
        <f>IFERROR(100/'Skjema total MA'!I8*K8,0)</f>
        <v>25.573822108320581</v>
      </c>
    </row>
    <row r="9" spans="1:14" ht="15.75" x14ac:dyDescent="0.2">
      <c r="A9" s="21" t="s">
        <v>24</v>
      </c>
      <c r="B9" s="258">
        <v>129522</v>
      </c>
      <c r="C9" s="259">
        <v>161416.65</v>
      </c>
      <c r="D9" s="166">
        <f t="shared" si="0"/>
        <v>24.6</v>
      </c>
      <c r="E9" s="27">
        <f>IFERROR(100/'Skjema total MA'!C9*C9,0)</f>
        <v>45.256990774391539</v>
      </c>
      <c r="F9" s="262"/>
      <c r="G9" s="263"/>
      <c r="H9" s="166"/>
      <c r="I9" s="175"/>
      <c r="J9" s="211">
        <f t="shared" si="1"/>
        <v>129522</v>
      </c>
      <c r="K9" s="264">
        <f t="shared" si="1"/>
        <v>161416.65</v>
      </c>
      <c r="L9" s="166">
        <f t="shared" si="2"/>
        <v>24.6</v>
      </c>
      <c r="M9" s="27">
        <f>IFERROR(100/'Skjema total MA'!I9*K9,0)</f>
        <v>45.256990774391539</v>
      </c>
    </row>
    <row r="10" spans="1:14" ht="15.75" x14ac:dyDescent="0.2">
      <c r="A10" s="13" t="s">
        <v>341</v>
      </c>
      <c r="B10" s="286"/>
      <c r="C10" s="287"/>
      <c r="D10" s="171"/>
      <c r="E10" s="11"/>
      <c r="F10" s="286"/>
      <c r="G10" s="287"/>
      <c r="H10" s="171"/>
      <c r="I10" s="160"/>
      <c r="J10" s="284"/>
      <c r="K10" s="285"/>
      <c r="L10" s="402"/>
      <c r="M10" s="11"/>
    </row>
    <row r="11" spans="1:14" s="43" customFormat="1" ht="15.75" x14ac:dyDescent="0.2">
      <c r="A11" s="13" t="s">
        <v>342</v>
      </c>
      <c r="B11" s="286"/>
      <c r="C11" s="287"/>
      <c r="D11" s="171"/>
      <c r="E11" s="11"/>
      <c r="F11" s="286"/>
      <c r="G11" s="287"/>
      <c r="H11" s="171"/>
      <c r="I11" s="160"/>
      <c r="J11" s="284"/>
      <c r="K11" s="285"/>
      <c r="L11" s="402"/>
      <c r="M11" s="11"/>
      <c r="N11" s="143"/>
    </row>
    <row r="12" spans="1:14" s="43" customFormat="1" ht="15.75" x14ac:dyDescent="0.2">
      <c r="A12" s="41" t="s">
        <v>343</v>
      </c>
      <c r="B12" s="288"/>
      <c r="C12" s="289"/>
      <c r="D12" s="169"/>
      <c r="E12" s="36"/>
      <c r="F12" s="288"/>
      <c r="G12" s="289"/>
      <c r="H12" s="169"/>
      <c r="I12" s="169"/>
      <c r="J12" s="290"/>
      <c r="K12" s="291"/>
      <c r="L12" s="403"/>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251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248</v>
      </c>
      <c r="B17" s="157"/>
      <c r="C17" s="157"/>
      <c r="D17" s="151"/>
      <c r="E17" s="151"/>
      <c r="F17" s="157"/>
      <c r="G17" s="157"/>
      <c r="H17" s="157"/>
      <c r="I17" s="157"/>
      <c r="J17" s="157"/>
      <c r="K17" s="157"/>
      <c r="L17" s="157"/>
      <c r="M17" s="157"/>
    </row>
    <row r="18" spans="1:14" ht="15.75" x14ac:dyDescent="0.25">
      <c r="B18" s="694"/>
      <c r="C18" s="694"/>
      <c r="D18" s="694"/>
      <c r="E18" s="275"/>
      <c r="F18" s="694"/>
      <c r="G18" s="694"/>
      <c r="H18" s="694"/>
      <c r="I18" s="275"/>
      <c r="J18" s="694"/>
      <c r="K18" s="694"/>
      <c r="L18" s="694"/>
      <c r="M18" s="275"/>
    </row>
    <row r="19" spans="1:14" x14ac:dyDescent="0.2">
      <c r="A19" s="144"/>
      <c r="B19" s="695" t="s">
        <v>0</v>
      </c>
      <c r="C19" s="696"/>
      <c r="D19" s="696"/>
      <c r="E19" s="277"/>
      <c r="F19" s="695" t="s">
        <v>1</v>
      </c>
      <c r="G19" s="696"/>
      <c r="H19" s="696"/>
      <c r="I19" s="280"/>
      <c r="J19" s="695" t="s">
        <v>2</v>
      </c>
      <c r="K19" s="696"/>
      <c r="L19" s="696"/>
      <c r="M19" s="280"/>
    </row>
    <row r="20" spans="1:14" x14ac:dyDescent="0.2">
      <c r="A20" s="140" t="s">
        <v>5</v>
      </c>
      <c r="B20" s="152" t="s">
        <v>412</v>
      </c>
      <c r="C20" s="152" t="s">
        <v>413</v>
      </c>
      <c r="D20" s="162" t="s">
        <v>3</v>
      </c>
      <c r="E20" s="281" t="s">
        <v>29</v>
      </c>
      <c r="F20" s="152" t="s">
        <v>412</v>
      </c>
      <c r="G20" s="152" t="s">
        <v>413</v>
      </c>
      <c r="H20" s="162" t="s">
        <v>3</v>
      </c>
      <c r="I20" s="162" t="s">
        <v>29</v>
      </c>
      <c r="J20" s="152" t="s">
        <v>412</v>
      </c>
      <c r="K20" s="152" t="s">
        <v>413</v>
      </c>
      <c r="L20" s="162" t="s">
        <v>3</v>
      </c>
      <c r="M20" s="162" t="s">
        <v>29</v>
      </c>
    </row>
    <row r="21" spans="1:14" x14ac:dyDescent="0.2">
      <c r="A21" s="662"/>
      <c r="B21" s="156"/>
      <c r="C21" s="156"/>
      <c r="D21" s="223" t="s">
        <v>4</v>
      </c>
      <c r="E21" s="156" t="s">
        <v>30</v>
      </c>
      <c r="F21" s="161"/>
      <c r="G21" s="161"/>
      <c r="H21" s="222" t="s">
        <v>4</v>
      </c>
      <c r="I21" s="156" t="s">
        <v>30</v>
      </c>
      <c r="J21" s="161"/>
      <c r="K21" s="161"/>
      <c r="L21" s="156" t="s">
        <v>4</v>
      </c>
      <c r="M21" s="156" t="s">
        <v>30</v>
      </c>
    </row>
    <row r="22" spans="1:14" ht="15.75" x14ac:dyDescent="0.2">
      <c r="A22" s="14" t="s">
        <v>23</v>
      </c>
      <c r="B22" s="286"/>
      <c r="C22" s="286"/>
      <c r="D22" s="326"/>
      <c r="E22" s="11"/>
      <c r="F22" s="294"/>
      <c r="G22" s="294"/>
      <c r="H22" s="326"/>
      <c r="I22" s="11"/>
      <c r="J22" s="292"/>
      <c r="K22" s="292"/>
      <c r="L22" s="401"/>
      <c r="M22" s="24"/>
    </row>
    <row r="23" spans="1:14" ht="15.75" x14ac:dyDescent="0.2">
      <c r="A23" s="545" t="s">
        <v>344</v>
      </c>
      <c r="B23" s="258"/>
      <c r="C23" s="258"/>
      <c r="D23" s="166"/>
      <c r="E23" s="11"/>
      <c r="F23" s="267"/>
      <c r="G23" s="267"/>
      <c r="H23" s="166"/>
      <c r="I23" s="391"/>
      <c r="J23" s="267"/>
      <c r="K23" s="267"/>
      <c r="L23" s="166"/>
      <c r="M23" s="23"/>
    </row>
    <row r="24" spans="1:14" ht="15.75" x14ac:dyDescent="0.2">
      <c r="A24" s="545" t="s">
        <v>345</v>
      </c>
      <c r="B24" s="258"/>
      <c r="C24" s="258"/>
      <c r="D24" s="166"/>
      <c r="E24" s="11"/>
      <c r="F24" s="267"/>
      <c r="G24" s="267"/>
      <c r="H24" s="166"/>
      <c r="I24" s="391"/>
      <c r="J24" s="267"/>
      <c r="K24" s="267"/>
      <c r="L24" s="166"/>
      <c r="M24" s="23"/>
    </row>
    <row r="25" spans="1:14" ht="15.75" x14ac:dyDescent="0.2">
      <c r="A25" s="545" t="s">
        <v>346</v>
      </c>
      <c r="B25" s="258"/>
      <c r="C25" s="258"/>
      <c r="D25" s="166"/>
      <c r="E25" s="11"/>
      <c r="F25" s="267"/>
      <c r="G25" s="267"/>
      <c r="H25" s="166"/>
      <c r="I25" s="391"/>
      <c r="J25" s="267"/>
      <c r="K25" s="267"/>
      <c r="L25" s="166"/>
      <c r="M25" s="23"/>
    </row>
    <row r="26" spans="1:14" ht="15.75" x14ac:dyDescent="0.2">
      <c r="A26" s="545" t="s">
        <v>347</v>
      </c>
      <c r="B26" s="258"/>
      <c r="C26" s="258"/>
      <c r="D26" s="166"/>
      <c r="E26" s="11"/>
      <c r="F26" s="267"/>
      <c r="G26" s="267"/>
      <c r="H26" s="166"/>
      <c r="I26" s="391"/>
      <c r="J26" s="267"/>
      <c r="K26" s="267"/>
      <c r="L26" s="166"/>
      <c r="M26" s="23"/>
    </row>
    <row r="27" spans="1:14" x14ac:dyDescent="0.2">
      <c r="A27" s="545" t="s">
        <v>11</v>
      </c>
      <c r="B27" s="258"/>
      <c r="C27" s="258"/>
      <c r="D27" s="166"/>
      <c r="E27" s="11"/>
      <c r="F27" s="267"/>
      <c r="G27" s="267"/>
      <c r="H27" s="166"/>
      <c r="I27" s="391"/>
      <c r="J27" s="267"/>
      <c r="K27" s="267"/>
      <c r="L27" s="166"/>
      <c r="M27" s="23"/>
    </row>
    <row r="28" spans="1:14" ht="15.75" x14ac:dyDescent="0.2">
      <c r="A28" s="49" t="s">
        <v>252</v>
      </c>
      <c r="B28" s="44"/>
      <c r="C28" s="264"/>
      <c r="D28" s="166"/>
      <c r="E28" s="11"/>
      <c r="F28" s="211"/>
      <c r="G28" s="264"/>
      <c r="H28" s="166"/>
      <c r="I28" s="27"/>
      <c r="J28" s="44"/>
      <c r="K28" s="44"/>
      <c r="L28" s="231"/>
      <c r="M28" s="23"/>
    </row>
    <row r="29" spans="1:14" s="3" customFormat="1" ht="15.75" x14ac:dyDescent="0.2">
      <c r="A29" s="13" t="s">
        <v>341</v>
      </c>
      <c r="B29" s="213"/>
      <c r="C29" s="213"/>
      <c r="D29" s="171"/>
      <c r="E29" s="11"/>
      <c r="F29" s="284"/>
      <c r="G29" s="284"/>
      <c r="H29" s="171"/>
      <c r="I29" s="11"/>
      <c r="J29" s="213"/>
      <c r="K29" s="213"/>
      <c r="L29" s="402"/>
      <c r="M29" s="24"/>
      <c r="N29" s="148"/>
    </row>
    <row r="30" spans="1:14" s="3" customFormat="1" ht="15.75" x14ac:dyDescent="0.2">
      <c r="A30" s="545" t="s">
        <v>344</v>
      </c>
      <c r="B30" s="258"/>
      <c r="C30" s="258"/>
      <c r="D30" s="166"/>
      <c r="E30" s="11"/>
      <c r="F30" s="267"/>
      <c r="G30" s="267"/>
      <c r="H30" s="166"/>
      <c r="I30" s="391"/>
      <c r="J30" s="267"/>
      <c r="K30" s="267"/>
      <c r="L30" s="166"/>
      <c r="M30" s="23"/>
      <c r="N30" s="148"/>
    </row>
    <row r="31" spans="1:14" s="3" customFormat="1" ht="15.75" x14ac:dyDescent="0.2">
      <c r="A31" s="545" t="s">
        <v>345</v>
      </c>
      <c r="B31" s="258"/>
      <c r="C31" s="258"/>
      <c r="D31" s="166"/>
      <c r="E31" s="11"/>
      <c r="F31" s="267"/>
      <c r="G31" s="267"/>
      <c r="H31" s="166"/>
      <c r="I31" s="391"/>
      <c r="J31" s="267"/>
      <c r="K31" s="267"/>
      <c r="L31" s="166"/>
      <c r="M31" s="23"/>
      <c r="N31" s="148"/>
    </row>
    <row r="32" spans="1:14" ht="15.75" x14ac:dyDescent="0.2">
      <c r="A32" s="545" t="s">
        <v>346</v>
      </c>
      <c r="B32" s="258"/>
      <c r="C32" s="258"/>
      <c r="D32" s="166"/>
      <c r="E32" s="11"/>
      <c r="F32" s="267"/>
      <c r="G32" s="267"/>
      <c r="H32" s="166"/>
      <c r="I32" s="391"/>
      <c r="J32" s="267"/>
      <c r="K32" s="267"/>
      <c r="L32" s="166"/>
      <c r="M32" s="23"/>
    </row>
    <row r="33" spans="1:14" ht="15.75" x14ac:dyDescent="0.2">
      <c r="A33" s="545" t="s">
        <v>347</v>
      </c>
      <c r="B33" s="258"/>
      <c r="C33" s="258"/>
      <c r="D33" s="166"/>
      <c r="E33" s="11"/>
      <c r="F33" s="267"/>
      <c r="G33" s="267"/>
      <c r="H33" s="166"/>
      <c r="I33" s="391"/>
      <c r="J33" s="267"/>
      <c r="K33" s="267"/>
      <c r="L33" s="166"/>
      <c r="M33" s="23"/>
    </row>
    <row r="34" spans="1:14" ht="15.75" x14ac:dyDescent="0.2">
      <c r="A34" s="13" t="s">
        <v>342</v>
      </c>
      <c r="B34" s="213"/>
      <c r="C34" s="285"/>
      <c r="D34" s="171"/>
      <c r="E34" s="11"/>
      <c r="F34" s="284"/>
      <c r="G34" s="285"/>
      <c r="H34" s="171"/>
      <c r="I34" s="11"/>
      <c r="J34" s="213"/>
      <c r="K34" s="213"/>
      <c r="L34" s="402"/>
      <c r="M34" s="24"/>
    </row>
    <row r="35" spans="1:14" ht="15.75" x14ac:dyDescent="0.2">
      <c r="A35" s="13" t="s">
        <v>343</v>
      </c>
      <c r="B35" s="213"/>
      <c r="C35" s="285"/>
      <c r="D35" s="171"/>
      <c r="E35" s="11"/>
      <c r="F35" s="284"/>
      <c r="G35" s="285"/>
      <c r="H35" s="171"/>
      <c r="I35" s="11"/>
      <c r="J35" s="213"/>
      <c r="K35" s="213"/>
      <c r="L35" s="402"/>
      <c r="M35" s="24"/>
    </row>
    <row r="36" spans="1:14" ht="15.75" x14ac:dyDescent="0.2">
      <c r="A36" s="12" t="s">
        <v>260</v>
      </c>
      <c r="B36" s="213"/>
      <c r="C36" s="285"/>
      <c r="D36" s="171"/>
      <c r="E36" s="11"/>
      <c r="F36" s="295"/>
      <c r="G36" s="296"/>
      <c r="H36" s="171"/>
      <c r="I36" s="408"/>
      <c r="J36" s="213"/>
      <c r="K36" s="213"/>
      <c r="L36" s="402"/>
      <c r="M36" s="24"/>
    </row>
    <row r="37" spans="1:14" ht="15.75" x14ac:dyDescent="0.2">
      <c r="A37" s="12" t="s">
        <v>349</v>
      </c>
      <c r="B37" s="213"/>
      <c r="C37" s="285"/>
      <c r="D37" s="171"/>
      <c r="E37" s="11"/>
      <c r="F37" s="295"/>
      <c r="G37" s="297"/>
      <c r="H37" s="171"/>
      <c r="I37" s="408"/>
      <c r="J37" s="213"/>
      <c r="K37" s="213"/>
      <c r="L37" s="402"/>
      <c r="M37" s="24"/>
    </row>
    <row r="38" spans="1:14" ht="15.75" x14ac:dyDescent="0.2">
      <c r="A38" s="12" t="s">
        <v>350</v>
      </c>
      <c r="B38" s="213"/>
      <c r="C38" s="285"/>
      <c r="D38" s="171"/>
      <c r="E38" s="24"/>
      <c r="F38" s="295"/>
      <c r="G38" s="296"/>
      <c r="H38" s="171"/>
      <c r="I38" s="408"/>
      <c r="J38" s="213"/>
      <c r="K38" s="213"/>
      <c r="L38" s="402"/>
      <c r="M38" s="24"/>
    </row>
    <row r="39" spans="1:14" ht="15.75" x14ac:dyDescent="0.2">
      <c r="A39" s="18" t="s">
        <v>351</v>
      </c>
      <c r="B39" s="253"/>
      <c r="C39" s="291"/>
      <c r="D39" s="169"/>
      <c r="E39" s="36"/>
      <c r="F39" s="298"/>
      <c r="G39" s="299"/>
      <c r="H39" s="169"/>
      <c r="I39" s="36"/>
      <c r="J39" s="213"/>
      <c r="K39" s="213"/>
      <c r="L39" s="403"/>
      <c r="M39" s="36"/>
    </row>
    <row r="40" spans="1:14" ht="15.75" x14ac:dyDescent="0.25">
      <c r="A40" s="47"/>
      <c r="B40" s="230"/>
      <c r="C40" s="230"/>
      <c r="D40" s="698"/>
      <c r="E40" s="698"/>
      <c r="F40" s="698"/>
      <c r="G40" s="698"/>
      <c r="H40" s="698"/>
      <c r="I40" s="698"/>
      <c r="J40" s="698"/>
      <c r="K40" s="698"/>
      <c r="L40" s="698"/>
      <c r="M40" s="278"/>
    </row>
    <row r="41" spans="1:14" x14ac:dyDescent="0.2">
      <c r="A41" s="155"/>
    </row>
    <row r="42" spans="1:14" ht="15.75" x14ac:dyDescent="0.25">
      <c r="A42" s="147" t="s">
        <v>249</v>
      </c>
      <c r="B42" s="699"/>
      <c r="C42" s="699"/>
      <c r="D42" s="699"/>
      <c r="E42" s="275"/>
      <c r="F42" s="700"/>
      <c r="G42" s="700"/>
      <c r="H42" s="700"/>
      <c r="I42" s="278"/>
      <c r="J42" s="700"/>
      <c r="K42" s="700"/>
      <c r="L42" s="700"/>
      <c r="M42" s="278"/>
    </row>
    <row r="43" spans="1:14" ht="15.75" x14ac:dyDescent="0.25">
      <c r="A43" s="163"/>
      <c r="B43" s="279"/>
      <c r="C43" s="279"/>
      <c r="D43" s="279"/>
      <c r="E43" s="279"/>
      <c r="F43" s="278"/>
      <c r="G43" s="278"/>
      <c r="H43" s="278"/>
      <c r="I43" s="278"/>
      <c r="J43" s="278"/>
      <c r="K43" s="278"/>
      <c r="L43" s="278"/>
      <c r="M43" s="278"/>
    </row>
    <row r="44" spans="1:14" ht="15.75" x14ac:dyDescent="0.25">
      <c r="A44" s="224"/>
      <c r="B44" s="695" t="s">
        <v>0</v>
      </c>
      <c r="C44" s="696"/>
      <c r="D44" s="696"/>
      <c r="E44" s="220"/>
      <c r="F44" s="278"/>
      <c r="G44" s="278"/>
      <c r="H44" s="278"/>
      <c r="I44" s="278"/>
      <c r="J44" s="278"/>
      <c r="K44" s="278"/>
      <c r="L44" s="278"/>
      <c r="M44" s="278"/>
    </row>
    <row r="45" spans="1:14" s="3" customFormat="1" x14ac:dyDescent="0.2">
      <c r="A45" s="140"/>
      <c r="B45" s="152" t="s">
        <v>412</v>
      </c>
      <c r="C45" s="152" t="s">
        <v>413</v>
      </c>
      <c r="D45" s="162" t="s">
        <v>3</v>
      </c>
      <c r="E45" s="162" t="s">
        <v>29</v>
      </c>
      <c r="F45" s="174"/>
      <c r="G45" s="174"/>
      <c r="H45" s="173"/>
      <c r="I45" s="173"/>
      <c r="J45" s="174"/>
      <c r="K45" s="174"/>
      <c r="L45" s="173"/>
      <c r="M45" s="173"/>
      <c r="N45" s="148"/>
    </row>
    <row r="46" spans="1:14" s="3" customFormat="1" x14ac:dyDescent="0.2">
      <c r="A46" s="662"/>
      <c r="B46" s="221"/>
      <c r="C46" s="221"/>
      <c r="D46" s="222" t="s">
        <v>4</v>
      </c>
      <c r="E46" s="156" t="s">
        <v>30</v>
      </c>
      <c r="F46" s="173"/>
      <c r="G46" s="173"/>
      <c r="H46" s="173"/>
      <c r="I46" s="173"/>
      <c r="J46" s="173"/>
      <c r="K46" s="173"/>
      <c r="L46" s="173"/>
      <c r="M46" s="173"/>
      <c r="N46" s="148"/>
    </row>
    <row r="47" spans="1:14" s="3" customFormat="1" ht="15.75" x14ac:dyDescent="0.2">
      <c r="A47" s="14" t="s">
        <v>23</v>
      </c>
      <c r="B47" s="286">
        <v>640210</v>
      </c>
      <c r="C47" s="287">
        <v>822714.65899999999</v>
      </c>
      <c r="D47" s="401">
        <f t="shared" ref="D47:D57" si="3">IF(B47=0, "    ---- ", IF(ABS(ROUND(100/B47*C47-100,1))&lt;999,ROUND(100/B47*C47-100,1),IF(ROUND(100/B47*C47-100,1)&gt;999,999,-999)))</f>
        <v>28.5</v>
      </c>
      <c r="E47" s="11">
        <f>IFERROR(100/'Skjema total MA'!C47*C47,0)</f>
        <v>26.005895771624523</v>
      </c>
      <c r="F47" s="145"/>
      <c r="G47" s="33"/>
      <c r="H47" s="159"/>
      <c r="I47" s="159"/>
      <c r="J47" s="37"/>
      <c r="K47" s="37"/>
      <c r="L47" s="159"/>
      <c r="M47" s="159"/>
      <c r="N47" s="148"/>
    </row>
    <row r="48" spans="1:14" s="3" customFormat="1" ht="15.75" x14ac:dyDescent="0.2">
      <c r="A48" s="38" t="s">
        <v>352</v>
      </c>
      <c r="B48" s="258">
        <v>366710</v>
      </c>
      <c r="C48" s="259">
        <v>515058.91700000002</v>
      </c>
      <c r="D48" s="231">
        <f t="shared" si="3"/>
        <v>40.5</v>
      </c>
      <c r="E48" s="27">
        <f>IFERROR(100/'Skjema total MA'!C48*C48,0)</f>
        <v>30.027847092653776</v>
      </c>
      <c r="F48" s="145"/>
      <c r="G48" s="33"/>
      <c r="H48" s="145"/>
      <c r="I48" s="145"/>
      <c r="J48" s="33"/>
      <c r="K48" s="33"/>
      <c r="L48" s="159"/>
      <c r="M48" s="159"/>
      <c r="N48" s="148"/>
    </row>
    <row r="49" spans="1:14" s="3" customFormat="1" ht="15.75" x14ac:dyDescent="0.2">
      <c r="A49" s="38" t="s">
        <v>353</v>
      </c>
      <c r="B49" s="44">
        <v>273500</v>
      </c>
      <c r="C49" s="264">
        <v>307655.74200000003</v>
      </c>
      <c r="D49" s="231">
        <f>IF(B49=0, "    ---- ", IF(ABS(ROUND(100/B49*C49-100,1))&lt;999,ROUND(100/B49*C49-100,1),IF(ROUND(100/B49*C49-100,1)&gt;999,999,-999)))</f>
        <v>12.5</v>
      </c>
      <c r="E49" s="27">
        <f>IFERROR(100/'Skjema total MA'!C49*C49,0)</f>
        <v>21.242558596162841</v>
      </c>
      <c r="F49" s="145"/>
      <c r="G49" s="33"/>
      <c r="H49" s="145"/>
      <c r="I49" s="145"/>
      <c r="J49" s="37"/>
      <c r="K49" s="37"/>
      <c r="L49" s="159"/>
      <c r="M49" s="159"/>
      <c r="N49" s="148"/>
    </row>
    <row r="50" spans="1:14" s="3" customFormat="1" x14ac:dyDescent="0.2">
      <c r="A50" s="272" t="s">
        <v>6</v>
      </c>
      <c r="B50" s="295"/>
      <c r="C50" s="295"/>
      <c r="D50" s="231"/>
      <c r="E50" s="23"/>
      <c r="F50" s="145"/>
      <c r="G50" s="33"/>
      <c r="H50" s="145"/>
      <c r="I50" s="145"/>
      <c r="J50" s="33"/>
      <c r="K50" s="33"/>
      <c r="L50" s="159"/>
      <c r="M50" s="159"/>
      <c r="N50" s="148"/>
    </row>
    <row r="51" spans="1:14" s="3" customFormat="1" x14ac:dyDescent="0.2">
      <c r="A51" s="272" t="s">
        <v>7</v>
      </c>
      <c r="B51" s="295"/>
      <c r="C51" s="295"/>
      <c r="D51" s="231"/>
      <c r="E51" s="23"/>
      <c r="F51" s="145"/>
      <c r="G51" s="33"/>
      <c r="H51" s="145"/>
      <c r="I51" s="145"/>
      <c r="J51" s="33"/>
      <c r="K51" s="33"/>
      <c r="L51" s="159"/>
      <c r="M51" s="159"/>
      <c r="N51" s="148"/>
    </row>
    <row r="52" spans="1:14" s="3" customFormat="1" x14ac:dyDescent="0.2">
      <c r="A52" s="272" t="s">
        <v>8</v>
      </c>
      <c r="B52" s="295"/>
      <c r="C52" s="295"/>
      <c r="D52" s="231"/>
      <c r="E52" s="23"/>
      <c r="F52" s="145"/>
      <c r="G52" s="33"/>
      <c r="H52" s="145"/>
      <c r="I52" s="145"/>
      <c r="J52" s="33"/>
      <c r="K52" s="33"/>
      <c r="L52" s="159"/>
      <c r="M52" s="159"/>
      <c r="N52" s="148"/>
    </row>
    <row r="53" spans="1:14" s="3" customFormat="1" ht="15.75" x14ac:dyDescent="0.2">
      <c r="A53" s="39" t="s">
        <v>354</v>
      </c>
      <c r="B53" s="286">
        <v>42822</v>
      </c>
      <c r="C53" s="287">
        <v>159728</v>
      </c>
      <c r="D53" s="402">
        <f t="shared" si="3"/>
        <v>273</v>
      </c>
      <c r="E53" s="11">
        <f>IFERROR(100/'Skjema total MA'!C53*C53,0)</f>
        <v>72.719761931356089</v>
      </c>
      <c r="F53" s="145"/>
      <c r="G53" s="33"/>
      <c r="H53" s="145"/>
      <c r="I53" s="145"/>
      <c r="J53" s="33"/>
      <c r="K53" s="33"/>
      <c r="L53" s="159"/>
      <c r="M53" s="159"/>
      <c r="N53" s="148"/>
    </row>
    <row r="54" spans="1:14" s="3" customFormat="1" ht="15.75" x14ac:dyDescent="0.2">
      <c r="A54" s="38" t="s">
        <v>352</v>
      </c>
      <c r="B54" s="258">
        <v>42822</v>
      </c>
      <c r="C54" s="259">
        <v>159728</v>
      </c>
      <c r="D54" s="231">
        <f t="shared" si="3"/>
        <v>273</v>
      </c>
      <c r="E54" s="27">
        <f>IFERROR(100/'Skjema total MA'!C54*C54,0)</f>
        <v>79.550404400126837</v>
      </c>
      <c r="F54" s="145"/>
      <c r="G54" s="33"/>
      <c r="H54" s="145"/>
      <c r="I54" s="145"/>
      <c r="J54" s="33"/>
      <c r="K54" s="33"/>
      <c r="L54" s="159"/>
      <c r="M54" s="159"/>
      <c r="N54" s="148"/>
    </row>
    <row r="55" spans="1:14" s="3" customFormat="1" ht="15.75" x14ac:dyDescent="0.2">
      <c r="A55" s="38" t="s">
        <v>353</v>
      </c>
      <c r="B55" s="258"/>
      <c r="C55" s="259"/>
      <c r="D55" s="231"/>
      <c r="E55" s="27"/>
      <c r="F55" s="145"/>
      <c r="G55" s="33"/>
      <c r="H55" s="145"/>
      <c r="I55" s="145"/>
      <c r="J55" s="33"/>
      <c r="K55" s="33"/>
      <c r="L55" s="159"/>
      <c r="M55" s="159"/>
      <c r="N55" s="148"/>
    </row>
    <row r="56" spans="1:14" s="3" customFormat="1" ht="15.75" x14ac:dyDescent="0.2">
      <c r="A56" s="39" t="s">
        <v>355</v>
      </c>
      <c r="B56" s="286">
        <v>24280</v>
      </c>
      <c r="C56" s="287">
        <v>18327</v>
      </c>
      <c r="D56" s="402">
        <f t="shared" si="3"/>
        <v>-24.5</v>
      </c>
      <c r="E56" s="11">
        <f>IFERROR(100/'Skjema total MA'!C56*C56,0)</f>
        <v>38.842635696324976</v>
      </c>
      <c r="F56" s="145"/>
      <c r="G56" s="33"/>
      <c r="H56" s="145"/>
      <c r="I56" s="145"/>
      <c r="J56" s="33"/>
      <c r="K56" s="33"/>
      <c r="L56" s="159"/>
      <c r="M56" s="159"/>
      <c r="N56" s="148"/>
    </row>
    <row r="57" spans="1:14" s="3" customFormat="1" ht="15.75" x14ac:dyDescent="0.2">
      <c r="A57" s="38" t="s">
        <v>352</v>
      </c>
      <c r="B57" s="258">
        <v>24280</v>
      </c>
      <c r="C57" s="259">
        <v>18327</v>
      </c>
      <c r="D57" s="231">
        <f t="shared" si="3"/>
        <v>-24.5</v>
      </c>
      <c r="E57" s="27">
        <f>IFERROR(100/'Skjema total MA'!C57*C57,0)</f>
        <v>38.842635696324976</v>
      </c>
      <c r="F57" s="145"/>
      <c r="G57" s="33"/>
      <c r="H57" s="145"/>
      <c r="I57" s="145"/>
      <c r="J57" s="33"/>
      <c r="K57" s="33"/>
      <c r="L57" s="159"/>
      <c r="M57" s="159"/>
      <c r="N57" s="148"/>
    </row>
    <row r="58" spans="1:14" s="3" customFormat="1" ht="15.75" x14ac:dyDescent="0.2">
      <c r="A58" s="46" t="s">
        <v>353</v>
      </c>
      <c r="B58" s="260"/>
      <c r="C58" s="261"/>
      <c r="D58" s="232"/>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250</v>
      </c>
      <c r="C61" s="26"/>
      <c r="D61" s="26"/>
      <c r="E61" s="26"/>
      <c r="F61" s="26"/>
      <c r="G61" s="26"/>
      <c r="H61" s="26"/>
      <c r="I61" s="26"/>
      <c r="J61" s="26"/>
      <c r="K61" s="26"/>
      <c r="L61" s="26"/>
      <c r="M61" s="26"/>
    </row>
    <row r="62" spans="1:14" ht="15.75" x14ac:dyDescent="0.25">
      <c r="B62" s="694"/>
      <c r="C62" s="694"/>
      <c r="D62" s="694"/>
      <c r="E62" s="275"/>
      <c r="F62" s="694"/>
      <c r="G62" s="694"/>
      <c r="H62" s="694"/>
      <c r="I62" s="275"/>
      <c r="J62" s="694"/>
      <c r="K62" s="694"/>
      <c r="L62" s="694"/>
      <c r="M62" s="275"/>
    </row>
    <row r="63" spans="1:14" x14ac:dyDescent="0.2">
      <c r="A63" s="144"/>
      <c r="B63" s="695" t="s">
        <v>0</v>
      </c>
      <c r="C63" s="696"/>
      <c r="D63" s="697"/>
      <c r="E63" s="276"/>
      <c r="F63" s="696" t="s">
        <v>1</v>
      </c>
      <c r="G63" s="696"/>
      <c r="H63" s="696"/>
      <c r="I63" s="280"/>
      <c r="J63" s="695" t="s">
        <v>2</v>
      </c>
      <c r="K63" s="696"/>
      <c r="L63" s="696"/>
      <c r="M63" s="280"/>
    </row>
    <row r="64" spans="1:14" x14ac:dyDescent="0.2">
      <c r="A64" s="140"/>
      <c r="B64" s="152" t="s">
        <v>412</v>
      </c>
      <c r="C64" s="152" t="s">
        <v>413</v>
      </c>
      <c r="D64" s="222" t="s">
        <v>3</v>
      </c>
      <c r="E64" s="281" t="s">
        <v>29</v>
      </c>
      <c r="F64" s="152" t="s">
        <v>412</v>
      </c>
      <c r="G64" s="152" t="s">
        <v>413</v>
      </c>
      <c r="H64" s="222" t="s">
        <v>3</v>
      </c>
      <c r="I64" s="281" t="s">
        <v>29</v>
      </c>
      <c r="J64" s="152" t="s">
        <v>412</v>
      </c>
      <c r="K64" s="152" t="s">
        <v>413</v>
      </c>
      <c r="L64" s="222" t="s">
        <v>3</v>
      </c>
      <c r="M64" s="162" t="s">
        <v>29</v>
      </c>
    </row>
    <row r="65" spans="1:14" x14ac:dyDescent="0.2">
      <c r="A65" s="662"/>
      <c r="B65" s="156"/>
      <c r="C65" s="156"/>
      <c r="D65" s="223" t="s">
        <v>4</v>
      </c>
      <c r="E65" s="156" t="s">
        <v>30</v>
      </c>
      <c r="F65" s="161"/>
      <c r="G65" s="161"/>
      <c r="H65" s="222" t="s">
        <v>4</v>
      </c>
      <c r="I65" s="156" t="s">
        <v>30</v>
      </c>
      <c r="J65" s="161"/>
      <c r="K65" s="203"/>
      <c r="L65" s="156" t="s">
        <v>4</v>
      </c>
      <c r="M65" s="156" t="s">
        <v>30</v>
      </c>
    </row>
    <row r="66" spans="1:14" ht="15.75" x14ac:dyDescent="0.2">
      <c r="A66" s="14" t="s">
        <v>23</v>
      </c>
      <c r="B66" s="329"/>
      <c r="C66" s="329"/>
      <c r="D66" s="326"/>
      <c r="E66" s="11"/>
      <c r="F66" s="328"/>
      <c r="G66" s="328"/>
      <c r="H66" s="326"/>
      <c r="I66" s="24"/>
      <c r="J66" s="159"/>
      <c r="K66" s="292"/>
      <c r="L66" s="402"/>
      <c r="M66" s="11"/>
    </row>
    <row r="67" spans="1:14" x14ac:dyDescent="0.2">
      <c r="A67" s="393" t="s">
        <v>9</v>
      </c>
      <c r="B67" s="44"/>
      <c r="C67" s="145"/>
      <c r="D67" s="166"/>
      <c r="E67" s="23"/>
      <c r="F67" s="211"/>
      <c r="G67" s="145"/>
      <c r="H67" s="166"/>
      <c r="I67" s="23"/>
      <c r="J67" s="145"/>
      <c r="K67" s="44"/>
      <c r="L67" s="231"/>
      <c r="M67" s="27"/>
    </row>
    <row r="68" spans="1:14" x14ac:dyDescent="0.2">
      <c r="A68" s="21" t="s">
        <v>10</v>
      </c>
      <c r="B68" s="268"/>
      <c r="C68" s="269"/>
      <c r="D68" s="166"/>
      <c r="E68" s="23"/>
      <c r="F68" s="268"/>
      <c r="G68" s="269"/>
      <c r="H68" s="166"/>
      <c r="I68" s="23"/>
      <c r="J68" s="145"/>
      <c r="K68" s="44"/>
      <c r="L68" s="231"/>
      <c r="M68" s="27"/>
    </row>
    <row r="69" spans="1:14" ht="15.75" x14ac:dyDescent="0.2">
      <c r="A69" s="272" t="s">
        <v>356</v>
      </c>
      <c r="B69" s="295"/>
      <c r="C69" s="295"/>
      <c r="D69" s="166"/>
      <c r="E69" s="23"/>
      <c r="F69" s="295"/>
      <c r="G69" s="295"/>
      <c r="H69" s="166"/>
      <c r="I69" s="23"/>
      <c r="J69" s="295"/>
      <c r="K69" s="295"/>
      <c r="L69" s="166"/>
      <c r="M69" s="23"/>
    </row>
    <row r="70" spans="1:14" x14ac:dyDescent="0.2">
      <c r="A70" s="272" t="s">
        <v>12</v>
      </c>
      <c r="B70" s="270"/>
      <c r="C70" s="271"/>
      <c r="D70" s="166"/>
      <c r="E70" s="23"/>
      <c r="F70" s="270"/>
      <c r="G70" s="271"/>
      <c r="H70" s="166"/>
      <c r="I70" s="23"/>
      <c r="J70" s="270"/>
      <c r="K70" s="271"/>
      <c r="L70" s="166"/>
      <c r="M70" s="23"/>
    </row>
    <row r="71" spans="1:14" x14ac:dyDescent="0.2">
      <c r="A71" s="272" t="s">
        <v>13</v>
      </c>
      <c r="B71" s="212"/>
      <c r="C71" s="266"/>
      <c r="D71" s="166"/>
      <c r="E71" s="23"/>
      <c r="F71" s="212"/>
      <c r="G71" s="266"/>
      <c r="H71" s="166"/>
      <c r="I71" s="23"/>
      <c r="J71" s="212"/>
      <c r="K71" s="266"/>
      <c r="L71" s="166"/>
      <c r="M71" s="23"/>
    </row>
    <row r="72" spans="1:14" ht="15.75" x14ac:dyDescent="0.2">
      <c r="A72" s="272" t="s">
        <v>357</v>
      </c>
      <c r="B72" s="295"/>
      <c r="C72" s="295"/>
      <c r="D72" s="166"/>
      <c r="E72" s="23"/>
      <c r="F72" s="295"/>
      <c r="G72" s="295"/>
      <c r="H72" s="166"/>
      <c r="I72" s="23"/>
      <c r="J72" s="295"/>
      <c r="K72" s="295"/>
      <c r="L72" s="166"/>
      <c r="M72" s="23"/>
    </row>
    <row r="73" spans="1:14" x14ac:dyDescent="0.2">
      <c r="A73" s="272" t="s">
        <v>12</v>
      </c>
      <c r="B73" s="212"/>
      <c r="C73" s="266"/>
      <c r="D73" s="166"/>
      <c r="E73" s="23"/>
      <c r="F73" s="212"/>
      <c r="G73" s="266"/>
      <c r="H73" s="166"/>
      <c r="I73" s="23"/>
      <c r="J73" s="212"/>
      <c r="K73" s="266"/>
      <c r="L73" s="166"/>
      <c r="M73" s="23"/>
    </row>
    <row r="74" spans="1:14" s="3" customFormat="1" x14ac:dyDescent="0.2">
      <c r="A74" s="272" t="s">
        <v>13</v>
      </c>
      <c r="B74" s="212"/>
      <c r="C74" s="266"/>
      <c r="D74" s="166"/>
      <c r="E74" s="23"/>
      <c r="F74" s="212"/>
      <c r="G74" s="266"/>
      <c r="H74" s="166"/>
      <c r="I74" s="23"/>
      <c r="J74" s="212"/>
      <c r="K74" s="266"/>
      <c r="L74" s="166"/>
      <c r="M74" s="23"/>
      <c r="N74" s="148"/>
    </row>
    <row r="75" spans="1:14" s="3" customFormat="1" x14ac:dyDescent="0.2">
      <c r="A75" s="21" t="s">
        <v>326</v>
      </c>
      <c r="B75" s="211"/>
      <c r="C75" s="145"/>
      <c r="D75" s="166"/>
      <c r="E75" s="23"/>
      <c r="F75" s="211"/>
      <c r="G75" s="145"/>
      <c r="H75" s="166"/>
      <c r="I75" s="23"/>
      <c r="J75" s="145"/>
      <c r="K75" s="44"/>
      <c r="L75" s="231"/>
      <c r="M75" s="27"/>
      <c r="N75" s="148"/>
    </row>
    <row r="76" spans="1:14" s="3" customFormat="1" x14ac:dyDescent="0.2">
      <c r="A76" s="21" t="s">
        <v>325</v>
      </c>
      <c r="B76" s="211"/>
      <c r="C76" s="145"/>
      <c r="D76" s="166"/>
      <c r="E76" s="23"/>
      <c r="F76" s="211"/>
      <c r="G76" s="145"/>
      <c r="H76" s="166"/>
      <c r="I76" s="23"/>
      <c r="J76" s="145"/>
      <c r="K76" s="44"/>
      <c r="L76" s="231"/>
      <c r="M76" s="27"/>
      <c r="N76" s="148"/>
    </row>
    <row r="77" spans="1:14" ht="15.75" x14ac:dyDescent="0.2">
      <c r="A77" s="21" t="s">
        <v>358</v>
      </c>
      <c r="B77" s="211"/>
      <c r="C77" s="211"/>
      <c r="D77" s="166"/>
      <c r="E77" s="23"/>
      <c r="F77" s="211"/>
      <c r="G77" s="145"/>
      <c r="H77" s="166"/>
      <c r="I77" s="23"/>
      <c r="J77" s="145"/>
      <c r="K77" s="44"/>
      <c r="L77" s="231"/>
      <c r="M77" s="27"/>
    </row>
    <row r="78" spans="1:14" x14ac:dyDescent="0.2">
      <c r="A78" s="21" t="s">
        <v>9</v>
      </c>
      <c r="B78" s="211"/>
      <c r="C78" s="145"/>
      <c r="D78" s="166"/>
      <c r="E78" s="23"/>
      <c r="F78" s="211"/>
      <c r="G78" s="145"/>
      <c r="H78" s="166"/>
      <c r="I78" s="23"/>
      <c r="J78" s="145"/>
      <c r="K78" s="44"/>
      <c r="L78" s="231"/>
      <c r="M78" s="27"/>
    </row>
    <row r="79" spans="1:14" x14ac:dyDescent="0.2">
      <c r="A79" s="38" t="s">
        <v>398</v>
      </c>
      <c r="B79" s="268"/>
      <c r="C79" s="269"/>
      <c r="D79" s="166"/>
      <c r="E79" s="23"/>
      <c r="F79" s="268"/>
      <c r="G79" s="269"/>
      <c r="H79" s="166"/>
      <c r="I79" s="23"/>
      <c r="J79" s="145"/>
      <c r="K79" s="44"/>
      <c r="L79" s="231"/>
      <c r="M79" s="27"/>
    </row>
    <row r="80" spans="1:14" ht="15.75" x14ac:dyDescent="0.2">
      <c r="A80" s="272" t="s">
        <v>356</v>
      </c>
      <c r="B80" s="295"/>
      <c r="C80" s="295"/>
      <c r="D80" s="166"/>
      <c r="E80" s="23"/>
      <c r="F80" s="295"/>
      <c r="G80" s="295"/>
      <c r="H80" s="166"/>
      <c r="I80" s="23"/>
      <c r="J80" s="295"/>
      <c r="K80" s="295"/>
      <c r="L80" s="166"/>
      <c r="M80" s="23"/>
    </row>
    <row r="81" spans="1:13" x14ac:dyDescent="0.2">
      <c r="A81" s="272" t="s">
        <v>12</v>
      </c>
      <c r="B81" s="295"/>
      <c r="C81" s="295"/>
      <c r="D81" s="166"/>
      <c r="E81" s="23"/>
      <c r="F81" s="270"/>
      <c r="G81" s="271"/>
      <c r="H81" s="166"/>
      <c r="I81" s="23"/>
      <c r="J81" s="270"/>
      <c r="K81" s="271"/>
      <c r="L81" s="166"/>
      <c r="M81" s="23"/>
    </row>
    <row r="82" spans="1:13" x14ac:dyDescent="0.2">
      <c r="A82" s="272" t="s">
        <v>13</v>
      </c>
      <c r="B82" s="295"/>
      <c r="C82" s="295"/>
      <c r="D82" s="166"/>
      <c r="E82" s="23"/>
      <c r="F82" s="212"/>
      <c r="G82" s="266"/>
      <c r="H82" s="166"/>
      <c r="I82" s="23"/>
      <c r="J82" s="212"/>
      <c r="K82" s="266"/>
      <c r="L82" s="166"/>
      <c r="M82" s="23"/>
    </row>
    <row r="83" spans="1:13" ht="15.75" x14ac:dyDescent="0.2">
      <c r="A83" s="272" t="s">
        <v>357</v>
      </c>
      <c r="B83" s="295"/>
      <c r="C83" s="295"/>
      <c r="D83" s="166"/>
      <c r="E83" s="23"/>
      <c r="F83" s="295"/>
      <c r="G83" s="295"/>
      <c r="H83" s="166"/>
      <c r="I83" s="23"/>
      <c r="J83" s="295"/>
      <c r="K83" s="295"/>
      <c r="L83" s="166"/>
      <c r="M83" s="23"/>
    </row>
    <row r="84" spans="1:13" x14ac:dyDescent="0.2">
      <c r="A84" s="272" t="s">
        <v>12</v>
      </c>
      <c r="B84" s="212"/>
      <c r="C84" s="266"/>
      <c r="D84" s="166"/>
      <c r="E84" s="23"/>
      <c r="F84" s="212"/>
      <c r="G84" s="266"/>
      <c r="H84" s="166"/>
      <c r="I84" s="23"/>
      <c r="J84" s="212"/>
      <c r="K84" s="266"/>
      <c r="L84" s="166"/>
      <c r="M84" s="23"/>
    </row>
    <row r="85" spans="1:13" x14ac:dyDescent="0.2">
      <c r="A85" s="272" t="s">
        <v>13</v>
      </c>
      <c r="B85" s="212"/>
      <c r="C85" s="266"/>
      <c r="D85" s="166"/>
      <c r="E85" s="23"/>
      <c r="F85" s="212"/>
      <c r="G85" s="266"/>
      <c r="H85" s="166"/>
      <c r="I85" s="23"/>
      <c r="J85" s="212"/>
      <c r="K85" s="266"/>
      <c r="L85" s="166"/>
      <c r="M85" s="23"/>
    </row>
    <row r="86" spans="1:13" ht="15.75" x14ac:dyDescent="0.2">
      <c r="A86" s="21" t="s">
        <v>359</v>
      </c>
      <c r="B86" s="211"/>
      <c r="C86" s="145"/>
      <c r="D86" s="166"/>
      <c r="E86" s="23"/>
      <c r="F86" s="211"/>
      <c r="G86" s="145"/>
      <c r="H86" s="166"/>
      <c r="I86" s="23"/>
      <c r="J86" s="145"/>
      <c r="K86" s="44"/>
      <c r="L86" s="231"/>
      <c r="M86" s="27"/>
    </row>
    <row r="87" spans="1:13" ht="15.75" x14ac:dyDescent="0.2">
      <c r="A87" s="13" t="s">
        <v>341</v>
      </c>
      <c r="B87" s="329"/>
      <c r="C87" s="329"/>
      <c r="D87" s="171"/>
      <c r="E87" s="24"/>
      <c r="F87" s="328"/>
      <c r="G87" s="328"/>
      <c r="H87" s="171"/>
      <c r="I87" s="24"/>
      <c r="J87" s="159"/>
      <c r="K87" s="213"/>
      <c r="L87" s="402"/>
      <c r="M87" s="11"/>
    </row>
    <row r="88" spans="1:13" x14ac:dyDescent="0.2">
      <c r="A88" s="21" t="s">
        <v>9</v>
      </c>
      <c r="B88" s="211"/>
      <c r="C88" s="145"/>
      <c r="D88" s="166"/>
      <c r="E88" s="23"/>
      <c r="F88" s="211"/>
      <c r="G88" s="145"/>
      <c r="H88" s="166"/>
      <c r="I88" s="23"/>
      <c r="J88" s="145"/>
      <c r="K88" s="44"/>
      <c r="L88" s="231"/>
      <c r="M88" s="27"/>
    </row>
    <row r="89" spans="1:13" x14ac:dyDescent="0.2">
      <c r="A89" s="21" t="s">
        <v>10</v>
      </c>
      <c r="B89" s="211"/>
      <c r="C89" s="145"/>
      <c r="D89" s="166"/>
      <c r="E89" s="23"/>
      <c r="F89" s="211"/>
      <c r="G89" s="145"/>
      <c r="H89" s="166"/>
      <c r="I89" s="23"/>
      <c r="J89" s="145"/>
      <c r="K89" s="44"/>
      <c r="L89" s="231"/>
      <c r="M89" s="27"/>
    </row>
    <row r="90" spans="1:13" ht="15.75" x14ac:dyDescent="0.2">
      <c r="A90" s="272" t="s">
        <v>356</v>
      </c>
      <c r="B90" s="295"/>
      <c r="C90" s="295"/>
      <c r="D90" s="166"/>
      <c r="E90" s="23"/>
      <c r="F90" s="295"/>
      <c r="G90" s="295"/>
      <c r="H90" s="166"/>
      <c r="I90" s="23"/>
      <c r="J90" s="295"/>
      <c r="K90" s="295"/>
      <c r="L90" s="166"/>
      <c r="M90" s="23"/>
    </row>
    <row r="91" spans="1:13" x14ac:dyDescent="0.2">
      <c r="A91" s="272" t="s">
        <v>12</v>
      </c>
      <c r="B91" s="295"/>
      <c r="C91" s="295"/>
      <c r="D91" s="166"/>
      <c r="E91" s="23"/>
      <c r="F91" s="270"/>
      <c r="G91" s="271"/>
      <c r="H91" s="166"/>
      <c r="I91" s="23"/>
      <c r="J91" s="270"/>
      <c r="K91" s="271"/>
      <c r="L91" s="166"/>
      <c r="M91" s="23"/>
    </row>
    <row r="92" spans="1:13" x14ac:dyDescent="0.2">
      <c r="A92" s="272" t="s">
        <v>13</v>
      </c>
      <c r="B92" s="295"/>
      <c r="C92" s="295"/>
      <c r="D92" s="166"/>
      <c r="E92" s="23"/>
      <c r="F92" s="212"/>
      <c r="G92" s="266"/>
      <c r="H92" s="166"/>
      <c r="I92" s="23"/>
      <c r="J92" s="212"/>
      <c r="K92" s="266"/>
      <c r="L92" s="166"/>
      <c r="M92" s="23"/>
    </row>
    <row r="93" spans="1:13" ht="15.75" x14ac:dyDescent="0.2">
      <c r="A93" s="272" t="s">
        <v>357</v>
      </c>
      <c r="B93" s="295"/>
      <c r="C93" s="295"/>
      <c r="D93" s="166"/>
      <c r="E93" s="23"/>
      <c r="F93" s="295"/>
      <c r="G93" s="295"/>
      <c r="H93" s="166"/>
      <c r="I93" s="23"/>
      <c r="J93" s="295"/>
      <c r="K93" s="295"/>
      <c r="L93" s="166"/>
      <c r="M93" s="23"/>
    </row>
    <row r="94" spans="1:13" x14ac:dyDescent="0.2">
      <c r="A94" s="272" t="s">
        <v>12</v>
      </c>
      <c r="B94" s="212"/>
      <c r="C94" s="266"/>
      <c r="D94" s="166"/>
      <c r="E94" s="23"/>
      <c r="F94" s="212"/>
      <c r="G94" s="266"/>
      <c r="H94" s="166"/>
      <c r="I94" s="23"/>
      <c r="J94" s="212"/>
      <c r="K94" s="266"/>
      <c r="L94" s="166"/>
      <c r="M94" s="23"/>
    </row>
    <row r="95" spans="1:13" x14ac:dyDescent="0.2">
      <c r="A95" s="272" t="s">
        <v>13</v>
      </c>
      <c r="B95" s="212"/>
      <c r="C95" s="266"/>
      <c r="D95" s="166"/>
      <c r="E95" s="23"/>
      <c r="F95" s="212"/>
      <c r="G95" s="266"/>
      <c r="H95" s="166"/>
      <c r="I95" s="23"/>
      <c r="J95" s="212"/>
      <c r="K95" s="266"/>
      <c r="L95" s="166"/>
      <c r="M95" s="23"/>
    </row>
    <row r="96" spans="1:13" x14ac:dyDescent="0.2">
      <c r="A96" s="21" t="s">
        <v>324</v>
      </c>
      <c r="B96" s="211"/>
      <c r="C96" s="145"/>
      <c r="D96" s="166"/>
      <c r="E96" s="23"/>
      <c r="F96" s="211"/>
      <c r="G96" s="145"/>
      <c r="H96" s="166"/>
      <c r="I96" s="23"/>
      <c r="J96" s="145"/>
      <c r="K96" s="44"/>
      <c r="L96" s="231"/>
      <c r="M96" s="27"/>
    </row>
    <row r="97" spans="1:13" x14ac:dyDescent="0.2">
      <c r="A97" s="21" t="s">
        <v>323</v>
      </c>
      <c r="B97" s="211"/>
      <c r="C97" s="145"/>
      <c r="D97" s="166"/>
      <c r="E97" s="23"/>
      <c r="F97" s="211"/>
      <c r="G97" s="145"/>
      <c r="H97" s="166"/>
      <c r="I97" s="23"/>
      <c r="J97" s="145"/>
      <c r="K97" s="44"/>
      <c r="L97" s="231"/>
      <c r="M97" s="27"/>
    </row>
    <row r="98" spans="1:13" ht="15.75" x14ac:dyDescent="0.2">
      <c r="A98" s="21" t="s">
        <v>358</v>
      </c>
      <c r="B98" s="211"/>
      <c r="C98" s="211"/>
      <c r="D98" s="166"/>
      <c r="E98" s="23"/>
      <c r="F98" s="268"/>
      <c r="G98" s="268"/>
      <c r="H98" s="166"/>
      <c r="I98" s="23"/>
      <c r="J98" s="145"/>
      <c r="K98" s="44"/>
      <c r="L98" s="231"/>
      <c r="M98" s="27"/>
    </row>
    <row r="99" spans="1:13" x14ac:dyDescent="0.2">
      <c r="A99" s="21" t="s">
        <v>9</v>
      </c>
      <c r="B99" s="268"/>
      <c r="C99" s="269"/>
      <c r="D99" s="166"/>
      <c r="E99" s="23"/>
      <c r="F99" s="211"/>
      <c r="G99" s="145"/>
      <c r="H99" s="166"/>
      <c r="I99" s="23"/>
      <c r="J99" s="145"/>
      <c r="K99" s="44"/>
      <c r="L99" s="231"/>
      <c r="M99" s="27"/>
    </row>
    <row r="100" spans="1:13" ht="15.75" x14ac:dyDescent="0.2">
      <c r="A100" s="38" t="s">
        <v>399</v>
      </c>
      <c r="B100" s="268"/>
      <c r="C100" s="269"/>
      <c r="D100" s="166"/>
      <c r="E100" s="23"/>
      <c r="F100" s="211"/>
      <c r="G100" s="211"/>
      <c r="H100" s="166"/>
      <c r="I100" s="23"/>
      <c r="J100" s="145"/>
      <c r="K100" s="44"/>
      <c r="L100" s="231"/>
      <c r="M100" s="27"/>
    </row>
    <row r="101" spans="1:13" ht="15.75" x14ac:dyDescent="0.2">
      <c r="A101" s="38" t="s">
        <v>400</v>
      </c>
      <c r="B101" s="268"/>
      <c r="C101" s="268"/>
      <c r="D101" s="166"/>
      <c r="E101" s="23"/>
      <c r="F101" s="268"/>
      <c r="G101" s="268"/>
      <c r="H101" s="166"/>
      <c r="I101" s="23"/>
      <c r="J101" s="145"/>
      <c r="K101" s="44"/>
      <c r="L101" s="231"/>
      <c r="M101" s="27"/>
    </row>
    <row r="102" spans="1:13" ht="15.75" x14ac:dyDescent="0.2">
      <c r="A102" s="272" t="s">
        <v>356</v>
      </c>
      <c r="B102" s="295"/>
      <c r="C102" s="295"/>
      <c r="D102" s="166"/>
      <c r="E102" s="23"/>
      <c r="F102" s="295"/>
      <c r="G102" s="295"/>
      <c r="H102" s="166"/>
      <c r="I102" s="23"/>
      <c r="J102" s="295"/>
      <c r="K102" s="295"/>
      <c r="L102" s="166"/>
      <c r="M102" s="23"/>
    </row>
    <row r="103" spans="1:13" x14ac:dyDescent="0.2">
      <c r="A103" s="272" t="s">
        <v>12</v>
      </c>
      <c r="B103" s="295"/>
      <c r="C103" s="295"/>
      <c r="D103" s="166"/>
      <c r="E103" s="23"/>
      <c r="F103" s="270"/>
      <c r="G103" s="271"/>
      <c r="H103" s="166"/>
      <c r="I103" s="23"/>
      <c r="J103" s="270"/>
      <c r="K103" s="271"/>
      <c r="L103" s="166"/>
      <c r="M103" s="23"/>
    </row>
    <row r="104" spans="1:13" x14ac:dyDescent="0.2">
      <c r="A104" s="272" t="s">
        <v>13</v>
      </c>
      <c r="B104" s="295"/>
      <c r="C104" s="295"/>
      <c r="D104" s="166"/>
      <c r="E104" s="23"/>
      <c r="F104" s="212"/>
      <c r="G104" s="266"/>
      <c r="H104" s="166"/>
      <c r="I104" s="23"/>
      <c r="J104" s="212"/>
      <c r="K104" s="266"/>
      <c r="L104" s="166"/>
      <c r="M104" s="23"/>
    </row>
    <row r="105" spans="1:13" ht="15.75" x14ac:dyDescent="0.2">
      <c r="A105" s="272" t="s">
        <v>357</v>
      </c>
      <c r="B105" s="295"/>
      <c r="C105" s="295"/>
      <c r="D105" s="166"/>
      <c r="E105" s="23"/>
      <c r="F105" s="295"/>
      <c r="G105" s="295"/>
      <c r="H105" s="166"/>
      <c r="I105" s="23"/>
      <c r="J105" s="295"/>
      <c r="K105" s="295"/>
      <c r="L105" s="166"/>
      <c r="M105" s="23"/>
    </row>
    <row r="106" spans="1:13" x14ac:dyDescent="0.2">
      <c r="A106" s="272" t="s">
        <v>12</v>
      </c>
      <c r="B106" s="212"/>
      <c r="C106" s="266"/>
      <c r="D106" s="166"/>
      <c r="E106" s="23"/>
      <c r="F106" s="212"/>
      <c r="G106" s="266"/>
      <c r="H106" s="166"/>
      <c r="I106" s="23"/>
      <c r="J106" s="212"/>
      <c r="K106" s="266"/>
      <c r="L106" s="166"/>
      <c r="M106" s="23"/>
    </row>
    <row r="107" spans="1:13" x14ac:dyDescent="0.2">
      <c r="A107" s="272" t="s">
        <v>13</v>
      </c>
      <c r="B107" s="212"/>
      <c r="C107" s="266"/>
      <c r="D107" s="166"/>
      <c r="E107" s="23"/>
      <c r="F107" s="212"/>
      <c r="G107" s="266"/>
      <c r="H107" s="166"/>
      <c r="I107" s="23"/>
      <c r="J107" s="212"/>
      <c r="K107" s="266"/>
      <c r="L107" s="166"/>
      <c r="M107" s="23"/>
    </row>
    <row r="108" spans="1:13" ht="15.75" x14ac:dyDescent="0.2">
      <c r="A108" s="21" t="s">
        <v>359</v>
      </c>
      <c r="B108" s="211"/>
      <c r="C108" s="145"/>
      <c r="D108" s="166"/>
      <c r="E108" s="23"/>
      <c r="F108" s="211"/>
      <c r="G108" s="145"/>
      <c r="H108" s="166"/>
      <c r="I108" s="23"/>
      <c r="J108" s="145"/>
      <c r="K108" s="44"/>
      <c r="L108" s="231"/>
      <c r="M108" s="27"/>
    </row>
    <row r="109" spans="1:13" ht="15.75" x14ac:dyDescent="0.2">
      <c r="A109" s="21" t="s">
        <v>360</v>
      </c>
      <c r="B109" s="211"/>
      <c r="C109" s="211"/>
      <c r="D109" s="166"/>
      <c r="E109" s="23"/>
      <c r="F109" s="211"/>
      <c r="G109" s="211"/>
      <c r="H109" s="166"/>
      <c r="I109" s="23"/>
      <c r="J109" s="145"/>
      <c r="K109" s="44"/>
      <c r="L109" s="231"/>
      <c r="M109" s="27"/>
    </row>
    <row r="110" spans="1:13" ht="15.75" x14ac:dyDescent="0.2">
      <c r="A110" s="38" t="s">
        <v>416</v>
      </c>
      <c r="B110" s="211"/>
      <c r="C110" s="211"/>
      <c r="D110" s="166"/>
      <c r="E110" s="23"/>
      <c r="F110" s="211"/>
      <c r="G110" s="211"/>
      <c r="H110" s="166"/>
      <c r="I110" s="23"/>
      <c r="J110" s="145"/>
      <c r="K110" s="44"/>
      <c r="L110" s="231"/>
      <c r="M110" s="27"/>
    </row>
    <row r="111" spans="1:13" ht="15.75" x14ac:dyDescent="0.2">
      <c r="A111" s="21" t="s">
        <v>362</v>
      </c>
      <c r="B111" s="211"/>
      <c r="C111" s="211"/>
      <c r="D111" s="166"/>
      <c r="E111" s="23"/>
      <c r="F111" s="211"/>
      <c r="G111" s="211"/>
      <c r="H111" s="166"/>
      <c r="I111" s="23"/>
      <c r="J111" s="145"/>
      <c r="K111" s="44"/>
      <c r="L111" s="231"/>
      <c r="M111" s="27"/>
    </row>
    <row r="112" spans="1:13" ht="15.75" x14ac:dyDescent="0.2">
      <c r="A112" s="13" t="s">
        <v>342</v>
      </c>
      <c r="B112" s="284"/>
      <c r="C112" s="159"/>
      <c r="D112" s="171"/>
      <c r="E112" s="24"/>
      <c r="F112" s="284"/>
      <c r="G112" s="159"/>
      <c r="H112" s="171"/>
      <c r="I112" s="24"/>
      <c r="J112" s="159"/>
      <c r="K112" s="213"/>
      <c r="L112" s="402"/>
      <c r="M112" s="11"/>
    </row>
    <row r="113" spans="1:14" x14ac:dyDescent="0.2">
      <c r="A113" s="21" t="s">
        <v>9</v>
      </c>
      <c r="B113" s="211"/>
      <c r="C113" s="145"/>
      <c r="D113" s="166"/>
      <c r="E113" s="23"/>
      <c r="F113" s="211"/>
      <c r="G113" s="145"/>
      <c r="H113" s="166"/>
      <c r="I113" s="23"/>
      <c r="J113" s="145"/>
      <c r="K113" s="44"/>
      <c r="L113" s="231"/>
      <c r="M113" s="27"/>
    </row>
    <row r="114" spans="1:14" x14ac:dyDescent="0.2">
      <c r="A114" s="21" t="s">
        <v>10</v>
      </c>
      <c r="B114" s="211"/>
      <c r="C114" s="145"/>
      <c r="D114" s="166"/>
      <c r="E114" s="23"/>
      <c r="F114" s="211"/>
      <c r="G114" s="145"/>
      <c r="H114" s="166"/>
      <c r="I114" s="23"/>
      <c r="J114" s="145"/>
      <c r="K114" s="44"/>
      <c r="L114" s="231"/>
      <c r="M114" s="27"/>
    </row>
    <row r="115" spans="1:14" x14ac:dyDescent="0.2">
      <c r="A115" s="21" t="s">
        <v>26</v>
      </c>
      <c r="B115" s="211"/>
      <c r="C115" s="145"/>
      <c r="D115" s="166"/>
      <c r="E115" s="23"/>
      <c r="F115" s="211"/>
      <c r="G115" s="145"/>
      <c r="H115" s="166"/>
      <c r="I115" s="23"/>
      <c r="J115" s="145"/>
      <c r="K115" s="44"/>
      <c r="L115" s="231"/>
      <c r="M115" s="27"/>
    </row>
    <row r="116" spans="1:14" x14ac:dyDescent="0.2">
      <c r="A116" s="272" t="s">
        <v>15</v>
      </c>
      <c r="B116" s="258"/>
      <c r="C116" s="258"/>
      <c r="D116" s="166"/>
      <c r="E116" s="23"/>
      <c r="F116" s="665"/>
      <c r="G116" s="258"/>
      <c r="H116" s="166"/>
      <c r="I116" s="23"/>
      <c r="J116" s="667"/>
      <c r="K116" s="267"/>
      <c r="L116" s="166"/>
      <c r="M116" s="23"/>
    </row>
    <row r="117" spans="1:14" ht="15.75" x14ac:dyDescent="0.2">
      <c r="A117" s="21" t="s">
        <v>363</v>
      </c>
      <c r="B117" s="211"/>
      <c r="C117" s="211"/>
      <c r="D117" s="166"/>
      <c r="E117" s="23"/>
      <c r="F117" s="211"/>
      <c r="G117" s="211"/>
      <c r="H117" s="166"/>
      <c r="I117" s="23"/>
      <c r="J117" s="145"/>
      <c r="K117" s="44"/>
      <c r="L117" s="231"/>
      <c r="M117" s="27"/>
    </row>
    <row r="118" spans="1:14" ht="15.75" x14ac:dyDescent="0.2">
      <c r="A118" s="21" t="s">
        <v>364</v>
      </c>
      <c r="B118" s="211"/>
      <c r="C118" s="211"/>
      <c r="D118" s="166"/>
      <c r="E118" s="23"/>
      <c r="F118" s="211"/>
      <c r="G118" s="211"/>
      <c r="H118" s="166"/>
      <c r="I118" s="23"/>
      <c r="J118" s="145"/>
      <c r="K118" s="44"/>
      <c r="L118" s="231"/>
      <c r="M118" s="27"/>
    </row>
    <row r="119" spans="1:14" ht="15.75" x14ac:dyDescent="0.2">
      <c r="A119" s="21" t="s">
        <v>362</v>
      </c>
      <c r="B119" s="211"/>
      <c r="C119" s="211"/>
      <c r="D119" s="166"/>
      <c r="E119" s="23"/>
      <c r="F119" s="211"/>
      <c r="G119" s="211"/>
      <c r="H119" s="166"/>
      <c r="I119" s="23"/>
      <c r="J119" s="145"/>
      <c r="K119" s="44"/>
      <c r="L119" s="231"/>
      <c r="M119" s="27"/>
    </row>
    <row r="120" spans="1:14" ht="15.75" x14ac:dyDescent="0.2">
      <c r="A120" s="13" t="s">
        <v>343</v>
      </c>
      <c r="B120" s="284"/>
      <c r="C120" s="159"/>
      <c r="D120" s="171"/>
      <c r="E120" s="24"/>
      <c r="F120" s="284"/>
      <c r="G120" s="159"/>
      <c r="H120" s="171"/>
      <c r="I120" s="24"/>
      <c r="J120" s="159"/>
      <c r="K120" s="213"/>
      <c r="L120" s="402"/>
      <c r="M120" s="11"/>
    </row>
    <row r="121" spans="1:14" x14ac:dyDescent="0.2">
      <c r="A121" s="21" t="s">
        <v>9</v>
      </c>
      <c r="B121" s="211"/>
      <c r="C121" s="145"/>
      <c r="D121" s="166"/>
      <c r="E121" s="23"/>
      <c r="F121" s="211"/>
      <c r="G121" s="145"/>
      <c r="H121" s="166"/>
      <c r="I121" s="23"/>
      <c r="J121" s="145"/>
      <c r="K121" s="44"/>
      <c r="L121" s="231"/>
      <c r="M121" s="27"/>
    </row>
    <row r="122" spans="1:14" x14ac:dyDescent="0.2">
      <c r="A122" s="21" t="s">
        <v>10</v>
      </c>
      <c r="B122" s="211"/>
      <c r="C122" s="145"/>
      <c r="D122" s="166"/>
      <c r="E122" s="23"/>
      <c r="F122" s="211"/>
      <c r="G122" s="145"/>
      <c r="H122" s="166"/>
      <c r="I122" s="23"/>
      <c r="J122" s="145"/>
      <c r="K122" s="44"/>
      <c r="L122" s="231"/>
      <c r="M122" s="27"/>
    </row>
    <row r="123" spans="1:14" x14ac:dyDescent="0.2">
      <c r="A123" s="21" t="s">
        <v>26</v>
      </c>
      <c r="B123" s="211"/>
      <c r="C123" s="145"/>
      <c r="D123" s="166"/>
      <c r="E123" s="23"/>
      <c r="F123" s="211"/>
      <c r="G123" s="145"/>
      <c r="H123" s="166"/>
      <c r="I123" s="23"/>
      <c r="J123" s="145"/>
      <c r="K123" s="44"/>
      <c r="L123" s="231"/>
      <c r="M123" s="27"/>
    </row>
    <row r="124" spans="1:14" x14ac:dyDescent="0.2">
      <c r="A124" s="272" t="s">
        <v>14</v>
      </c>
      <c r="B124" s="258"/>
      <c r="C124" s="258"/>
      <c r="D124" s="166"/>
      <c r="E124" s="23"/>
      <c r="F124" s="665"/>
      <c r="G124" s="258"/>
      <c r="H124" s="166"/>
      <c r="I124" s="23"/>
      <c r="J124" s="667"/>
      <c r="K124" s="267"/>
      <c r="L124" s="166"/>
      <c r="M124" s="23"/>
    </row>
    <row r="125" spans="1:14" ht="15.75" x14ac:dyDescent="0.2">
      <c r="A125" s="21" t="s">
        <v>369</v>
      </c>
      <c r="B125" s="211"/>
      <c r="C125" s="211"/>
      <c r="D125" s="166"/>
      <c r="E125" s="23"/>
      <c r="F125" s="211"/>
      <c r="G125" s="211"/>
      <c r="H125" s="166"/>
      <c r="I125" s="23"/>
      <c r="J125" s="145"/>
      <c r="K125" s="44"/>
      <c r="L125" s="231"/>
      <c r="M125" s="27"/>
    </row>
    <row r="126" spans="1:14" ht="15.75" x14ac:dyDescent="0.2">
      <c r="A126" s="21" t="s">
        <v>361</v>
      </c>
      <c r="B126" s="211"/>
      <c r="C126" s="211"/>
      <c r="D126" s="166"/>
      <c r="E126" s="23"/>
      <c r="F126" s="211"/>
      <c r="G126" s="211"/>
      <c r="H126" s="166"/>
      <c r="I126" s="23"/>
      <c r="J126" s="145"/>
      <c r="K126" s="44"/>
      <c r="L126" s="231"/>
      <c r="M126" s="27"/>
    </row>
    <row r="127" spans="1:14" ht="15.75" x14ac:dyDescent="0.2">
      <c r="A127" s="10" t="s">
        <v>362</v>
      </c>
      <c r="B127" s="45"/>
      <c r="C127" s="45"/>
      <c r="D127" s="167"/>
      <c r="E127" s="22"/>
      <c r="F127" s="666"/>
      <c r="G127" s="45"/>
      <c r="H127" s="167"/>
      <c r="I127" s="22"/>
      <c r="J127" s="668"/>
      <c r="K127" s="45"/>
      <c r="L127" s="232"/>
      <c r="M127" s="22"/>
    </row>
    <row r="128" spans="1:14" x14ac:dyDescent="0.2">
      <c r="A128" s="155"/>
      <c r="L128" s="26"/>
      <c r="M128" s="26"/>
      <c r="N128" s="26"/>
    </row>
    <row r="129" spans="1:14" x14ac:dyDescent="0.2">
      <c r="L129" s="26"/>
      <c r="M129" s="26"/>
      <c r="N129" s="26"/>
    </row>
    <row r="130" spans="1:14" ht="15.75" x14ac:dyDescent="0.25">
      <c r="A130" s="165" t="s">
        <v>27</v>
      </c>
    </row>
    <row r="131" spans="1:14" ht="15.75" x14ac:dyDescent="0.25">
      <c r="B131" s="694"/>
      <c r="C131" s="694"/>
      <c r="D131" s="694"/>
      <c r="E131" s="275"/>
      <c r="F131" s="694"/>
      <c r="G131" s="694"/>
      <c r="H131" s="694"/>
      <c r="I131" s="275"/>
      <c r="J131" s="694"/>
      <c r="K131" s="694"/>
      <c r="L131" s="694"/>
      <c r="M131" s="275"/>
    </row>
    <row r="132" spans="1:14" s="3" customFormat="1" x14ac:dyDescent="0.2">
      <c r="A132" s="144"/>
      <c r="B132" s="695" t="s">
        <v>0</v>
      </c>
      <c r="C132" s="696"/>
      <c r="D132" s="696"/>
      <c r="E132" s="277"/>
      <c r="F132" s="695" t="s">
        <v>1</v>
      </c>
      <c r="G132" s="696"/>
      <c r="H132" s="696"/>
      <c r="I132" s="280"/>
      <c r="J132" s="695" t="s">
        <v>2</v>
      </c>
      <c r="K132" s="696"/>
      <c r="L132" s="696"/>
      <c r="M132" s="280"/>
      <c r="N132" s="148"/>
    </row>
    <row r="133" spans="1:14" s="3" customFormat="1" x14ac:dyDescent="0.2">
      <c r="A133" s="140"/>
      <c r="B133" s="152" t="s">
        <v>412</v>
      </c>
      <c r="C133" s="152" t="s">
        <v>413</v>
      </c>
      <c r="D133" s="222" t="s">
        <v>3</v>
      </c>
      <c r="E133" s="281" t="s">
        <v>29</v>
      </c>
      <c r="F133" s="152" t="s">
        <v>412</v>
      </c>
      <c r="G133" s="152" t="s">
        <v>413</v>
      </c>
      <c r="H133" s="203" t="s">
        <v>3</v>
      </c>
      <c r="I133" s="162" t="s">
        <v>29</v>
      </c>
      <c r="J133" s="152" t="s">
        <v>412</v>
      </c>
      <c r="K133" s="152" t="s">
        <v>413</v>
      </c>
      <c r="L133" s="223" t="s">
        <v>3</v>
      </c>
      <c r="M133" s="162" t="s">
        <v>29</v>
      </c>
      <c r="N133" s="148"/>
    </row>
    <row r="134" spans="1:14" s="3" customFormat="1" x14ac:dyDescent="0.2">
      <c r="A134" s="662"/>
      <c r="B134" s="156"/>
      <c r="C134" s="156"/>
      <c r="D134" s="223" t="s">
        <v>4</v>
      </c>
      <c r="E134" s="156" t="s">
        <v>30</v>
      </c>
      <c r="F134" s="161"/>
      <c r="G134" s="161"/>
      <c r="H134" s="203" t="s">
        <v>4</v>
      </c>
      <c r="I134" s="156" t="s">
        <v>30</v>
      </c>
      <c r="J134" s="156"/>
      <c r="K134" s="156"/>
      <c r="L134" s="150" t="s">
        <v>4</v>
      </c>
      <c r="M134" s="156" t="s">
        <v>30</v>
      </c>
      <c r="N134" s="148"/>
    </row>
    <row r="135" spans="1:14" s="3" customFormat="1" ht="15.75" x14ac:dyDescent="0.2">
      <c r="A135" s="14" t="s">
        <v>365</v>
      </c>
      <c r="B135" s="213"/>
      <c r="C135" s="285"/>
      <c r="D135" s="326"/>
      <c r="E135" s="11"/>
      <c r="F135" s="292"/>
      <c r="G135" s="293"/>
      <c r="H135" s="405"/>
      <c r="I135" s="24"/>
      <c r="J135" s="294"/>
      <c r="K135" s="294"/>
      <c r="L135" s="401"/>
      <c r="M135" s="11"/>
      <c r="N135" s="148"/>
    </row>
    <row r="136" spans="1:14" s="3" customFormat="1" ht="15.75" x14ac:dyDescent="0.2">
      <c r="A136" s="13" t="s">
        <v>370</v>
      </c>
      <c r="B136" s="213"/>
      <c r="C136" s="285"/>
      <c r="D136" s="171"/>
      <c r="E136" s="11"/>
      <c r="F136" s="213"/>
      <c r="G136" s="285"/>
      <c r="H136" s="406"/>
      <c r="I136" s="24"/>
      <c r="J136" s="284"/>
      <c r="K136" s="284"/>
      <c r="L136" s="402"/>
      <c r="M136" s="11"/>
      <c r="N136" s="148"/>
    </row>
    <row r="137" spans="1:14" s="3" customFormat="1" ht="15.75" x14ac:dyDescent="0.2">
      <c r="A137" s="13" t="s">
        <v>367</v>
      </c>
      <c r="B137" s="213"/>
      <c r="C137" s="285"/>
      <c r="D137" s="171"/>
      <c r="E137" s="11"/>
      <c r="F137" s="213"/>
      <c r="G137" s="285"/>
      <c r="H137" s="406"/>
      <c r="I137" s="24"/>
      <c r="J137" s="284"/>
      <c r="K137" s="284"/>
      <c r="L137" s="402"/>
      <c r="M137" s="11"/>
      <c r="N137" s="148"/>
    </row>
    <row r="138" spans="1:14" s="3" customFormat="1" ht="15.75" x14ac:dyDescent="0.2">
      <c r="A138" s="41" t="s">
        <v>368</v>
      </c>
      <c r="B138" s="253"/>
      <c r="C138" s="291"/>
      <c r="D138" s="169"/>
      <c r="E138" s="9"/>
      <c r="F138" s="253"/>
      <c r="G138" s="291"/>
      <c r="H138" s="407"/>
      <c r="I138" s="36"/>
      <c r="J138" s="290"/>
      <c r="K138" s="290"/>
      <c r="L138" s="403"/>
      <c r="M138" s="36"/>
      <c r="N138" s="148"/>
    </row>
    <row r="139" spans="1:14" s="3" customFormat="1"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68"/>
      <c r="B141" s="33"/>
      <c r="C141" s="33"/>
      <c r="D141" s="159"/>
      <c r="E141" s="159"/>
      <c r="F141" s="33"/>
      <c r="G141" s="33"/>
      <c r="H141" s="159"/>
      <c r="I141" s="159"/>
      <c r="J141" s="33"/>
      <c r="K141" s="33"/>
      <c r="L141" s="159"/>
      <c r="M141" s="159"/>
      <c r="N141" s="148"/>
    </row>
    <row r="142" spans="1:14" x14ac:dyDescent="0.2">
      <c r="A142" s="146"/>
      <c r="B142" s="146"/>
      <c r="C142" s="146"/>
      <c r="D142" s="146"/>
      <c r="E142" s="146"/>
      <c r="F142" s="146"/>
      <c r="G142" s="146"/>
      <c r="H142" s="146"/>
      <c r="I142" s="146"/>
      <c r="J142" s="146"/>
      <c r="K142" s="146"/>
      <c r="L142" s="146"/>
      <c r="M142" s="146"/>
      <c r="N142" s="146"/>
    </row>
    <row r="143" spans="1:14" ht="15.75" x14ac:dyDescent="0.25">
      <c r="B143" s="142"/>
      <c r="C143" s="142"/>
      <c r="D143" s="142"/>
      <c r="E143" s="142"/>
      <c r="F143" s="142"/>
      <c r="G143" s="142"/>
      <c r="H143" s="142"/>
      <c r="I143" s="142"/>
      <c r="J143" s="142"/>
      <c r="K143" s="142"/>
      <c r="L143" s="142"/>
      <c r="M143" s="142"/>
      <c r="N143" s="142"/>
    </row>
    <row r="144" spans="1:14" ht="15.75" x14ac:dyDescent="0.25">
      <c r="B144" s="157"/>
      <c r="C144" s="157"/>
      <c r="D144" s="157"/>
      <c r="E144" s="157"/>
      <c r="F144" s="157"/>
      <c r="G144" s="157"/>
      <c r="H144" s="157"/>
      <c r="I144" s="157"/>
      <c r="J144" s="157"/>
      <c r="K144" s="157"/>
      <c r="L144" s="157"/>
      <c r="M144" s="157"/>
      <c r="N144" s="157"/>
    </row>
    <row r="145" spans="2:14" ht="15.75" x14ac:dyDescent="0.25">
      <c r="B145" s="157"/>
      <c r="C145" s="157"/>
      <c r="D145" s="157"/>
      <c r="E145" s="157"/>
      <c r="F145" s="157"/>
      <c r="G145" s="157"/>
      <c r="H145" s="157"/>
      <c r="I145" s="157"/>
      <c r="J145" s="157"/>
      <c r="K145" s="157"/>
      <c r="L145" s="157"/>
      <c r="M145" s="157"/>
      <c r="N145" s="157"/>
    </row>
  </sheetData>
  <mergeCells count="31">
    <mergeCell ref="B132:D132"/>
    <mergeCell ref="F132:H132"/>
    <mergeCell ref="J132:L132"/>
    <mergeCell ref="B63:D63"/>
    <mergeCell ref="F63:H63"/>
    <mergeCell ref="J63:L63"/>
    <mergeCell ref="B131:D131"/>
    <mergeCell ref="F131:H131"/>
    <mergeCell ref="J131:L131"/>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6">
    <cfRule type="expression" dxfId="520" priority="76">
      <formula>kvartal &lt; 4</formula>
    </cfRule>
  </conditionalFormatting>
  <conditionalFormatting sqref="C116">
    <cfRule type="expression" dxfId="519" priority="75">
      <formula>kvartal &lt; 4</formula>
    </cfRule>
  </conditionalFormatting>
  <conditionalFormatting sqref="B124">
    <cfRule type="expression" dxfId="518" priority="74">
      <formula>kvartal &lt; 4</formula>
    </cfRule>
  </conditionalFormatting>
  <conditionalFormatting sqref="C124">
    <cfRule type="expression" dxfId="517" priority="73">
      <formula>kvartal &lt; 4</formula>
    </cfRule>
  </conditionalFormatting>
  <conditionalFormatting sqref="F116">
    <cfRule type="expression" dxfId="516" priority="58">
      <formula>kvartal &lt; 4</formula>
    </cfRule>
  </conditionalFormatting>
  <conditionalFormatting sqref="G116">
    <cfRule type="expression" dxfId="515" priority="57">
      <formula>kvartal &lt; 4</formula>
    </cfRule>
  </conditionalFormatting>
  <conditionalFormatting sqref="F124:G124">
    <cfRule type="expression" dxfId="514" priority="56">
      <formula>kvartal &lt; 4</formula>
    </cfRule>
  </conditionalFormatting>
  <conditionalFormatting sqref="J116:K116">
    <cfRule type="expression" dxfId="513" priority="32">
      <formula>kvartal &lt; 4</formula>
    </cfRule>
  </conditionalFormatting>
  <conditionalFormatting sqref="J124:K124">
    <cfRule type="expression" dxfId="512" priority="31">
      <formula>kvartal &lt; 4</formula>
    </cfRule>
  </conditionalFormatting>
  <conditionalFormatting sqref="A50:A52">
    <cfRule type="expression" dxfId="511" priority="12">
      <formula>kvartal &lt; 4</formula>
    </cfRule>
  </conditionalFormatting>
  <conditionalFormatting sqref="A69:A74">
    <cfRule type="expression" dxfId="510" priority="10">
      <formula>kvartal &lt; 4</formula>
    </cfRule>
  </conditionalFormatting>
  <conditionalFormatting sqref="A80:A85">
    <cfRule type="expression" dxfId="509" priority="9">
      <formula>kvartal &lt; 4</formula>
    </cfRule>
  </conditionalFormatting>
  <conditionalFormatting sqref="A90:A95">
    <cfRule type="expression" dxfId="508" priority="6">
      <formula>kvartal &lt; 4</formula>
    </cfRule>
  </conditionalFormatting>
  <conditionalFormatting sqref="A102:A107">
    <cfRule type="expression" dxfId="507" priority="5">
      <formula>kvartal &lt; 4</formula>
    </cfRule>
  </conditionalFormatting>
  <conditionalFormatting sqref="A116">
    <cfRule type="expression" dxfId="506" priority="4">
      <formula>kvartal &lt; 4</formula>
    </cfRule>
  </conditionalFormatting>
  <conditionalFormatting sqref="A124">
    <cfRule type="expression" dxfId="505" priority="3">
      <formula>kvartal &lt; 4</formula>
    </cfRule>
  </conditionalFormatting>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17"/>
  <dimension ref="A1:N145"/>
  <sheetViews>
    <sheetView showGridLines="0" zoomScaleNormal="100" workbookViewId="0">
      <selection activeCell="A111" sqref="A111"/>
    </sheetView>
  </sheetViews>
  <sheetFormatPr baseColWidth="10" defaultColWidth="11.42578125" defaultRowHeight="12.75" x14ac:dyDescent="0.2"/>
  <cols>
    <col min="1" max="1" width="41.57031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134</v>
      </c>
      <c r="B1" s="663"/>
      <c r="C1" s="225" t="s">
        <v>128</v>
      </c>
      <c r="D1" s="26"/>
      <c r="E1" s="26"/>
      <c r="F1" s="26"/>
      <c r="G1" s="26"/>
      <c r="H1" s="26"/>
      <c r="I1" s="26"/>
      <c r="J1" s="26"/>
      <c r="K1" s="26"/>
      <c r="L1" s="26"/>
      <c r="M1" s="26"/>
    </row>
    <row r="2" spans="1:14" ht="15.75" x14ac:dyDescent="0.25">
      <c r="A2" s="165" t="s">
        <v>28</v>
      </c>
      <c r="B2" s="699"/>
      <c r="C2" s="699"/>
      <c r="D2" s="699"/>
      <c r="E2" s="275"/>
      <c r="F2" s="699"/>
      <c r="G2" s="699"/>
      <c r="H2" s="699"/>
      <c r="I2" s="275"/>
      <c r="J2" s="699"/>
      <c r="K2" s="699"/>
      <c r="L2" s="699"/>
      <c r="M2" s="275"/>
    </row>
    <row r="3" spans="1:14" ht="15.75" x14ac:dyDescent="0.25">
      <c r="A3" s="163"/>
      <c r="B3" s="275"/>
      <c r="C3" s="275"/>
      <c r="D3" s="275"/>
      <c r="E3" s="275"/>
      <c r="F3" s="275"/>
      <c r="G3" s="275"/>
      <c r="H3" s="275"/>
      <c r="I3" s="275"/>
      <c r="J3" s="275"/>
      <c r="K3" s="275"/>
      <c r="L3" s="275"/>
      <c r="M3" s="275"/>
    </row>
    <row r="4" spans="1:14" x14ac:dyDescent="0.2">
      <c r="A4" s="144"/>
      <c r="B4" s="695" t="s">
        <v>0</v>
      </c>
      <c r="C4" s="696"/>
      <c r="D4" s="696"/>
      <c r="E4" s="277"/>
      <c r="F4" s="695" t="s">
        <v>1</v>
      </c>
      <c r="G4" s="696"/>
      <c r="H4" s="696"/>
      <c r="I4" s="280"/>
      <c r="J4" s="695" t="s">
        <v>2</v>
      </c>
      <c r="K4" s="696"/>
      <c r="L4" s="696"/>
      <c r="M4" s="280"/>
    </row>
    <row r="5" spans="1:14" x14ac:dyDescent="0.2">
      <c r="A5" s="158"/>
      <c r="B5" s="152" t="s">
        <v>412</v>
      </c>
      <c r="C5" s="152" t="s">
        <v>413</v>
      </c>
      <c r="D5" s="222" t="s">
        <v>3</v>
      </c>
      <c r="E5" s="281" t="s">
        <v>29</v>
      </c>
      <c r="F5" s="152" t="s">
        <v>412</v>
      </c>
      <c r="G5" s="152" t="s">
        <v>413</v>
      </c>
      <c r="H5" s="222" t="s">
        <v>3</v>
      </c>
      <c r="I5" s="162" t="s">
        <v>29</v>
      </c>
      <c r="J5" s="152" t="s">
        <v>412</v>
      </c>
      <c r="K5" s="152" t="s">
        <v>413</v>
      </c>
      <c r="L5" s="222" t="s">
        <v>3</v>
      </c>
      <c r="M5" s="162" t="s">
        <v>29</v>
      </c>
    </row>
    <row r="6" spans="1:14" x14ac:dyDescent="0.2">
      <c r="A6" s="661"/>
      <c r="B6" s="156"/>
      <c r="C6" s="156"/>
      <c r="D6" s="223" t="s">
        <v>4</v>
      </c>
      <c r="E6" s="156" t="s">
        <v>30</v>
      </c>
      <c r="F6" s="161"/>
      <c r="G6" s="161"/>
      <c r="H6" s="222" t="s">
        <v>4</v>
      </c>
      <c r="I6" s="156" t="s">
        <v>30</v>
      </c>
      <c r="J6" s="161"/>
      <c r="K6" s="161"/>
      <c r="L6" s="222" t="s">
        <v>4</v>
      </c>
      <c r="M6" s="156" t="s">
        <v>30</v>
      </c>
    </row>
    <row r="7" spans="1:14" ht="15.75" x14ac:dyDescent="0.2">
      <c r="A7" s="14" t="s">
        <v>23</v>
      </c>
      <c r="B7" s="282"/>
      <c r="C7" s="283"/>
      <c r="D7" s="326"/>
      <c r="E7" s="11"/>
      <c r="F7" s="282">
        <v>52307</v>
      </c>
      <c r="G7" s="283">
        <v>48331</v>
      </c>
      <c r="H7" s="326">
        <f t="shared" ref="H7:H12" si="0">IF(F7=0, "    ---- ", IF(ABS(ROUND(100/F7*G7-100,1))&lt;999,ROUND(100/F7*G7-100,1),IF(ROUND(100/F7*G7-100,1)&gt;999,999,-999)))</f>
        <v>-7.6</v>
      </c>
      <c r="I7" s="160">
        <f>IFERROR(100/'Skjema total MA'!F7*G7,0)</f>
        <v>1.238444489367577</v>
      </c>
      <c r="J7" s="284">
        <f t="shared" ref="J7:K12" si="1">SUM(B7,F7)</f>
        <v>52307</v>
      </c>
      <c r="K7" s="285">
        <f t="shared" si="1"/>
        <v>48331</v>
      </c>
      <c r="L7" s="401">
        <f t="shared" ref="L7:L12" si="2">IF(J7=0, "    ---- ", IF(ABS(ROUND(100/J7*K7-100,1))&lt;999,ROUND(100/J7*K7-100,1),IF(ROUND(100/J7*K7-100,1)&gt;999,999,-999)))</f>
        <v>-7.6</v>
      </c>
      <c r="M7" s="11">
        <f>IFERROR(100/'Skjema total MA'!I7*K7,0)</f>
        <v>0.86496037406432613</v>
      </c>
    </row>
    <row r="8" spans="1:14" ht="15.75" x14ac:dyDescent="0.2">
      <c r="A8" s="21" t="s">
        <v>25</v>
      </c>
      <c r="B8" s="258"/>
      <c r="C8" s="259"/>
      <c r="D8" s="166"/>
      <c r="E8" s="27"/>
      <c r="F8" s="262"/>
      <c r="G8" s="263"/>
      <c r="H8" s="166"/>
      <c r="I8" s="175"/>
      <c r="J8" s="211"/>
      <c r="K8" s="264"/>
      <c r="L8" s="166"/>
      <c r="M8" s="27"/>
    </row>
    <row r="9" spans="1:14" ht="15.75" x14ac:dyDescent="0.2">
      <c r="A9" s="21" t="s">
        <v>24</v>
      </c>
      <c r="B9" s="258"/>
      <c r="C9" s="259"/>
      <c r="D9" s="166"/>
      <c r="E9" s="27"/>
      <c r="F9" s="262"/>
      <c r="G9" s="263"/>
      <c r="H9" s="166"/>
      <c r="I9" s="175"/>
      <c r="J9" s="211"/>
      <c r="K9" s="264"/>
      <c r="L9" s="166"/>
      <c r="M9" s="27"/>
    </row>
    <row r="10" spans="1:14" ht="15.75" x14ac:dyDescent="0.2">
      <c r="A10" s="13" t="s">
        <v>341</v>
      </c>
      <c r="B10" s="286"/>
      <c r="C10" s="287"/>
      <c r="D10" s="171"/>
      <c r="E10" s="11"/>
      <c r="F10" s="286">
        <v>610902</v>
      </c>
      <c r="G10" s="287">
        <v>900016</v>
      </c>
      <c r="H10" s="171">
        <f t="shared" si="0"/>
        <v>47.3</v>
      </c>
      <c r="I10" s="160">
        <f>IFERROR(100/'Skjema total MA'!F10*G10,0)</f>
        <v>1.3796695306460245</v>
      </c>
      <c r="J10" s="284">
        <f t="shared" si="1"/>
        <v>610902</v>
      </c>
      <c r="K10" s="285">
        <f t="shared" si="1"/>
        <v>900016</v>
      </c>
      <c r="L10" s="402">
        <f t="shared" si="2"/>
        <v>47.3</v>
      </c>
      <c r="M10" s="11">
        <f>IFERROR(100/'Skjema total MA'!I10*K10,0)</f>
        <v>1.0859329755116156</v>
      </c>
    </row>
    <row r="11" spans="1:14" s="43" customFormat="1" ht="15.75" x14ac:dyDescent="0.2">
      <c r="A11" s="13" t="s">
        <v>342</v>
      </c>
      <c r="B11" s="286"/>
      <c r="C11" s="287"/>
      <c r="D11" s="171"/>
      <c r="E11" s="11"/>
      <c r="F11" s="286">
        <v>1245</v>
      </c>
      <c r="G11" s="287">
        <v>725</v>
      </c>
      <c r="H11" s="171">
        <f t="shared" si="0"/>
        <v>-41.8</v>
      </c>
      <c r="I11" s="160">
        <f>IFERROR(100/'Skjema total MA'!F11*G11,0)</f>
        <v>0.67600779383166743</v>
      </c>
      <c r="J11" s="284">
        <f t="shared" si="1"/>
        <v>1245</v>
      </c>
      <c r="K11" s="285">
        <f t="shared" si="1"/>
        <v>725</v>
      </c>
      <c r="L11" s="402">
        <f t="shared" si="2"/>
        <v>-41.8</v>
      </c>
      <c r="M11" s="11">
        <f>IFERROR(100/'Skjema total MA'!I11*K11,0)</f>
        <v>0.62457849448043812</v>
      </c>
      <c r="N11" s="143"/>
    </row>
    <row r="12" spans="1:14" s="43" customFormat="1" ht="15.75" x14ac:dyDescent="0.2">
      <c r="A12" s="41" t="s">
        <v>343</v>
      </c>
      <c r="B12" s="288"/>
      <c r="C12" s="289"/>
      <c r="D12" s="169"/>
      <c r="E12" s="36"/>
      <c r="F12" s="288">
        <v>507</v>
      </c>
      <c r="G12" s="289">
        <v>442</v>
      </c>
      <c r="H12" s="169">
        <f t="shared" si="0"/>
        <v>-12.8</v>
      </c>
      <c r="I12" s="169">
        <f>IFERROR(100/'Skjema total MA'!F12*G12,0)</f>
        <v>0.91738508614819636</v>
      </c>
      <c r="J12" s="290">
        <f t="shared" si="1"/>
        <v>507</v>
      </c>
      <c r="K12" s="291">
        <f t="shared" si="1"/>
        <v>442</v>
      </c>
      <c r="L12" s="403">
        <f t="shared" si="2"/>
        <v>-12.8</v>
      </c>
      <c r="M12" s="36">
        <f>IFERROR(100/'Skjema total MA'!I12*K12,0)</f>
        <v>0.85523963615694176</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251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248</v>
      </c>
      <c r="B17" s="157"/>
      <c r="C17" s="157"/>
      <c r="D17" s="151"/>
      <c r="E17" s="151"/>
      <c r="F17" s="157"/>
      <c r="G17" s="157"/>
      <c r="H17" s="157"/>
      <c r="I17" s="157"/>
      <c r="J17" s="157"/>
      <c r="K17" s="157"/>
      <c r="L17" s="157"/>
      <c r="M17" s="157"/>
    </row>
    <row r="18" spans="1:14" ht="15.75" x14ac:dyDescent="0.25">
      <c r="B18" s="694"/>
      <c r="C18" s="694"/>
      <c r="D18" s="694"/>
      <c r="E18" s="275"/>
      <c r="F18" s="694"/>
      <c r="G18" s="694"/>
      <c r="H18" s="694"/>
      <c r="I18" s="275"/>
      <c r="J18" s="694"/>
      <c r="K18" s="694"/>
      <c r="L18" s="694"/>
      <c r="M18" s="275"/>
    </row>
    <row r="19" spans="1:14" x14ac:dyDescent="0.2">
      <c r="A19" s="144"/>
      <c r="B19" s="695" t="s">
        <v>0</v>
      </c>
      <c r="C19" s="696"/>
      <c r="D19" s="696"/>
      <c r="E19" s="277"/>
      <c r="F19" s="695" t="s">
        <v>1</v>
      </c>
      <c r="G19" s="696"/>
      <c r="H19" s="696"/>
      <c r="I19" s="280"/>
      <c r="J19" s="695" t="s">
        <v>2</v>
      </c>
      <c r="K19" s="696"/>
      <c r="L19" s="696"/>
      <c r="M19" s="280"/>
    </row>
    <row r="20" spans="1:14" x14ac:dyDescent="0.2">
      <c r="A20" s="140" t="s">
        <v>5</v>
      </c>
      <c r="B20" s="152" t="s">
        <v>412</v>
      </c>
      <c r="C20" s="152" t="s">
        <v>413</v>
      </c>
      <c r="D20" s="162" t="s">
        <v>3</v>
      </c>
      <c r="E20" s="281" t="s">
        <v>29</v>
      </c>
      <c r="F20" s="152" t="s">
        <v>412</v>
      </c>
      <c r="G20" s="152" t="s">
        <v>413</v>
      </c>
      <c r="H20" s="162" t="s">
        <v>3</v>
      </c>
      <c r="I20" s="162" t="s">
        <v>29</v>
      </c>
      <c r="J20" s="152" t="s">
        <v>412</v>
      </c>
      <c r="K20" s="152" t="s">
        <v>413</v>
      </c>
      <c r="L20" s="162" t="s">
        <v>3</v>
      </c>
      <c r="M20" s="162" t="s">
        <v>29</v>
      </c>
    </row>
    <row r="21" spans="1:14" x14ac:dyDescent="0.2">
      <c r="A21" s="662"/>
      <c r="B21" s="156"/>
      <c r="C21" s="156"/>
      <c r="D21" s="223" t="s">
        <v>4</v>
      </c>
      <c r="E21" s="156" t="s">
        <v>30</v>
      </c>
      <c r="F21" s="161"/>
      <c r="G21" s="161"/>
      <c r="H21" s="222" t="s">
        <v>4</v>
      </c>
      <c r="I21" s="156" t="s">
        <v>30</v>
      </c>
      <c r="J21" s="161"/>
      <c r="K21" s="161"/>
      <c r="L21" s="156" t="s">
        <v>4</v>
      </c>
      <c r="M21" s="156" t="s">
        <v>30</v>
      </c>
    </row>
    <row r="22" spans="1:14" ht="15.75" x14ac:dyDescent="0.2">
      <c r="A22" s="14" t="s">
        <v>23</v>
      </c>
      <c r="B22" s="286">
        <v>148206</v>
      </c>
      <c r="C22" s="286">
        <v>163791</v>
      </c>
      <c r="D22" s="326">
        <f t="shared" ref="D22:D29" si="3">IF(B22=0, "    ---- ", IF(ABS(ROUND(100/B22*C22-100,1))&lt;999,ROUND(100/B22*C22-100,1),IF(ROUND(100/B22*C22-100,1)&gt;999,999,-999)))</f>
        <v>10.5</v>
      </c>
      <c r="E22" s="11">
        <f>IFERROR(100/'Skjema total MA'!C22*C22,0)</f>
        <v>24.04746425695113</v>
      </c>
      <c r="F22" s="294">
        <v>19504</v>
      </c>
      <c r="G22" s="294">
        <v>24725</v>
      </c>
      <c r="H22" s="326">
        <f t="shared" ref="H22:H35" si="4">IF(F22=0, "    ---- ", IF(ABS(ROUND(100/F22*G22-100,1))&lt;999,ROUND(100/F22*G22-100,1),IF(ROUND(100/F22*G22-100,1)&gt;999,999,-999)))</f>
        <v>26.8</v>
      </c>
      <c r="I22" s="11">
        <f>IFERROR(100/'Skjema total MA'!F22*G22,0)</f>
        <v>5.8410146121228586</v>
      </c>
      <c r="J22" s="292">
        <f t="shared" ref="J22:J35" si="5">SUM(B22,F22)</f>
        <v>167710</v>
      </c>
      <c r="K22" s="292">
        <f t="shared" ref="K22:K35" si="6">SUM(C22,G22)</f>
        <v>188516</v>
      </c>
      <c r="L22" s="401">
        <f t="shared" ref="L22:L35" si="7">IF(J22=0, "    ---- ", IF(ABS(ROUND(100/J22*K22-100,1))&lt;999,ROUND(100/J22*K22-100,1),IF(ROUND(100/J22*K22-100,1)&gt;999,999,-999)))</f>
        <v>12.4</v>
      </c>
      <c r="M22" s="24">
        <f>IFERROR(100/'Skjema total MA'!I22*K22,0)</f>
        <v>17.069304800250617</v>
      </c>
    </row>
    <row r="23" spans="1:14" ht="15.75" x14ac:dyDescent="0.2">
      <c r="A23" s="545" t="s">
        <v>344</v>
      </c>
      <c r="B23" s="258"/>
      <c r="C23" s="258"/>
      <c r="D23" s="166"/>
      <c r="E23" s="11"/>
      <c r="F23" s="267"/>
      <c r="G23" s="267"/>
      <c r="H23" s="166"/>
      <c r="I23" s="391"/>
      <c r="J23" s="267"/>
      <c r="K23" s="267"/>
      <c r="L23" s="166"/>
      <c r="M23" s="23"/>
    </row>
    <row r="24" spans="1:14" ht="15.75" x14ac:dyDescent="0.2">
      <c r="A24" s="545" t="s">
        <v>345</v>
      </c>
      <c r="B24" s="258"/>
      <c r="C24" s="258"/>
      <c r="D24" s="166"/>
      <c r="E24" s="11"/>
      <c r="F24" s="267">
        <v>7</v>
      </c>
      <c r="G24" s="267">
        <v>0</v>
      </c>
      <c r="H24" s="166">
        <f t="shared" si="4"/>
        <v>-100</v>
      </c>
      <c r="I24" s="391">
        <f>IFERROR(100/'Skjema total MA'!F24*G24,0)</f>
        <v>0</v>
      </c>
      <c r="J24" s="267">
        <f t="shared" si="5"/>
        <v>7</v>
      </c>
      <c r="K24" s="267">
        <f t="shared" si="6"/>
        <v>0</v>
      </c>
      <c r="L24" s="166">
        <f t="shared" si="7"/>
        <v>-100</v>
      </c>
      <c r="M24" s="23">
        <f>IFERROR(100/'Skjema total MA'!I24*K24,0)</f>
        <v>0</v>
      </c>
    </row>
    <row r="25" spans="1:14" ht="15.75" x14ac:dyDescent="0.2">
      <c r="A25" s="545" t="s">
        <v>346</v>
      </c>
      <c r="B25" s="258"/>
      <c r="C25" s="258"/>
      <c r="D25" s="166"/>
      <c r="E25" s="11"/>
      <c r="F25" s="267"/>
      <c r="G25" s="267"/>
      <c r="H25" s="166"/>
      <c r="I25" s="391"/>
      <c r="J25" s="267"/>
      <c r="K25" s="267"/>
      <c r="L25" s="166"/>
      <c r="M25" s="23"/>
    </row>
    <row r="26" spans="1:14" ht="15.75" x14ac:dyDescent="0.2">
      <c r="A26" s="545" t="s">
        <v>347</v>
      </c>
      <c r="B26" s="258"/>
      <c r="C26" s="258"/>
      <c r="D26" s="166"/>
      <c r="E26" s="11"/>
      <c r="F26" s="267">
        <v>19497</v>
      </c>
      <c r="G26" s="267">
        <v>24725</v>
      </c>
      <c r="H26" s="166">
        <f t="shared" si="4"/>
        <v>26.8</v>
      </c>
      <c r="I26" s="391">
        <f>IFERROR(100/'Skjema total MA'!F26*G26,0)</f>
        <v>7.0184644007078569</v>
      </c>
      <c r="J26" s="267">
        <f t="shared" si="5"/>
        <v>19497</v>
      </c>
      <c r="K26" s="267">
        <f t="shared" si="6"/>
        <v>24725</v>
      </c>
      <c r="L26" s="166">
        <f t="shared" si="7"/>
        <v>26.8</v>
      </c>
      <c r="M26" s="23">
        <f>IFERROR(100/'Skjema total MA'!I26*K26,0)</f>
        <v>7.0184644007078569</v>
      </c>
    </row>
    <row r="27" spans="1:14" x14ac:dyDescent="0.2">
      <c r="A27" s="545" t="s">
        <v>11</v>
      </c>
      <c r="B27" s="258"/>
      <c r="C27" s="258"/>
      <c r="D27" s="166"/>
      <c r="E27" s="11"/>
      <c r="F27" s="267"/>
      <c r="G27" s="267"/>
      <c r="H27" s="166"/>
      <c r="I27" s="391"/>
      <c r="J27" s="267"/>
      <c r="K27" s="267"/>
      <c r="L27" s="166"/>
      <c r="M27" s="23"/>
    </row>
    <row r="28" spans="1:14" ht="15.75" x14ac:dyDescent="0.2">
      <c r="A28" s="49" t="s">
        <v>252</v>
      </c>
      <c r="B28" s="44">
        <v>148206</v>
      </c>
      <c r="C28" s="264">
        <v>163791</v>
      </c>
      <c r="D28" s="166">
        <f t="shared" si="3"/>
        <v>10.5</v>
      </c>
      <c r="E28" s="11">
        <f>IFERROR(100/'Skjema total MA'!C28*C28,0)</f>
        <v>22.51518477164019</v>
      </c>
      <c r="F28" s="211"/>
      <c r="G28" s="264"/>
      <c r="H28" s="166"/>
      <c r="I28" s="27"/>
      <c r="J28" s="44">
        <f t="shared" si="5"/>
        <v>148206</v>
      </c>
      <c r="K28" s="44">
        <f t="shared" si="6"/>
        <v>163791</v>
      </c>
      <c r="L28" s="231">
        <f t="shared" si="7"/>
        <v>10.5</v>
      </c>
      <c r="M28" s="23">
        <f>IFERROR(100/'Skjema total MA'!I28*K28,0)</f>
        <v>22.51518477164019</v>
      </c>
    </row>
    <row r="29" spans="1:14" s="3" customFormat="1" ht="15.75" x14ac:dyDescent="0.2">
      <c r="A29" s="13" t="s">
        <v>341</v>
      </c>
      <c r="B29" s="213">
        <v>2042921</v>
      </c>
      <c r="C29" s="213">
        <v>2405898</v>
      </c>
      <c r="D29" s="171">
        <f t="shared" si="3"/>
        <v>17.8</v>
      </c>
      <c r="E29" s="11">
        <f>IFERROR(100/'Skjema total MA'!C29*C29,0)</f>
        <v>5.2514389009950078</v>
      </c>
      <c r="F29" s="284">
        <v>1444080</v>
      </c>
      <c r="G29" s="284">
        <v>1686501</v>
      </c>
      <c r="H29" s="171">
        <f t="shared" si="4"/>
        <v>16.8</v>
      </c>
      <c r="I29" s="11">
        <f>IFERROR(100/'Skjema total MA'!F29*G29,0)</f>
        <v>6.6359309013010659</v>
      </c>
      <c r="J29" s="213">
        <f t="shared" si="5"/>
        <v>3487001</v>
      </c>
      <c r="K29" s="213">
        <f t="shared" si="6"/>
        <v>4092399</v>
      </c>
      <c r="L29" s="402">
        <f t="shared" si="7"/>
        <v>17.399999999999999</v>
      </c>
      <c r="M29" s="24">
        <f>IFERROR(100/'Skjema total MA'!I29*K29,0)</f>
        <v>5.7454307999664209</v>
      </c>
      <c r="N29" s="148"/>
    </row>
    <row r="30" spans="1:14" s="3" customFormat="1" ht="15.75" x14ac:dyDescent="0.2">
      <c r="A30" s="545" t="s">
        <v>344</v>
      </c>
      <c r="B30" s="258"/>
      <c r="C30" s="258"/>
      <c r="D30" s="166"/>
      <c r="E30" s="11"/>
      <c r="F30" s="267">
        <v>25054</v>
      </c>
      <c r="G30" s="267">
        <v>26452</v>
      </c>
      <c r="H30" s="166">
        <f t="shared" si="4"/>
        <v>5.6</v>
      </c>
      <c r="I30" s="391">
        <f>IFERROR(100/'Skjema total MA'!F30*G30,0)</f>
        <v>0.57306329051649985</v>
      </c>
      <c r="J30" s="267">
        <f t="shared" si="5"/>
        <v>25054</v>
      </c>
      <c r="K30" s="267">
        <f t="shared" si="6"/>
        <v>26452</v>
      </c>
      <c r="L30" s="166">
        <f t="shared" si="7"/>
        <v>5.6</v>
      </c>
      <c r="M30" s="23">
        <f>IFERROR(100/'Skjema total MA'!I30*K30,0)</f>
        <v>0.14432513526950647</v>
      </c>
      <c r="N30" s="148"/>
    </row>
    <row r="31" spans="1:14" s="3" customFormat="1" ht="15.75" x14ac:dyDescent="0.2">
      <c r="A31" s="545" t="s">
        <v>345</v>
      </c>
      <c r="B31" s="258"/>
      <c r="C31" s="258"/>
      <c r="D31" s="166"/>
      <c r="E31" s="11"/>
      <c r="F31" s="267">
        <v>1049819</v>
      </c>
      <c r="G31" s="267">
        <v>1091293</v>
      </c>
      <c r="H31" s="166">
        <f t="shared" si="4"/>
        <v>4</v>
      </c>
      <c r="I31" s="391">
        <f>IFERROR(100/'Skjema total MA'!F31*G31,0)</f>
        <v>11.188738489156718</v>
      </c>
      <c r="J31" s="267">
        <f t="shared" si="5"/>
        <v>1049819</v>
      </c>
      <c r="K31" s="267">
        <f t="shared" si="6"/>
        <v>1091293</v>
      </c>
      <c r="L31" s="166">
        <f t="shared" si="7"/>
        <v>4</v>
      </c>
      <c r="M31" s="23">
        <f>IFERROR(100/'Skjema total MA'!I31*K31,0)</f>
        <v>3.3135807604123899</v>
      </c>
      <c r="N31" s="148"/>
    </row>
    <row r="32" spans="1:14" ht="15.75" x14ac:dyDescent="0.2">
      <c r="A32" s="545" t="s">
        <v>346</v>
      </c>
      <c r="B32" s="258"/>
      <c r="C32" s="258"/>
      <c r="D32" s="166"/>
      <c r="E32" s="11"/>
      <c r="F32" s="267">
        <v>113682</v>
      </c>
      <c r="G32" s="267">
        <v>131416</v>
      </c>
      <c r="H32" s="166">
        <f t="shared" si="4"/>
        <v>15.6</v>
      </c>
      <c r="I32" s="391">
        <f>IFERROR(100/'Skjema total MA'!F32*G32,0)</f>
        <v>2.4126984369194444</v>
      </c>
      <c r="J32" s="267">
        <f t="shared" si="5"/>
        <v>113682</v>
      </c>
      <c r="K32" s="267">
        <f t="shared" si="6"/>
        <v>131416</v>
      </c>
      <c r="L32" s="166">
        <f t="shared" si="7"/>
        <v>15.6</v>
      </c>
      <c r="M32" s="23">
        <f>IFERROR(100/'Skjema total MA'!I32*K32,0)</f>
        <v>1.5653590273370646</v>
      </c>
    </row>
    <row r="33" spans="1:14" ht="15.75" x14ac:dyDescent="0.2">
      <c r="A33" s="545" t="s">
        <v>347</v>
      </c>
      <c r="B33" s="258"/>
      <c r="C33" s="258"/>
      <c r="D33" s="166"/>
      <c r="E33" s="11"/>
      <c r="F33" s="267">
        <v>255525</v>
      </c>
      <c r="G33" s="267">
        <v>437340</v>
      </c>
      <c r="H33" s="166">
        <f t="shared" si="4"/>
        <v>71.2</v>
      </c>
      <c r="I33" s="391">
        <f>IFERROR(100/'Skjema total MA'!F34*G33,0)</f>
        <v>-1695.1761266715791</v>
      </c>
      <c r="J33" s="267">
        <f t="shared" si="5"/>
        <v>255525</v>
      </c>
      <c r="K33" s="267">
        <f t="shared" si="6"/>
        <v>437340</v>
      </c>
      <c r="L33" s="166">
        <f t="shared" si="7"/>
        <v>71.2</v>
      </c>
      <c r="M33" s="23">
        <f>IFERROR(100/'Skjema total MA'!I34*K33,0)</f>
        <v>-2047.5449411324369</v>
      </c>
    </row>
    <row r="34" spans="1:14" ht="15.75" x14ac:dyDescent="0.2">
      <c r="A34" s="13" t="s">
        <v>342</v>
      </c>
      <c r="B34" s="213"/>
      <c r="C34" s="285"/>
      <c r="D34" s="171"/>
      <c r="E34" s="11"/>
      <c r="F34" s="284">
        <v>4153</v>
      </c>
      <c r="G34" s="285">
        <v>3194</v>
      </c>
      <c r="H34" s="171">
        <f t="shared" si="4"/>
        <v>-23.1</v>
      </c>
      <c r="I34" s="11">
        <f>IFERROR(100/'Skjema total MA'!F34*G34,0)</f>
        <v>-12.380282042779129</v>
      </c>
      <c r="J34" s="213">
        <f t="shared" si="5"/>
        <v>4153</v>
      </c>
      <c r="K34" s="213">
        <f t="shared" si="6"/>
        <v>3194</v>
      </c>
      <c r="L34" s="402">
        <f t="shared" si="7"/>
        <v>-23.1</v>
      </c>
      <c r="M34" s="24">
        <f>IFERROR(100/'Skjema total MA'!I34*K34,0)</f>
        <v>-14.953716883836382</v>
      </c>
    </row>
    <row r="35" spans="1:14" ht="15.75" x14ac:dyDescent="0.2">
      <c r="A35" s="13" t="s">
        <v>343</v>
      </c>
      <c r="B35" s="213"/>
      <c r="C35" s="285"/>
      <c r="D35" s="171"/>
      <c r="E35" s="11"/>
      <c r="F35" s="284">
        <v>1519</v>
      </c>
      <c r="G35" s="285">
        <v>4657</v>
      </c>
      <c r="H35" s="171">
        <f t="shared" si="4"/>
        <v>206.6</v>
      </c>
      <c r="I35" s="11">
        <f>IFERROR(100/'Skjema total MA'!F35*G35,0)</f>
        <v>7.7148089870199179</v>
      </c>
      <c r="J35" s="213">
        <f t="shared" si="5"/>
        <v>1519</v>
      </c>
      <c r="K35" s="213">
        <f t="shared" si="6"/>
        <v>4657</v>
      </c>
      <c r="L35" s="402">
        <f t="shared" si="7"/>
        <v>206.6</v>
      </c>
      <c r="M35" s="24">
        <f>IFERROR(100/'Skjema total MA'!I35*K35,0)</f>
        <v>53.362894184291264</v>
      </c>
    </row>
    <row r="36" spans="1:14" ht="15.75" x14ac:dyDescent="0.2">
      <c r="A36" s="12" t="s">
        <v>260</v>
      </c>
      <c r="B36" s="213"/>
      <c r="C36" s="285"/>
      <c r="D36" s="171"/>
      <c r="E36" s="11"/>
      <c r="F36" s="295"/>
      <c r="G36" s="296"/>
      <c r="H36" s="171"/>
      <c r="I36" s="408"/>
      <c r="J36" s="213"/>
      <c r="K36" s="213"/>
      <c r="L36" s="402"/>
      <c r="M36" s="24"/>
    </row>
    <row r="37" spans="1:14" ht="15.75" x14ac:dyDescent="0.2">
      <c r="A37" s="12" t="s">
        <v>349</v>
      </c>
      <c r="B37" s="213"/>
      <c r="C37" s="285"/>
      <c r="D37" s="171"/>
      <c r="E37" s="11"/>
      <c r="F37" s="295"/>
      <c r="G37" s="297"/>
      <c r="H37" s="171"/>
      <c r="I37" s="408"/>
      <c r="J37" s="213"/>
      <c r="K37" s="213"/>
      <c r="L37" s="402"/>
      <c r="M37" s="24"/>
    </row>
    <row r="38" spans="1:14" ht="15.75" x14ac:dyDescent="0.2">
      <c r="A38" s="12" t="s">
        <v>350</v>
      </c>
      <c r="B38" s="213"/>
      <c r="C38" s="285"/>
      <c r="D38" s="171"/>
      <c r="E38" s="24"/>
      <c r="F38" s="295"/>
      <c r="G38" s="296"/>
      <c r="H38" s="171"/>
      <c r="I38" s="408"/>
      <c r="J38" s="213"/>
      <c r="K38" s="213"/>
      <c r="L38" s="402"/>
      <c r="M38" s="24"/>
    </row>
    <row r="39" spans="1:14" ht="15.75" x14ac:dyDescent="0.2">
      <c r="A39" s="18" t="s">
        <v>351</v>
      </c>
      <c r="B39" s="253"/>
      <c r="C39" s="291"/>
      <c r="D39" s="169"/>
      <c r="E39" s="36"/>
      <c r="F39" s="298"/>
      <c r="G39" s="299"/>
      <c r="H39" s="169"/>
      <c r="I39" s="36"/>
      <c r="J39" s="213"/>
      <c r="K39" s="213"/>
      <c r="L39" s="403"/>
      <c r="M39" s="36"/>
    </row>
    <row r="40" spans="1:14" ht="15.75" x14ac:dyDescent="0.25">
      <c r="A40" s="47"/>
      <c r="B40" s="230"/>
      <c r="C40" s="230"/>
      <c r="D40" s="698"/>
      <c r="E40" s="698"/>
      <c r="F40" s="698"/>
      <c r="G40" s="698"/>
      <c r="H40" s="698"/>
      <c r="I40" s="698"/>
      <c r="J40" s="698"/>
      <c r="K40" s="698"/>
      <c r="L40" s="698"/>
      <c r="M40" s="278"/>
    </row>
    <row r="41" spans="1:14" x14ac:dyDescent="0.2">
      <c r="A41" s="155"/>
    </row>
    <row r="42" spans="1:14" ht="15.75" x14ac:dyDescent="0.25">
      <c r="A42" s="147" t="s">
        <v>249</v>
      </c>
      <c r="B42" s="699"/>
      <c r="C42" s="699"/>
      <c r="D42" s="699"/>
      <c r="E42" s="275"/>
      <c r="F42" s="700"/>
      <c r="G42" s="700"/>
      <c r="H42" s="700"/>
      <c r="I42" s="278"/>
      <c r="J42" s="700"/>
      <c r="K42" s="700"/>
      <c r="L42" s="700"/>
      <c r="M42" s="278"/>
    </row>
    <row r="43" spans="1:14" ht="15.75" x14ac:dyDescent="0.25">
      <c r="A43" s="163"/>
      <c r="B43" s="279"/>
      <c r="C43" s="279"/>
      <c r="D43" s="279"/>
      <c r="E43" s="279"/>
      <c r="F43" s="278"/>
      <c r="G43" s="278"/>
      <c r="H43" s="278"/>
      <c r="I43" s="278"/>
      <c r="J43" s="278"/>
      <c r="K43" s="278"/>
      <c r="L43" s="278"/>
      <c r="M43" s="278"/>
    </row>
    <row r="44" spans="1:14" ht="15.75" x14ac:dyDescent="0.25">
      <c r="A44" s="224"/>
      <c r="B44" s="695" t="s">
        <v>0</v>
      </c>
      <c r="C44" s="696"/>
      <c r="D44" s="696"/>
      <c r="E44" s="220"/>
      <c r="F44" s="278"/>
      <c r="G44" s="278"/>
      <c r="H44" s="278"/>
      <c r="I44" s="278"/>
      <c r="J44" s="278"/>
      <c r="K44" s="278"/>
      <c r="L44" s="278"/>
      <c r="M44" s="278"/>
    </row>
    <row r="45" spans="1:14" s="3" customFormat="1" x14ac:dyDescent="0.2">
      <c r="A45" s="140"/>
      <c r="B45" s="152" t="s">
        <v>412</v>
      </c>
      <c r="C45" s="152" t="s">
        <v>413</v>
      </c>
      <c r="D45" s="162" t="s">
        <v>3</v>
      </c>
      <c r="E45" s="162" t="s">
        <v>29</v>
      </c>
      <c r="F45" s="174"/>
      <c r="G45" s="174"/>
      <c r="H45" s="173"/>
      <c r="I45" s="173"/>
      <c r="J45" s="174"/>
      <c r="K45" s="174"/>
      <c r="L45" s="173"/>
      <c r="M45" s="173"/>
      <c r="N45" s="148"/>
    </row>
    <row r="46" spans="1:14" s="3" customFormat="1" x14ac:dyDescent="0.2">
      <c r="A46" s="662"/>
      <c r="B46" s="221"/>
      <c r="C46" s="221"/>
      <c r="D46" s="222" t="s">
        <v>4</v>
      </c>
      <c r="E46" s="156" t="s">
        <v>30</v>
      </c>
      <c r="F46" s="173"/>
      <c r="G46" s="173"/>
      <c r="H46" s="173"/>
      <c r="I46" s="173"/>
      <c r="J46" s="173"/>
      <c r="K46" s="173"/>
      <c r="L46" s="173"/>
      <c r="M46" s="173"/>
      <c r="N46" s="148"/>
    </row>
    <row r="47" spans="1:14" s="3" customFormat="1" ht="15.75" x14ac:dyDescent="0.2">
      <c r="A47" s="14" t="s">
        <v>23</v>
      </c>
      <c r="B47" s="286"/>
      <c r="C47" s="287"/>
      <c r="D47" s="401"/>
      <c r="E47" s="11"/>
      <c r="F47" s="145"/>
      <c r="G47" s="33"/>
      <c r="H47" s="159"/>
      <c r="I47" s="159"/>
      <c r="J47" s="37"/>
      <c r="K47" s="37"/>
      <c r="L47" s="159"/>
      <c r="M47" s="159"/>
      <c r="N47" s="148"/>
    </row>
    <row r="48" spans="1:14" s="3" customFormat="1" ht="15.75" x14ac:dyDescent="0.2">
      <c r="A48" s="38" t="s">
        <v>352</v>
      </c>
      <c r="B48" s="258"/>
      <c r="C48" s="259"/>
      <c r="D48" s="231"/>
      <c r="E48" s="27"/>
      <c r="F48" s="145"/>
      <c r="G48" s="33"/>
      <c r="H48" s="145"/>
      <c r="I48" s="145"/>
      <c r="J48" s="33"/>
      <c r="K48" s="33"/>
      <c r="L48" s="159"/>
      <c r="M48" s="159"/>
      <c r="N48" s="148"/>
    </row>
    <row r="49" spans="1:14" s="3" customFormat="1" ht="15.75" x14ac:dyDescent="0.2">
      <c r="A49" s="38" t="s">
        <v>353</v>
      </c>
      <c r="B49" s="44"/>
      <c r="C49" s="264"/>
      <c r="D49" s="231"/>
      <c r="E49" s="27"/>
      <c r="F49" s="145"/>
      <c r="G49" s="33"/>
      <c r="H49" s="145"/>
      <c r="I49" s="145"/>
      <c r="J49" s="37"/>
      <c r="K49" s="37"/>
      <c r="L49" s="159"/>
      <c r="M49" s="159"/>
      <c r="N49" s="148"/>
    </row>
    <row r="50" spans="1:14" s="3" customFormat="1" x14ac:dyDescent="0.2">
      <c r="A50" s="272" t="s">
        <v>6</v>
      </c>
      <c r="B50" s="295"/>
      <c r="C50" s="295"/>
      <c r="D50" s="231"/>
      <c r="E50" s="23"/>
      <c r="F50" s="145"/>
      <c r="G50" s="33"/>
      <c r="H50" s="145"/>
      <c r="I50" s="145"/>
      <c r="J50" s="33"/>
      <c r="K50" s="33"/>
      <c r="L50" s="159"/>
      <c r="M50" s="159"/>
      <c r="N50" s="148"/>
    </row>
    <row r="51" spans="1:14" s="3" customFormat="1" x14ac:dyDescent="0.2">
      <c r="A51" s="272" t="s">
        <v>7</v>
      </c>
      <c r="B51" s="295"/>
      <c r="C51" s="295"/>
      <c r="D51" s="231"/>
      <c r="E51" s="23"/>
      <c r="F51" s="145"/>
      <c r="G51" s="33"/>
      <c r="H51" s="145"/>
      <c r="I51" s="145"/>
      <c r="J51" s="33"/>
      <c r="K51" s="33"/>
      <c r="L51" s="159"/>
      <c r="M51" s="159"/>
      <c r="N51" s="148"/>
    </row>
    <row r="52" spans="1:14" s="3" customFormat="1" x14ac:dyDescent="0.2">
      <c r="A52" s="272" t="s">
        <v>8</v>
      </c>
      <c r="B52" s="295"/>
      <c r="C52" s="295"/>
      <c r="D52" s="231"/>
      <c r="E52" s="23"/>
      <c r="F52" s="145"/>
      <c r="G52" s="33"/>
      <c r="H52" s="145"/>
      <c r="I52" s="145"/>
      <c r="J52" s="33"/>
      <c r="K52" s="33"/>
      <c r="L52" s="159"/>
      <c r="M52" s="159"/>
      <c r="N52" s="148"/>
    </row>
    <row r="53" spans="1:14" s="3" customFormat="1" ht="15.75" x14ac:dyDescent="0.2">
      <c r="A53" s="39" t="s">
        <v>354</v>
      </c>
      <c r="B53" s="286"/>
      <c r="C53" s="287"/>
      <c r="D53" s="402"/>
      <c r="E53" s="11"/>
      <c r="F53" s="145"/>
      <c r="G53" s="33"/>
      <c r="H53" s="145"/>
      <c r="I53" s="145"/>
      <c r="J53" s="33"/>
      <c r="K53" s="33"/>
      <c r="L53" s="159"/>
      <c r="M53" s="159"/>
      <c r="N53" s="148"/>
    </row>
    <row r="54" spans="1:14" s="3" customFormat="1" ht="15.75" x14ac:dyDescent="0.2">
      <c r="A54" s="38" t="s">
        <v>352</v>
      </c>
      <c r="B54" s="258"/>
      <c r="C54" s="259"/>
      <c r="D54" s="231"/>
      <c r="E54" s="27"/>
      <c r="F54" s="145"/>
      <c r="G54" s="33"/>
      <c r="H54" s="145"/>
      <c r="I54" s="145"/>
      <c r="J54" s="33"/>
      <c r="K54" s="33"/>
      <c r="L54" s="159"/>
      <c r="M54" s="159"/>
      <c r="N54" s="148"/>
    </row>
    <row r="55" spans="1:14" s="3" customFormat="1" ht="15.75" x14ac:dyDescent="0.2">
      <c r="A55" s="38" t="s">
        <v>353</v>
      </c>
      <c r="B55" s="258"/>
      <c r="C55" s="259"/>
      <c r="D55" s="231"/>
      <c r="E55" s="27"/>
      <c r="F55" s="145"/>
      <c r="G55" s="33"/>
      <c r="H55" s="145"/>
      <c r="I55" s="145"/>
      <c r="J55" s="33"/>
      <c r="K55" s="33"/>
      <c r="L55" s="159"/>
      <c r="M55" s="159"/>
      <c r="N55" s="148"/>
    </row>
    <row r="56" spans="1:14" s="3" customFormat="1" ht="15.75" x14ac:dyDescent="0.2">
      <c r="A56" s="39" t="s">
        <v>355</v>
      </c>
      <c r="B56" s="286"/>
      <c r="C56" s="287"/>
      <c r="D56" s="402"/>
      <c r="E56" s="11"/>
      <c r="F56" s="145"/>
      <c r="G56" s="33"/>
      <c r="H56" s="145"/>
      <c r="I56" s="145"/>
      <c r="J56" s="33"/>
      <c r="K56" s="33"/>
      <c r="L56" s="159"/>
      <c r="M56" s="159"/>
      <c r="N56" s="148"/>
    </row>
    <row r="57" spans="1:14" s="3" customFormat="1" ht="15.75" x14ac:dyDescent="0.2">
      <c r="A57" s="38" t="s">
        <v>352</v>
      </c>
      <c r="B57" s="258"/>
      <c r="C57" s="259"/>
      <c r="D57" s="231"/>
      <c r="E57" s="27"/>
      <c r="F57" s="145"/>
      <c r="G57" s="33"/>
      <c r="H57" s="145"/>
      <c r="I57" s="145"/>
      <c r="J57" s="33"/>
      <c r="K57" s="33"/>
      <c r="L57" s="159"/>
      <c r="M57" s="159"/>
      <c r="N57" s="148"/>
    </row>
    <row r="58" spans="1:14" s="3" customFormat="1" ht="15.75" x14ac:dyDescent="0.2">
      <c r="A58" s="46" t="s">
        <v>353</v>
      </c>
      <c r="B58" s="260"/>
      <c r="C58" s="261"/>
      <c r="D58" s="232"/>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250</v>
      </c>
      <c r="C61" s="26"/>
      <c r="D61" s="26"/>
      <c r="E61" s="26"/>
      <c r="F61" s="26"/>
      <c r="G61" s="26"/>
      <c r="H61" s="26"/>
      <c r="I61" s="26"/>
      <c r="J61" s="26"/>
      <c r="K61" s="26"/>
      <c r="L61" s="26"/>
      <c r="M61" s="26"/>
    </row>
    <row r="62" spans="1:14" ht="15.75" x14ac:dyDescent="0.25">
      <c r="B62" s="694"/>
      <c r="C62" s="694"/>
      <c r="D62" s="694"/>
      <c r="E62" s="275"/>
      <c r="F62" s="694"/>
      <c r="G62" s="694"/>
      <c r="H62" s="694"/>
      <c r="I62" s="275"/>
      <c r="J62" s="694"/>
      <c r="K62" s="694"/>
      <c r="L62" s="694"/>
      <c r="M62" s="275"/>
    </row>
    <row r="63" spans="1:14" x14ac:dyDescent="0.2">
      <c r="A63" s="144"/>
      <c r="B63" s="695" t="s">
        <v>0</v>
      </c>
      <c r="C63" s="696"/>
      <c r="D63" s="697"/>
      <c r="E63" s="276"/>
      <c r="F63" s="696" t="s">
        <v>1</v>
      </c>
      <c r="G63" s="696"/>
      <c r="H63" s="696"/>
      <c r="I63" s="280"/>
      <c r="J63" s="695" t="s">
        <v>2</v>
      </c>
      <c r="K63" s="696"/>
      <c r="L63" s="696"/>
      <c r="M63" s="280"/>
    </row>
    <row r="64" spans="1:14" x14ac:dyDescent="0.2">
      <c r="A64" s="140"/>
      <c r="B64" s="152" t="s">
        <v>412</v>
      </c>
      <c r="C64" s="152" t="s">
        <v>413</v>
      </c>
      <c r="D64" s="222" t="s">
        <v>3</v>
      </c>
      <c r="E64" s="281" t="s">
        <v>29</v>
      </c>
      <c r="F64" s="152" t="s">
        <v>412</v>
      </c>
      <c r="G64" s="152" t="s">
        <v>413</v>
      </c>
      <c r="H64" s="222" t="s">
        <v>3</v>
      </c>
      <c r="I64" s="281" t="s">
        <v>29</v>
      </c>
      <c r="J64" s="152" t="s">
        <v>412</v>
      </c>
      <c r="K64" s="152" t="s">
        <v>413</v>
      </c>
      <c r="L64" s="222" t="s">
        <v>3</v>
      </c>
      <c r="M64" s="162" t="s">
        <v>29</v>
      </c>
    </row>
    <row r="65" spans="1:14" x14ac:dyDescent="0.2">
      <c r="A65" s="662"/>
      <c r="B65" s="156"/>
      <c r="C65" s="156"/>
      <c r="D65" s="223" t="s">
        <v>4</v>
      </c>
      <c r="E65" s="156" t="s">
        <v>30</v>
      </c>
      <c r="F65" s="161"/>
      <c r="G65" s="161"/>
      <c r="H65" s="222" t="s">
        <v>4</v>
      </c>
      <c r="I65" s="156" t="s">
        <v>30</v>
      </c>
      <c r="J65" s="161"/>
      <c r="K65" s="203"/>
      <c r="L65" s="156" t="s">
        <v>4</v>
      </c>
      <c r="M65" s="156" t="s">
        <v>30</v>
      </c>
    </row>
    <row r="66" spans="1:14" ht="15.75" x14ac:dyDescent="0.2">
      <c r="A66" s="14" t="s">
        <v>23</v>
      </c>
      <c r="B66" s="329">
        <v>61269</v>
      </c>
      <c r="C66" s="329">
        <v>64941</v>
      </c>
      <c r="D66" s="326">
        <f>IF(B66=0, "    ---- ", IF(ABS(ROUND(100/B66*C66-100,1))&lt;999,ROUND(100/B66*C66-100,1),IF(ROUND(100/B66*C66-100,1)&gt;999,999,-999)))</f>
        <v>6</v>
      </c>
      <c r="E66" s="11">
        <f>IFERROR(100/'Skjema total MA'!C66*C66,0)</f>
        <v>2.0811202805963585</v>
      </c>
      <c r="F66" s="328">
        <v>754983</v>
      </c>
      <c r="G66" s="328">
        <v>844819</v>
      </c>
      <c r="H66" s="326">
        <f>IF(F66=0, "    ---- ", IF(ABS(ROUND(100/F66*G66-100,1))&lt;999,ROUND(100/F66*G66-100,1),IF(ROUND(100/F66*G66-100,1)&gt;999,999,-999)))</f>
        <v>11.9</v>
      </c>
      <c r="I66" s="24">
        <f>IFERROR(100/'Skjema total MA'!F66*G66,0)</f>
        <v>8.8648535703824507</v>
      </c>
      <c r="J66" s="159">
        <f t="shared" ref="J66:K68" si="8">SUM(B66,F66)</f>
        <v>816252</v>
      </c>
      <c r="K66" s="292">
        <f t="shared" si="8"/>
        <v>909760</v>
      </c>
      <c r="L66" s="402">
        <f>IF(J66=0, "    ---- ", IF(ABS(ROUND(100/J66*K66-100,1))&lt;999,ROUND(100/J66*K66-100,1),IF(ROUND(100/J66*K66-100,1)&gt;999,999,-999)))</f>
        <v>11.5</v>
      </c>
      <c r="M66" s="11">
        <f>IFERROR(100/'Skjema total MA'!I66*K66,0)</f>
        <v>7.1915141054274656</v>
      </c>
    </row>
    <row r="67" spans="1:14" x14ac:dyDescent="0.2">
      <c r="A67" s="393" t="s">
        <v>9</v>
      </c>
      <c r="B67" s="44">
        <v>61269</v>
      </c>
      <c r="C67" s="145">
        <v>64941</v>
      </c>
      <c r="D67" s="166">
        <f>IF(B67=0, "    ---- ", IF(ABS(ROUND(100/B67*C67-100,1))&lt;999,ROUND(100/B67*C67-100,1),IF(ROUND(100/B67*C67-100,1)&gt;999,999,-999)))</f>
        <v>6</v>
      </c>
      <c r="E67" s="23">
        <f>IFERROR(100/'Skjema total MA'!C67*C67,0)</f>
        <v>2.6807109548702348</v>
      </c>
      <c r="F67" s="211"/>
      <c r="G67" s="145"/>
      <c r="H67" s="166"/>
      <c r="I67" s="23"/>
      <c r="J67" s="145">
        <f t="shared" si="8"/>
        <v>61269</v>
      </c>
      <c r="K67" s="44">
        <f t="shared" si="8"/>
        <v>64941</v>
      </c>
      <c r="L67" s="231">
        <f>IF(J67=0, "    ---- ", IF(ABS(ROUND(100/J67*K67-100,1))&lt;999,ROUND(100/J67*K67-100,1),IF(ROUND(100/J67*K67-100,1)&gt;999,999,-999)))</f>
        <v>6</v>
      </c>
      <c r="M67" s="27">
        <f>IFERROR(100/'Skjema total MA'!I67*K67,0)</f>
        <v>2.6807109548702348</v>
      </c>
    </row>
    <row r="68" spans="1:14" x14ac:dyDescent="0.2">
      <c r="A68" s="21" t="s">
        <v>10</v>
      </c>
      <c r="B68" s="268"/>
      <c r="C68" s="269"/>
      <c r="D68" s="166"/>
      <c r="E68" s="23"/>
      <c r="F68" s="268">
        <v>754983</v>
      </c>
      <c r="G68" s="268">
        <v>844819</v>
      </c>
      <c r="H68" s="166">
        <f>IF(F68=0, "    ---- ", IF(ABS(ROUND(100/F68*G68-100,1))&lt;999,ROUND(100/F68*G68-100,1),IF(ROUND(100/F68*G68-100,1)&gt;999,999,-999)))</f>
        <v>11.9</v>
      </c>
      <c r="I68" s="23">
        <f>IFERROR(100/'Skjema total MA'!F68*G68,0)</f>
        <v>9.2242803992394542</v>
      </c>
      <c r="J68" s="145">
        <f t="shared" si="8"/>
        <v>754983</v>
      </c>
      <c r="K68" s="44">
        <f t="shared" si="8"/>
        <v>844819</v>
      </c>
      <c r="L68" s="231">
        <f>IF(J68=0, "    ---- ", IF(ABS(ROUND(100/J68*K68-100,1))&lt;999,ROUND(100/J68*K68-100,1),IF(ROUND(100/J68*K68-100,1)&gt;999,999,-999)))</f>
        <v>11.9</v>
      </c>
      <c r="M68" s="27">
        <f>IFERROR(100/'Skjema total MA'!I68*K68,0)</f>
        <v>9.2103973708253282</v>
      </c>
    </row>
    <row r="69" spans="1:14" ht="15.75" x14ac:dyDescent="0.2">
      <c r="A69" s="272" t="s">
        <v>356</v>
      </c>
      <c r="B69" s="295"/>
      <c r="C69" s="295"/>
      <c r="D69" s="166"/>
      <c r="E69" s="23"/>
      <c r="F69" s="295"/>
      <c r="G69" s="295"/>
      <c r="H69" s="166"/>
      <c r="I69" s="23"/>
      <c r="J69" s="295"/>
      <c r="K69" s="295"/>
      <c r="L69" s="166"/>
      <c r="M69" s="23"/>
    </row>
    <row r="70" spans="1:14" x14ac:dyDescent="0.2">
      <c r="A70" s="272" t="s">
        <v>12</v>
      </c>
      <c r="B70" s="270"/>
      <c r="C70" s="271"/>
      <c r="D70" s="166"/>
      <c r="E70" s="23"/>
      <c r="F70" s="270"/>
      <c r="G70" s="271"/>
      <c r="H70" s="166"/>
      <c r="I70" s="23"/>
      <c r="J70" s="270"/>
      <c r="K70" s="271"/>
      <c r="L70" s="166"/>
      <c r="M70" s="23"/>
    </row>
    <row r="71" spans="1:14" x14ac:dyDescent="0.2">
      <c r="A71" s="272" t="s">
        <v>13</v>
      </c>
      <c r="B71" s="212"/>
      <c r="C71" s="266"/>
      <c r="D71" s="166"/>
      <c r="E71" s="23"/>
      <c r="F71" s="212"/>
      <c r="G71" s="266"/>
      <c r="H71" s="166"/>
      <c r="I71" s="23"/>
      <c r="J71" s="212"/>
      <c r="K71" s="266"/>
      <c r="L71" s="166"/>
      <c r="M71" s="23"/>
    </row>
    <row r="72" spans="1:14" ht="15.75" x14ac:dyDescent="0.2">
      <c r="A72" s="272" t="s">
        <v>357</v>
      </c>
      <c r="B72" s="295"/>
      <c r="C72" s="295"/>
      <c r="D72" s="166"/>
      <c r="E72" s="23"/>
      <c r="F72" s="295"/>
      <c r="G72" s="295"/>
      <c r="H72" s="166"/>
      <c r="I72" s="23"/>
      <c r="J72" s="295"/>
      <c r="K72" s="295"/>
      <c r="L72" s="166"/>
      <c r="M72" s="23"/>
    </row>
    <row r="73" spans="1:14" x14ac:dyDescent="0.2">
      <c r="A73" s="272" t="s">
        <v>12</v>
      </c>
      <c r="B73" s="212"/>
      <c r="C73" s="266"/>
      <c r="D73" s="166"/>
      <c r="E73" s="23"/>
      <c r="F73" s="212"/>
      <c r="G73" s="266"/>
      <c r="H73" s="166"/>
      <c r="I73" s="23"/>
      <c r="J73" s="212"/>
      <c r="K73" s="266"/>
      <c r="L73" s="166"/>
      <c r="M73" s="23"/>
    </row>
    <row r="74" spans="1:14" s="3" customFormat="1" x14ac:dyDescent="0.2">
      <c r="A74" s="272" t="s">
        <v>13</v>
      </c>
      <c r="B74" s="212"/>
      <c r="C74" s="266"/>
      <c r="D74" s="166"/>
      <c r="E74" s="23"/>
      <c r="F74" s="212"/>
      <c r="G74" s="266"/>
      <c r="H74" s="166"/>
      <c r="I74" s="23"/>
      <c r="J74" s="212"/>
      <c r="K74" s="266"/>
      <c r="L74" s="166"/>
      <c r="M74" s="23"/>
      <c r="N74" s="148"/>
    </row>
    <row r="75" spans="1:14" s="3" customFormat="1" x14ac:dyDescent="0.2">
      <c r="A75" s="21" t="s">
        <v>326</v>
      </c>
      <c r="B75" s="211"/>
      <c r="C75" s="145"/>
      <c r="D75" s="166"/>
      <c r="E75" s="23"/>
      <c r="F75" s="211"/>
      <c r="G75" s="145"/>
      <c r="H75" s="166"/>
      <c r="I75" s="23"/>
      <c r="J75" s="145"/>
      <c r="K75" s="44"/>
      <c r="L75" s="231"/>
      <c r="M75" s="27"/>
      <c r="N75" s="148"/>
    </row>
    <row r="76" spans="1:14" s="3" customFormat="1" x14ac:dyDescent="0.2">
      <c r="A76" s="21" t="s">
        <v>325</v>
      </c>
      <c r="B76" s="211"/>
      <c r="C76" s="145"/>
      <c r="D76" s="166"/>
      <c r="E76" s="23"/>
      <c r="F76" s="211"/>
      <c r="G76" s="145"/>
      <c r="H76" s="166"/>
      <c r="I76" s="23"/>
      <c r="J76" s="145"/>
      <c r="K76" s="44"/>
      <c r="L76" s="231"/>
      <c r="M76" s="27"/>
      <c r="N76" s="148"/>
    </row>
    <row r="77" spans="1:14" ht="15.75" x14ac:dyDescent="0.2">
      <c r="A77" s="21" t="s">
        <v>358</v>
      </c>
      <c r="B77" s="211">
        <v>61155</v>
      </c>
      <c r="C77" s="211">
        <v>64765</v>
      </c>
      <c r="D77" s="166">
        <f>IF(B77=0, "    ---- ", IF(ABS(ROUND(100/B77*C77-100,1))&lt;999,ROUND(100/B77*C77-100,1),IF(ROUND(100/B77*C77-100,1)&gt;999,999,-999)))</f>
        <v>5.9</v>
      </c>
      <c r="E77" s="23">
        <f>IFERROR(100/'Skjema total MA'!C77*C77,0)</f>
        <v>2.7611220708190176</v>
      </c>
      <c r="F77" s="211">
        <v>754983</v>
      </c>
      <c r="G77" s="145">
        <v>844819</v>
      </c>
      <c r="H77" s="166">
        <f>IF(F77=0, "    ---- ", IF(ABS(ROUND(100/F77*G77-100,1))&lt;999,ROUND(100/F77*G77-100,1),IF(ROUND(100/F77*G77-100,1)&gt;999,999,-999)))</f>
        <v>11.9</v>
      </c>
      <c r="I77" s="23">
        <f>IFERROR(100/'Skjema total MA'!F77*G77,0)</f>
        <v>9.227308473507934</v>
      </c>
      <c r="J77" s="145">
        <f t="shared" ref="J77:K79" si="9">SUM(B77,F77)</f>
        <v>816138</v>
      </c>
      <c r="K77" s="44">
        <f t="shared" si="9"/>
        <v>909584</v>
      </c>
      <c r="L77" s="231">
        <f>IF(J77=0, "    ---- ", IF(ABS(ROUND(100/J77*K77-100,1))&lt;999,ROUND(100/J77*K77-100,1),IF(ROUND(100/J77*K77-100,1)&gt;999,999,-999)))</f>
        <v>11.4</v>
      </c>
      <c r="M77" s="27">
        <f>IFERROR(100/'Skjema total MA'!I77*K77,0)</f>
        <v>7.9085714148233297</v>
      </c>
    </row>
    <row r="78" spans="1:14" x14ac:dyDescent="0.2">
      <c r="A78" s="21" t="s">
        <v>9</v>
      </c>
      <c r="B78" s="211">
        <v>61155</v>
      </c>
      <c r="C78" s="145">
        <v>64765</v>
      </c>
      <c r="D78" s="166">
        <f>IF(B78=0, "    ---- ", IF(ABS(ROUND(100/B78*C78-100,1))&lt;999,ROUND(100/B78*C78-100,1),IF(ROUND(100/B78*C78-100,1)&gt;999,999,-999)))</f>
        <v>5.9</v>
      </c>
      <c r="E78" s="23">
        <f>IFERROR(100/'Skjema total MA'!C78*C78,0)</f>
        <v>2.7764912510195368</v>
      </c>
      <c r="F78" s="211"/>
      <c r="G78" s="145"/>
      <c r="H78" s="166"/>
      <c r="I78" s="23"/>
      <c r="J78" s="145">
        <f t="shared" si="9"/>
        <v>61155</v>
      </c>
      <c r="K78" s="44">
        <f t="shared" si="9"/>
        <v>64765</v>
      </c>
      <c r="L78" s="231">
        <f>IF(J78=0, "    ---- ", IF(ABS(ROUND(100/J78*K78-100,1))&lt;999,ROUND(100/J78*K78-100,1),IF(ROUND(100/J78*K78-100,1)&gt;999,999,-999)))</f>
        <v>5.9</v>
      </c>
      <c r="M78" s="27">
        <f>IFERROR(100/'Skjema total MA'!I78*K78,0)</f>
        <v>2.7764912510195368</v>
      </c>
    </row>
    <row r="79" spans="1:14" x14ac:dyDescent="0.2">
      <c r="A79" s="38" t="s">
        <v>398</v>
      </c>
      <c r="B79" s="268"/>
      <c r="C79" s="269"/>
      <c r="D79" s="166"/>
      <c r="E79" s="23"/>
      <c r="F79" s="268">
        <v>754983</v>
      </c>
      <c r="G79" s="269">
        <v>844819</v>
      </c>
      <c r="H79" s="166">
        <f>IF(F79=0, "    ---- ", IF(ABS(ROUND(100/F79*G79-100,1))&lt;999,ROUND(100/F79*G79-100,1),IF(ROUND(100/F79*G79-100,1)&gt;999,999,-999)))</f>
        <v>11.9</v>
      </c>
      <c r="I79" s="23">
        <f>IFERROR(100/'Skjema total MA'!F79*G79,0)</f>
        <v>9.227308473507934</v>
      </c>
      <c r="J79" s="145">
        <f t="shared" si="9"/>
        <v>754983</v>
      </c>
      <c r="K79" s="44">
        <f t="shared" si="9"/>
        <v>844819</v>
      </c>
      <c r="L79" s="231">
        <f>IF(J79=0, "    ---- ", IF(ABS(ROUND(100/J79*K79-100,1))&lt;999,ROUND(100/J79*K79-100,1),IF(ROUND(100/J79*K79-100,1)&gt;999,999,-999)))</f>
        <v>11.9</v>
      </c>
      <c r="M79" s="27">
        <f>IFERROR(100/'Skjema total MA'!I79*K79,0)</f>
        <v>9.2142413466866717</v>
      </c>
    </row>
    <row r="80" spans="1:14" ht="15.75" x14ac:dyDescent="0.2">
      <c r="A80" s="272" t="s">
        <v>356</v>
      </c>
      <c r="B80" s="295"/>
      <c r="C80" s="295"/>
      <c r="D80" s="166"/>
      <c r="E80" s="23"/>
      <c r="F80" s="295"/>
      <c r="G80" s="295"/>
      <c r="H80" s="166"/>
      <c r="I80" s="23"/>
      <c r="J80" s="295"/>
      <c r="K80" s="295"/>
      <c r="L80" s="166"/>
      <c r="M80" s="23"/>
    </row>
    <row r="81" spans="1:13" x14ac:dyDescent="0.2">
      <c r="A81" s="272" t="s">
        <v>12</v>
      </c>
      <c r="B81" s="295"/>
      <c r="C81" s="295"/>
      <c r="D81" s="166"/>
      <c r="E81" s="23"/>
      <c r="F81" s="270"/>
      <c r="G81" s="271"/>
      <c r="H81" s="166"/>
      <c r="I81" s="23"/>
      <c r="J81" s="270"/>
      <c r="K81" s="271"/>
      <c r="L81" s="166"/>
      <c r="M81" s="23"/>
    </row>
    <row r="82" spans="1:13" x14ac:dyDescent="0.2">
      <c r="A82" s="272" t="s">
        <v>13</v>
      </c>
      <c r="B82" s="295"/>
      <c r="C82" s="295"/>
      <c r="D82" s="166"/>
      <c r="E82" s="23"/>
      <c r="F82" s="212"/>
      <c r="G82" s="266"/>
      <c r="H82" s="166"/>
      <c r="I82" s="23"/>
      <c r="J82" s="212"/>
      <c r="K82" s="266"/>
      <c r="L82" s="166"/>
      <c r="M82" s="23"/>
    </row>
    <row r="83" spans="1:13" ht="15.75" x14ac:dyDescent="0.2">
      <c r="A83" s="272" t="s">
        <v>357</v>
      </c>
      <c r="B83" s="295"/>
      <c r="C83" s="295"/>
      <c r="D83" s="166"/>
      <c r="E83" s="23"/>
      <c r="F83" s="295"/>
      <c r="G83" s="295"/>
      <c r="H83" s="166"/>
      <c r="I83" s="23"/>
      <c r="J83" s="295"/>
      <c r="K83" s="295"/>
      <c r="L83" s="166"/>
      <c r="M83" s="23"/>
    </row>
    <row r="84" spans="1:13" x14ac:dyDescent="0.2">
      <c r="A84" s="272" t="s">
        <v>12</v>
      </c>
      <c r="B84" s="212"/>
      <c r="C84" s="266"/>
      <c r="D84" s="166"/>
      <c r="E84" s="23"/>
      <c r="F84" s="212"/>
      <c r="G84" s="266"/>
      <c r="H84" s="166"/>
      <c r="I84" s="23"/>
      <c r="J84" s="212"/>
      <c r="K84" s="266"/>
      <c r="L84" s="166"/>
      <c r="M84" s="23"/>
    </row>
    <row r="85" spans="1:13" x14ac:dyDescent="0.2">
      <c r="A85" s="272" t="s">
        <v>13</v>
      </c>
      <c r="B85" s="212"/>
      <c r="C85" s="266"/>
      <c r="D85" s="166"/>
      <c r="E85" s="23"/>
      <c r="F85" s="212"/>
      <c r="G85" s="266"/>
      <c r="H85" s="166"/>
      <c r="I85" s="23"/>
      <c r="J85" s="212"/>
      <c r="K85" s="266"/>
      <c r="L85" s="166"/>
      <c r="M85" s="23"/>
    </row>
    <row r="86" spans="1:13" ht="15.75" x14ac:dyDescent="0.2">
      <c r="A86" s="21" t="s">
        <v>359</v>
      </c>
      <c r="B86" s="211">
        <v>114</v>
      </c>
      <c r="C86" s="145">
        <v>176</v>
      </c>
      <c r="D86" s="166">
        <f>IF(B86=0, "    ---- ", IF(ABS(ROUND(100/B86*C86-100,1))&lt;999,ROUND(100/B86*C86-100,1),IF(ROUND(100/B86*C86-100,1)&gt;999,999,-999)))</f>
        <v>54.4</v>
      </c>
      <c r="E86" s="23">
        <f>IFERROR(100/'Skjema total MA'!C86*C86,0)</f>
        <v>0.19398214696332133</v>
      </c>
      <c r="F86" s="211"/>
      <c r="G86" s="145"/>
      <c r="H86" s="166"/>
      <c r="I86" s="23"/>
      <c r="J86" s="145">
        <f t="shared" ref="J86:K89" si="10">SUM(B86,F86)</f>
        <v>114</v>
      </c>
      <c r="K86" s="44">
        <f t="shared" si="10"/>
        <v>176</v>
      </c>
      <c r="L86" s="231">
        <f>IF(J86=0, "    ---- ", IF(ABS(ROUND(100/J86*K86-100,1))&lt;999,ROUND(100/J86*K86-100,1),IF(ROUND(100/J86*K86-100,1)&gt;999,999,-999)))</f>
        <v>54.4</v>
      </c>
      <c r="M86" s="27">
        <f>IFERROR(100/'Skjema total MA'!I86*K86,0)</f>
        <v>0.18776176893696137</v>
      </c>
    </row>
    <row r="87" spans="1:13" ht="15.75" x14ac:dyDescent="0.2">
      <c r="A87" s="13" t="s">
        <v>341</v>
      </c>
      <c r="B87" s="329">
        <v>5214537</v>
      </c>
      <c r="C87" s="329">
        <v>5458430</v>
      </c>
      <c r="D87" s="171">
        <f>IF(B87=0, "    ---- ", IF(ABS(ROUND(100/B87*C87-100,1))&lt;999,ROUND(100/B87*C87-100,1),IF(ROUND(100/B87*C87-100,1)&gt;999,999,-999)))</f>
        <v>4.7</v>
      </c>
      <c r="E87" s="24">
        <f>IFERROR(100/'Skjema total MA'!C87*C87,0)</f>
        <v>1.3681319412398196</v>
      </c>
      <c r="F87" s="328">
        <v>24151045</v>
      </c>
      <c r="G87" s="328">
        <v>33746854</v>
      </c>
      <c r="H87" s="171">
        <f>IF(F87=0, "    ---- ", IF(ABS(ROUND(100/F87*G87-100,1))&lt;999,ROUND(100/F87*G87-100,1),IF(ROUND(100/F87*G87-100,1)&gt;999,999,-999)))</f>
        <v>39.700000000000003</v>
      </c>
      <c r="I87" s="24">
        <f>IFERROR(100/'Skjema total MA'!F87*G87,0)</f>
        <v>8.5745591271972188</v>
      </c>
      <c r="J87" s="159">
        <f t="shared" si="10"/>
        <v>29365582</v>
      </c>
      <c r="K87" s="213">
        <f t="shared" si="10"/>
        <v>39205284</v>
      </c>
      <c r="L87" s="402">
        <f>IF(J87=0, "    ---- ", IF(ABS(ROUND(100/J87*K87-100,1))&lt;999,ROUND(100/J87*K87-100,1),IF(ROUND(100/J87*K87-100,1)&gt;999,999,-999)))</f>
        <v>33.5</v>
      </c>
      <c r="M87" s="11">
        <f>IFERROR(100/'Skjema total MA'!I87*K87,0)</f>
        <v>4.9467948424852706</v>
      </c>
    </row>
    <row r="88" spans="1:13" x14ac:dyDescent="0.2">
      <c r="A88" s="21" t="s">
        <v>9</v>
      </c>
      <c r="B88" s="211">
        <v>5214537</v>
      </c>
      <c r="C88" s="145">
        <v>5458430</v>
      </c>
      <c r="D88" s="166">
        <f>IF(B88=0, "    ---- ", IF(ABS(ROUND(100/B88*C88-100,1))&lt;999,ROUND(100/B88*C88-100,1),IF(ROUND(100/B88*C88-100,1)&gt;999,999,-999)))</f>
        <v>4.7</v>
      </c>
      <c r="E88" s="23">
        <f>IFERROR(100/'Skjema total MA'!C88*C88,0)</f>
        <v>1.4121609112365541</v>
      </c>
      <c r="F88" s="211"/>
      <c r="G88" s="145"/>
      <c r="H88" s="166"/>
      <c r="I88" s="23"/>
      <c r="J88" s="145">
        <f t="shared" si="10"/>
        <v>5214537</v>
      </c>
      <c r="K88" s="44">
        <f t="shared" si="10"/>
        <v>5458430</v>
      </c>
      <c r="L88" s="231">
        <f>IF(J88=0, "    ---- ", IF(ABS(ROUND(100/J88*K88-100,1))&lt;999,ROUND(100/J88*K88-100,1),IF(ROUND(100/J88*K88-100,1)&gt;999,999,-999)))</f>
        <v>4.7</v>
      </c>
      <c r="M88" s="27">
        <f>IFERROR(100/'Skjema total MA'!I88*K88,0)</f>
        <v>1.4121609112365541</v>
      </c>
    </row>
    <row r="89" spans="1:13" x14ac:dyDescent="0.2">
      <c r="A89" s="21" t="s">
        <v>10</v>
      </c>
      <c r="B89" s="211"/>
      <c r="C89" s="145"/>
      <c r="D89" s="166"/>
      <c r="E89" s="23"/>
      <c r="F89" s="211">
        <v>24151045</v>
      </c>
      <c r="G89" s="145">
        <v>33746854</v>
      </c>
      <c r="H89" s="166">
        <f>IF(F89=0, "    ---- ", IF(ABS(ROUND(100/F89*G89-100,1))&lt;999,ROUND(100/F89*G89-100,1),IF(ROUND(100/F89*G89-100,1)&gt;999,999,-999)))</f>
        <v>39.700000000000003</v>
      </c>
      <c r="I89" s="23">
        <f>IFERROR(100/'Skjema total MA'!F89*G89,0)</f>
        <v>8.6535270166381526</v>
      </c>
      <c r="J89" s="145">
        <f t="shared" si="10"/>
        <v>24151045</v>
      </c>
      <c r="K89" s="44">
        <f t="shared" si="10"/>
        <v>33746854</v>
      </c>
      <c r="L89" s="231">
        <f>IF(J89=0, "    ---- ", IF(ABS(ROUND(100/J89*K89-100,1))&lt;999,ROUND(100/J89*K89-100,1),IF(ROUND(100/J89*K89-100,1)&gt;999,999,-999)))</f>
        <v>39.700000000000003</v>
      </c>
      <c r="M89" s="27">
        <f>IFERROR(100/'Skjema total MA'!I89*K89,0)</f>
        <v>8.5862385214130938</v>
      </c>
    </row>
    <row r="90" spans="1:13" ht="15.75" x14ac:dyDescent="0.2">
      <c r="A90" s="272" t="s">
        <v>356</v>
      </c>
      <c r="B90" s="295"/>
      <c r="C90" s="295"/>
      <c r="D90" s="166"/>
      <c r="E90" s="23"/>
      <c r="F90" s="295"/>
      <c r="G90" s="295"/>
      <c r="H90" s="166"/>
      <c r="I90" s="23"/>
      <c r="J90" s="295"/>
      <c r="K90" s="295"/>
      <c r="L90" s="166"/>
      <c r="M90" s="23"/>
    </row>
    <row r="91" spans="1:13" x14ac:dyDescent="0.2">
      <c r="A91" s="272" t="s">
        <v>12</v>
      </c>
      <c r="B91" s="295"/>
      <c r="C91" s="295"/>
      <c r="D91" s="166"/>
      <c r="E91" s="23"/>
      <c r="F91" s="270"/>
      <c r="G91" s="271"/>
      <c r="H91" s="166"/>
      <c r="I91" s="23"/>
      <c r="J91" s="270"/>
      <c r="K91" s="271"/>
      <c r="L91" s="166"/>
      <c r="M91" s="23"/>
    </row>
    <row r="92" spans="1:13" x14ac:dyDescent="0.2">
      <c r="A92" s="272" t="s">
        <v>13</v>
      </c>
      <c r="B92" s="295"/>
      <c r="C92" s="295"/>
      <c r="D92" s="166"/>
      <c r="E92" s="23"/>
      <c r="F92" s="212"/>
      <c r="G92" s="266"/>
      <c r="H92" s="166"/>
      <c r="I92" s="23"/>
      <c r="J92" s="212"/>
      <c r="K92" s="266"/>
      <c r="L92" s="166"/>
      <c r="M92" s="23"/>
    </row>
    <row r="93" spans="1:13" ht="15.75" x14ac:dyDescent="0.2">
      <c r="A93" s="272" t="s">
        <v>357</v>
      </c>
      <c r="B93" s="295"/>
      <c r="C93" s="295"/>
      <c r="D93" s="166"/>
      <c r="E93" s="23"/>
      <c r="F93" s="295"/>
      <c r="G93" s="295"/>
      <c r="H93" s="166"/>
      <c r="I93" s="23"/>
      <c r="J93" s="295"/>
      <c r="K93" s="295"/>
      <c r="L93" s="166"/>
      <c r="M93" s="23"/>
    </row>
    <row r="94" spans="1:13" x14ac:dyDescent="0.2">
      <c r="A94" s="272" t="s">
        <v>12</v>
      </c>
      <c r="B94" s="212"/>
      <c r="C94" s="266"/>
      <c r="D94" s="166"/>
      <c r="E94" s="23"/>
      <c r="F94" s="212"/>
      <c r="G94" s="266"/>
      <c r="H94" s="166"/>
      <c r="I94" s="23"/>
      <c r="J94" s="212"/>
      <c r="K94" s="266"/>
      <c r="L94" s="166"/>
      <c r="M94" s="23"/>
    </row>
    <row r="95" spans="1:13" x14ac:dyDescent="0.2">
      <c r="A95" s="272" t="s">
        <v>13</v>
      </c>
      <c r="B95" s="212"/>
      <c r="C95" s="266"/>
      <c r="D95" s="166"/>
      <c r="E95" s="23"/>
      <c r="F95" s="212"/>
      <c r="G95" s="266"/>
      <c r="H95" s="166"/>
      <c r="I95" s="23"/>
      <c r="J95" s="212"/>
      <c r="K95" s="266"/>
      <c r="L95" s="166"/>
      <c r="M95" s="23"/>
    </row>
    <row r="96" spans="1:13" x14ac:dyDescent="0.2">
      <c r="A96" s="21" t="s">
        <v>324</v>
      </c>
      <c r="B96" s="211"/>
      <c r="C96" s="145"/>
      <c r="D96" s="166"/>
      <c r="E96" s="23"/>
      <c r="F96" s="211"/>
      <c r="G96" s="145"/>
      <c r="H96" s="166"/>
      <c r="I96" s="23"/>
      <c r="J96" s="145"/>
      <c r="K96" s="44"/>
      <c r="L96" s="231"/>
      <c r="M96" s="27"/>
    </row>
    <row r="97" spans="1:13" x14ac:dyDescent="0.2">
      <c r="A97" s="21" t="s">
        <v>323</v>
      </c>
      <c r="B97" s="211"/>
      <c r="C97" s="145"/>
      <c r="D97" s="166"/>
      <c r="E97" s="23"/>
      <c r="F97" s="211"/>
      <c r="G97" s="145"/>
      <c r="H97" s="166"/>
      <c r="I97" s="23"/>
      <c r="J97" s="145"/>
      <c r="K97" s="44"/>
      <c r="L97" s="231"/>
      <c r="M97" s="27"/>
    </row>
    <row r="98" spans="1:13" ht="15.75" x14ac:dyDescent="0.2">
      <c r="A98" s="21" t="s">
        <v>358</v>
      </c>
      <c r="B98" s="211">
        <v>5213491</v>
      </c>
      <c r="C98" s="211">
        <v>5456756</v>
      </c>
      <c r="D98" s="166">
        <f t="shared" ref="D98:D99" si="11">IF(B98=0, "    ---- ", IF(ABS(ROUND(100/B98*C98-100,1))&lt;999,ROUND(100/B98*C98-100,1),IF(ROUND(100/B98*C98-100,1)&gt;999,999,-999)))</f>
        <v>4.7</v>
      </c>
      <c r="E98" s="23">
        <f>IFERROR(100/'Skjema total MA'!C98*C98,0)</f>
        <v>1.4168235894188734</v>
      </c>
      <c r="F98" s="268">
        <v>24151045</v>
      </c>
      <c r="G98" s="268">
        <v>33746854</v>
      </c>
      <c r="H98" s="166">
        <f t="shared" ref="H98:H100" si="12">IF(F98=0, "    ---- ", IF(ABS(ROUND(100/F98*G98-100,1))&lt;999,ROUND(100/F98*G98-100,1),IF(ROUND(100/F98*G98-100,1)&gt;999,999,-999)))</f>
        <v>39.700000000000003</v>
      </c>
      <c r="I98" s="23">
        <f>IFERROR(100/'Skjema total MA'!F98*G98,0)</f>
        <v>8.6775223802549828</v>
      </c>
      <c r="J98" s="145">
        <f t="shared" ref="J98:K100" si="13">SUM(B98,F98)</f>
        <v>29364536</v>
      </c>
      <c r="K98" s="44">
        <f t="shared" si="13"/>
        <v>39203610</v>
      </c>
      <c r="L98" s="231">
        <f t="shared" ref="L98:L100" si="14">IF(J98=0, "    ---- ", IF(ABS(ROUND(100/J98*K98-100,1))&lt;999,ROUND(100/J98*K98-100,1),IF(ROUND(100/J98*K98-100,1)&gt;999,999,-999)))</f>
        <v>33.5</v>
      </c>
      <c r="M98" s="27">
        <f>IFERROR(100/'Skjema total MA'!I98*K98,0)</f>
        <v>5.0648056954066467</v>
      </c>
    </row>
    <row r="99" spans="1:13" x14ac:dyDescent="0.2">
      <c r="A99" s="21" t="s">
        <v>9</v>
      </c>
      <c r="B99" s="268">
        <v>5213491</v>
      </c>
      <c r="C99" s="269">
        <v>5456756</v>
      </c>
      <c r="D99" s="166">
        <f t="shared" si="11"/>
        <v>4.7</v>
      </c>
      <c r="E99" s="23">
        <f>IFERROR(100/'Skjema total MA'!C99*C99,0)</f>
        <v>1.4281563313754289</v>
      </c>
      <c r="F99" s="211"/>
      <c r="G99" s="145"/>
      <c r="H99" s="166"/>
      <c r="I99" s="23"/>
      <c r="J99" s="145">
        <f t="shared" si="13"/>
        <v>5213491</v>
      </c>
      <c r="K99" s="44">
        <f t="shared" si="13"/>
        <v>5456756</v>
      </c>
      <c r="L99" s="231">
        <f t="shared" si="14"/>
        <v>4.7</v>
      </c>
      <c r="M99" s="27">
        <f>IFERROR(100/'Skjema total MA'!I99*K99,0)</f>
        <v>1.4281563313754289</v>
      </c>
    </row>
    <row r="100" spans="1:13" ht="15.75" x14ac:dyDescent="0.2">
      <c r="A100" s="38" t="s">
        <v>399</v>
      </c>
      <c r="B100" s="268"/>
      <c r="C100" s="269"/>
      <c r="D100" s="166"/>
      <c r="E100" s="23"/>
      <c r="F100" s="211">
        <v>24151045</v>
      </c>
      <c r="G100" s="211">
        <v>33746854</v>
      </c>
      <c r="H100" s="166">
        <f t="shared" si="12"/>
        <v>39.700000000000003</v>
      </c>
      <c r="I100" s="23">
        <f>IFERROR(100/'Skjema total MA'!F100*G100,0)</f>
        <v>8.6775223802549828</v>
      </c>
      <c r="J100" s="145">
        <f t="shared" si="13"/>
        <v>24151045</v>
      </c>
      <c r="K100" s="44">
        <f t="shared" si="13"/>
        <v>33746854</v>
      </c>
      <c r="L100" s="231">
        <f t="shared" si="14"/>
        <v>39.700000000000003</v>
      </c>
      <c r="M100" s="27">
        <f>IFERROR(100/'Skjema total MA'!I100*K100,0)</f>
        <v>8.6098616580124787</v>
      </c>
    </row>
    <row r="101" spans="1:13" ht="15.75" x14ac:dyDescent="0.2">
      <c r="A101" s="38" t="s">
        <v>400</v>
      </c>
      <c r="B101" s="268"/>
      <c r="C101" s="268"/>
      <c r="D101" s="166"/>
      <c r="E101" s="23"/>
      <c r="F101" s="268"/>
      <c r="G101" s="268"/>
      <c r="H101" s="166"/>
      <c r="I101" s="23"/>
      <c r="J101" s="145"/>
      <c r="K101" s="44"/>
      <c r="L101" s="231"/>
      <c r="M101" s="27"/>
    </row>
    <row r="102" spans="1:13" ht="15.75" x14ac:dyDescent="0.2">
      <c r="A102" s="272" t="s">
        <v>356</v>
      </c>
      <c r="B102" s="295"/>
      <c r="C102" s="295"/>
      <c r="D102" s="166"/>
      <c r="E102" s="23"/>
      <c r="F102" s="295"/>
      <c r="G102" s="295"/>
      <c r="H102" s="166"/>
      <c r="I102" s="23"/>
      <c r="J102" s="295"/>
      <c r="K102" s="295"/>
      <c r="L102" s="166"/>
      <c r="M102" s="23"/>
    </row>
    <row r="103" spans="1:13" x14ac:dyDescent="0.2">
      <c r="A103" s="272" t="s">
        <v>12</v>
      </c>
      <c r="B103" s="295"/>
      <c r="C103" s="295"/>
      <c r="D103" s="166"/>
      <c r="E103" s="23"/>
      <c r="F103" s="270"/>
      <c r="G103" s="271"/>
      <c r="H103" s="166"/>
      <c r="I103" s="23"/>
      <c r="J103" s="270"/>
      <c r="K103" s="271"/>
      <c r="L103" s="166"/>
      <c r="M103" s="23"/>
    </row>
    <row r="104" spans="1:13" x14ac:dyDescent="0.2">
      <c r="A104" s="272" t="s">
        <v>13</v>
      </c>
      <c r="B104" s="295"/>
      <c r="C104" s="295"/>
      <c r="D104" s="166"/>
      <c r="E104" s="23"/>
      <c r="F104" s="212"/>
      <c r="G104" s="266"/>
      <c r="H104" s="166"/>
      <c r="I104" s="23"/>
      <c r="J104" s="212"/>
      <c r="K104" s="266"/>
      <c r="L104" s="166"/>
      <c r="M104" s="23"/>
    </row>
    <row r="105" spans="1:13" ht="15.75" x14ac:dyDescent="0.2">
      <c r="A105" s="272" t="s">
        <v>357</v>
      </c>
      <c r="B105" s="295"/>
      <c r="C105" s="295"/>
      <c r="D105" s="166"/>
      <c r="E105" s="23"/>
      <c r="F105" s="295"/>
      <c r="G105" s="295"/>
      <c r="H105" s="166"/>
      <c r="I105" s="23"/>
      <c r="J105" s="295"/>
      <c r="K105" s="295"/>
      <c r="L105" s="166"/>
      <c r="M105" s="23"/>
    </row>
    <row r="106" spans="1:13" x14ac:dyDescent="0.2">
      <c r="A106" s="272" t="s">
        <v>12</v>
      </c>
      <c r="B106" s="212"/>
      <c r="C106" s="266"/>
      <c r="D106" s="166"/>
      <c r="E106" s="23"/>
      <c r="F106" s="212"/>
      <c r="G106" s="266"/>
      <c r="H106" s="166"/>
      <c r="I106" s="23"/>
      <c r="J106" s="212"/>
      <c r="K106" s="266"/>
      <c r="L106" s="166"/>
      <c r="M106" s="23"/>
    </row>
    <row r="107" spans="1:13" x14ac:dyDescent="0.2">
      <c r="A107" s="272" t="s">
        <v>13</v>
      </c>
      <c r="B107" s="212"/>
      <c r="C107" s="266"/>
      <c r="D107" s="166"/>
      <c r="E107" s="23"/>
      <c r="F107" s="212"/>
      <c r="G107" s="266"/>
      <c r="H107" s="166"/>
      <c r="I107" s="23"/>
      <c r="J107" s="212"/>
      <c r="K107" s="266"/>
      <c r="L107" s="166"/>
      <c r="M107" s="23"/>
    </row>
    <row r="108" spans="1:13" ht="15.75" x14ac:dyDescent="0.2">
      <c r="A108" s="21" t="s">
        <v>359</v>
      </c>
      <c r="B108" s="211">
        <v>1046</v>
      </c>
      <c r="C108" s="145">
        <v>1674</v>
      </c>
      <c r="D108" s="166">
        <f t="shared" ref="D108:D112" si="15">IF(B108=0, "    ---- ", IF(ABS(ROUND(100/B108*C108-100,1))&lt;999,ROUND(100/B108*C108-100,1),IF(ROUND(100/B108*C108-100,1)&gt;999,999,-999)))</f>
        <v>60</v>
      </c>
      <c r="E108" s="23">
        <f>IFERROR(100/'Skjema total MA'!C108*C108,0)</f>
        <v>3.7648667639021249E-2</v>
      </c>
      <c r="F108" s="211"/>
      <c r="G108" s="145"/>
      <c r="H108" s="166"/>
      <c r="I108" s="23"/>
      <c r="J108" s="145">
        <f t="shared" ref="J108:K112" si="16">SUM(B108,F108)</f>
        <v>1046</v>
      </c>
      <c r="K108" s="44">
        <f t="shared" si="16"/>
        <v>1674</v>
      </c>
      <c r="L108" s="231">
        <f t="shared" ref="L108:L112" si="17">IF(J108=0, "    ---- ", IF(ABS(ROUND(100/J108*K108-100,1))&lt;999,ROUND(100/J108*K108-100,1),IF(ROUND(100/J108*K108-100,1)&gt;999,999,-999)))</f>
        <v>60</v>
      </c>
      <c r="M108" s="27">
        <f>IFERROR(100/'Skjema total MA'!I108*K108,0)</f>
        <v>3.0300001196190831E-2</v>
      </c>
    </row>
    <row r="109" spans="1:13" ht="15.75" x14ac:dyDescent="0.2">
      <c r="A109" s="21" t="s">
        <v>360</v>
      </c>
      <c r="B109" s="211">
        <v>4095261</v>
      </c>
      <c r="C109" s="211">
        <v>4167938</v>
      </c>
      <c r="D109" s="166">
        <f t="shared" si="15"/>
        <v>1.8</v>
      </c>
      <c r="E109" s="23">
        <f>IFERROR(100/'Skjema total MA'!C109*C109,0)</f>
        <v>1.2624705425875473</v>
      </c>
      <c r="F109" s="211"/>
      <c r="G109" s="211"/>
      <c r="H109" s="166"/>
      <c r="I109" s="23"/>
      <c r="J109" s="145">
        <f t="shared" si="16"/>
        <v>4095261</v>
      </c>
      <c r="K109" s="44">
        <f t="shared" si="16"/>
        <v>4167938</v>
      </c>
      <c r="L109" s="231">
        <f t="shared" si="17"/>
        <v>1.8</v>
      </c>
      <c r="M109" s="27">
        <f>IFERROR(100/'Skjema total MA'!I109*K109,0)</f>
        <v>1.1922437665634111</v>
      </c>
    </row>
    <row r="110" spans="1:13" ht="15.75" x14ac:dyDescent="0.2">
      <c r="A110" s="38" t="s">
        <v>416</v>
      </c>
      <c r="B110" s="211"/>
      <c r="C110" s="211"/>
      <c r="D110" s="166"/>
      <c r="E110" s="23"/>
      <c r="F110" s="211">
        <v>9041825</v>
      </c>
      <c r="G110" s="211">
        <v>12282234</v>
      </c>
      <c r="H110" s="166">
        <f t="shared" ref="H110:H112" si="18">IF(F110=0, "    ---- ", IF(ABS(ROUND(100/F110*G110-100,1))&lt;999,ROUND(100/F110*G110-100,1),IF(ROUND(100/F110*G110-100,1)&gt;999,999,-999)))</f>
        <v>35.799999999999997</v>
      </c>
      <c r="I110" s="23">
        <f>IFERROR(100/'Skjema total MA'!F110*G110,0)</f>
        <v>9.0800914880666976</v>
      </c>
      <c r="J110" s="145">
        <f t="shared" si="16"/>
        <v>9041825</v>
      </c>
      <c r="K110" s="44">
        <f t="shared" si="16"/>
        <v>12282234</v>
      </c>
      <c r="L110" s="231">
        <f t="shared" si="17"/>
        <v>35.799999999999997</v>
      </c>
      <c r="M110" s="27">
        <f>IFERROR(100/'Skjema total MA'!I110*K110,0)</f>
        <v>8.9742585027511073</v>
      </c>
    </row>
    <row r="111" spans="1:13" ht="15.75" x14ac:dyDescent="0.2">
      <c r="A111" s="21" t="s">
        <v>362</v>
      </c>
      <c r="B111" s="211"/>
      <c r="C111" s="211"/>
      <c r="D111" s="166"/>
      <c r="E111" s="23"/>
      <c r="F111" s="211"/>
      <c r="G111" s="211"/>
      <c r="H111" s="166"/>
      <c r="I111" s="23"/>
      <c r="J111" s="145"/>
      <c r="K111" s="44"/>
      <c r="L111" s="231"/>
      <c r="M111" s="27"/>
    </row>
    <row r="112" spans="1:13" ht="15.75" x14ac:dyDescent="0.2">
      <c r="A112" s="13" t="s">
        <v>342</v>
      </c>
      <c r="B112" s="284">
        <v>14507</v>
      </c>
      <c r="C112" s="159">
        <v>32962</v>
      </c>
      <c r="D112" s="171">
        <f t="shared" si="15"/>
        <v>127.2</v>
      </c>
      <c r="E112" s="24">
        <f>IFERROR(100/'Skjema total MA'!C112*C112,0)</f>
        <v>4.9282674954401351</v>
      </c>
      <c r="F112" s="284">
        <v>417142</v>
      </c>
      <c r="G112" s="159">
        <v>1159234</v>
      </c>
      <c r="H112" s="171">
        <f t="shared" si="18"/>
        <v>177.9</v>
      </c>
      <c r="I112" s="24">
        <f>IFERROR(100/'Skjema total MA'!F112*G112,0)</f>
        <v>12.029622002467372</v>
      </c>
      <c r="J112" s="159">
        <f t="shared" si="16"/>
        <v>431649</v>
      </c>
      <c r="K112" s="213">
        <f t="shared" si="16"/>
        <v>1192196</v>
      </c>
      <c r="L112" s="402">
        <f t="shared" si="17"/>
        <v>176.2</v>
      </c>
      <c r="M112" s="11">
        <f>IFERROR(100/'Skjema total MA'!I112*K112,0)</f>
        <v>11.568730684744954</v>
      </c>
    </row>
    <row r="113" spans="1:14" x14ac:dyDescent="0.2">
      <c r="A113" s="21" t="s">
        <v>9</v>
      </c>
      <c r="B113" s="211">
        <v>14507</v>
      </c>
      <c r="C113" s="145">
        <v>32962</v>
      </c>
      <c r="D113" s="166">
        <f t="shared" ref="D113:D121" si="19">IF(B113=0, "    ---- ", IF(ABS(ROUND(100/B113*C113-100,1))&lt;999,ROUND(100/B113*C113-100,1),IF(ROUND(100/B113*C113-100,1)&gt;999,999,-999)))</f>
        <v>127.2</v>
      </c>
      <c r="E113" s="23">
        <f>IFERROR(100/'Skjema total MA'!C113*C113,0)</f>
        <v>5.4249314034223675</v>
      </c>
      <c r="F113" s="211"/>
      <c r="G113" s="145"/>
      <c r="H113" s="166"/>
      <c r="I113" s="23"/>
      <c r="J113" s="145">
        <f t="shared" ref="J113:K126" si="20">SUM(B113,F113)</f>
        <v>14507</v>
      </c>
      <c r="K113" s="44">
        <f t="shared" si="20"/>
        <v>32962</v>
      </c>
      <c r="L113" s="231">
        <f t="shared" ref="L113:L126" si="21">IF(J113=0, "    ---- ", IF(ABS(ROUND(100/J113*K113-100,1))&lt;999,ROUND(100/J113*K113-100,1),IF(ROUND(100/J113*K113-100,1)&gt;999,999,-999)))</f>
        <v>127.2</v>
      </c>
      <c r="M113" s="27">
        <f>IFERROR(100/'Skjema total MA'!I113*K113,0)</f>
        <v>5.3361587366008418</v>
      </c>
    </row>
    <row r="114" spans="1:14" x14ac:dyDescent="0.2">
      <c r="A114" s="21" t="s">
        <v>10</v>
      </c>
      <c r="B114" s="211"/>
      <c r="C114" s="145"/>
      <c r="D114" s="166"/>
      <c r="E114" s="23"/>
      <c r="F114" s="211">
        <v>417142</v>
      </c>
      <c r="G114" s="145">
        <v>1159234</v>
      </c>
      <c r="H114" s="166">
        <f t="shared" ref="H114:H126" si="22">IF(F114=0, "    ---- ", IF(ABS(ROUND(100/F114*G114-100,1))&lt;999,ROUND(100/F114*G114-100,1),IF(ROUND(100/F114*G114-100,1)&gt;999,999,-999)))</f>
        <v>177.9</v>
      </c>
      <c r="I114" s="23">
        <f>IFERROR(100/'Skjema total MA'!F114*G114,0)</f>
        <v>12.042253605540711</v>
      </c>
      <c r="J114" s="145">
        <f t="shared" si="20"/>
        <v>417142</v>
      </c>
      <c r="K114" s="44">
        <f t="shared" si="20"/>
        <v>1159234</v>
      </c>
      <c r="L114" s="231">
        <f t="shared" si="21"/>
        <v>177.9</v>
      </c>
      <c r="M114" s="27">
        <f>IFERROR(100/'Skjema total MA'!I114*K114,0)</f>
        <v>12.04200070559776</v>
      </c>
    </row>
    <row r="115" spans="1:14" x14ac:dyDescent="0.2">
      <c r="A115" s="21" t="s">
        <v>26</v>
      </c>
      <c r="B115" s="211"/>
      <c r="C115" s="145"/>
      <c r="D115" s="166"/>
      <c r="E115" s="23"/>
      <c r="F115" s="211"/>
      <c r="G115" s="145"/>
      <c r="H115" s="166"/>
      <c r="I115" s="23"/>
      <c r="J115" s="145"/>
      <c r="K115" s="44"/>
      <c r="L115" s="231"/>
      <c r="M115" s="27"/>
    </row>
    <row r="116" spans="1:14" x14ac:dyDescent="0.2">
      <c r="A116" s="272" t="s">
        <v>15</v>
      </c>
      <c r="B116" s="258"/>
      <c r="C116" s="258"/>
      <c r="D116" s="166"/>
      <c r="E116" s="23"/>
      <c r="F116" s="665"/>
      <c r="G116" s="258"/>
      <c r="H116" s="166"/>
      <c r="I116" s="23"/>
      <c r="J116" s="667"/>
      <c r="K116" s="267"/>
      <c r="L116" s="166"/>
      <c r="M116" s="23"/>
    </row>
    <row r="117" spans="1:14" ht="15.75" x14ac:dyDescent="0.2">
      <c r="A117" s="21" t="s">
        <v>363</v>
      </c>
      <c r="B117" s="211">
        <v>4194</v>
      </c>
      <c r="C117" s="211">
        <v>22897</v>
      </c>
      <c r="D117" s="166">
        <f t="shared" si="19"/>
        <v>445.9</v>
      </c>
      <c r="E117" s="23">
        <f>IFERROR(100/'Skjema total MA'!C117*C117,0)</f>
        <v>53.077967480766617</v>
      </c>
      <c r="F117" s="211"/>
      <c r="G117" s="211"/>
      <c r="H117" s="166"/>
      <c r="I117" s="23"/>
      <c r="J117" s="145">
        <f t="shared" si="20"/>
        <v>4194</v>
      </c>
      <c r="K117" s="44">
        <f t="shared" si="20"/>
        <v>22897</v>
      </c>
      <c r="L117" s="231">
        <f t="shared" si="21"/>
        <v>445.9</v>
      </c>
      <c r="M117" s="27">
        <f>IFERROR(100/'Skjema total MA'!I117*K117,0)</f>
        <v>43.001860377257479</v>
      </c>
    </row>
    <row r="118" spans="1:14" ht="15.75" x14ac:dyDescent="0.2">
      <c r="A118" s="21" t="s">
        <v>364</v>
      </c>
      <c r="B118" s="211"/>
      <c r="C118" s="211"/>
      <c r="D118" s="166"/>
      <c r="E118" s="23"/>
      <c r="F118" s="211">
        <v>58728</v>
      </c>
      <c r="G118" s="211">
        <v>72970</v>
      </c>
      <c r="H118" s="166">
        <f t="shared" si="22"/>
        <v>24.3</v>
      </c>
      <c r="I118" s="23">
        <f>IFERROR(100/'Skjema total MA'!F118*G118,0)</f>
        <v>7.823150782371326</v>
      </c>
      <c r="J118" s="145">
        <f t="shared" si="20"/>
        <v>58728</v>
      </c>
      <c r="K118" s="44">
        <f t="shared" si="20"/>
        <v>72970</v>
      </c>
      <c r="L118" s="231">
        <f t="shared" si="21"/>
        <v>24.3</v>
      </c>
      <c r="M118" s="27">
        <f>IFERROR(100/'Skjema total MA'!I118*K118,0)</f>
        <v>7.823150782371326</v>
      </c>
    </row>
    <row r="119" spans="1:14" ht="15.75" x14ac:dyDescent="0.2">
      <c r="A119" s="21" t="s">
        <v>362</v>
      </c>
      <c r="B119" s="211"/>
      <c r="C119" s="211"/>
      <c r="D119" s="166"/>
      <c r="E119" s="23"/>
      <c r="F119" s="211"/>
      <c r="G119" s="211"/>
      <c r="H119" s="166"/>
      <c r="I119" s="23"/>
      <c r="J119" s="145"/>
      <c r="K119" s="44"/>
      <c r="L119" s="231"/>
      <c r="M119" s="27"/>
    </row>
    <row r="120" spans="1:14" ht="15.75" x14ac:dyDescent="0.2">
      <c r="A120" s="13" t="s">
        <v>343</v>
      </c>
      <c r="B120" s="284">
        <v>69237</v>
      </c>
      <c r="C120" s="159">
        <v>26488</v>
      </c>
      <c r="D120" s="171">
        <f t="shared" si="19"/>
        <v>-61.7</v>
      </c>
      <c r="E120" s="24">
        <f>IFERROR(100/'Skjema total MA'!C120*C120,0)</f>
        <v>20.236649048647749</v>
      </c>
      <c r="F120" s="284">
        <v>1366670</v>
      </c>
      <c r="G120" s="159">
        <v>1400020</v>
      </c>
      <c r="H120" s="171">
        <f t="shared" si="22"/>
        <v>2.4</v>
      </c>
      <c r="I120" s="24">
        <f>IFERROR(100/'Skjema total MA'!F120*G120,0)</f>
        <v>11.575244013158731</v>
      </c>
      <c r="J120" s="159">
        <f t="shared" si="20"/>
        <v>1435907</v>
      </c>
      <c r="K120" s="213">
        <f t="shared" si="20"/>
        <v>1426508</v>
      </c>
      <c r="L120" s="402">
        <f t="shared" si="21"/>
        <v>-0.7</v>
      </c>
      <c r="M120" s="11">
        <f>IFERROR(100/'Skjema total MA'!I120*K120,0)</f>
        <v>11.667973991125427</v>
      </c>
    </row>
    <row r="121" spans="1:14" x14ac:dyDescent="0.2">
      <c r="A121" s="21" t="s">
        <v>9</v>
      </c>
      <c r="B121" s="211">
        <v>69237</v>
      </c>
      <c r="C121" s="145">
        <v>26488</v>
      </c>
      <c r="D121" s="166">
        <f t="shared" si="19"/>
        <v>-61.7</v>
      </c>
      <c r="E121" s="23">
        <f>IFERROR(100/'Skjema total MA'!C121*C121,0)</f>
        <v>33.675463451417592</v>
      </c>
      <c r="F121" s="211"/>
      <c r="G121" s="145"/>
      <c r="H121" s="166"/>
      <c r="I121" s="23"/>
      <c r="J121" s="145">
        <f t="shared" si="20"/>
        <v>69237</v>
      </c>
      <c r="K121" s="44">
        <f t="shared" si="20"/>
        <v>26488</v>
      </c>
      <c r="L121" s="231">
        <f t="shared" si="21"/>
        <v>-61.7</v>
      </c>
      <c r="M121" s="27">
        <f>IFERROR(100/'Skjema total MA'!I121*K121,0)</f>
        <v>33.675463451417592</v>
      </c>
    </row>
    <row r="122" spans="1:14" x14ac:dyDescent="0.2">
      <c r="A122" s="21" t="s">
        <v>10</v>
      </c>
      <c r="B122" s="211"/>
      <c r="C122" s="145"/>
      <c r="D122" s="166"/>
      <c r="E122" s="23"/>
      <c r="F122" s="211">
        <v>1366670</v>
      </c>
      <c r="G122" s="145">
        <v>1400020</v>
      </c>
      <c r="H122" s="166">
        <f t="shared" si="22"/>
        <v>2.4</v>
      </c>
      <c r="I122" s="23">
        <f>IFERROR(100/'Skjema total MA'!F122*G122,0)</f>
        <v>11.575244013158731</v>
      </c>
      <c r="J122" s="145">
        <f t="shared" si="20"/>
        <v>1366670</v>
      </c>
      <c r="K122" s="44">
        <f t="shared" si="20"/>
        <v>1400020</v>
      </c>
      <c r="L122" s="231">
        <f t="shared" si="21"/>
        <v>2.4</v>
      </c>
      <c r="M122" s="27">
        <f>IFERROR(100/'Skjema total MA'!I122*K122,0)</f>
        <v>11.565130214521027</v>
      </c>
    </row>
    <row r="123" spans="1:14" x14ac:dyDescent="0.2">
      <c r="A123" s="21" t="s">
        <v>26</v>
      </c>
      <c r="B123" s="211"/>
      <c r="C123" s="145"/>
      <c r="D123" s="166"/>
      <c r="E123" s="23"/>
      <c r="F123" s="211"/>
      <c r="G123" s="145"/>
      <c r="H123" s="166"/>
      <c r="I123" s="23"/>
      <c r="J123" s="145"/>
      <c r="K123" s="44"/>
      <c r="L123" s="231"/>
      <c r="M123" s="27"/>
    </row>
    <row r="124" spans="1:14" x14ac:dyDescent="0.2">
      <c r="A124" s="272" t="s">
        <v>14</v>
      </c>
      <c r="B124" s="258"/>
      <c r="C124" s="258"/>
      <c r="D124" s="166"/>
      <c r="E124" s="23"/>
      <c r="F124" s="665"/>
      <c r="G124" s="258"/>
      <c r="H124" s="166"/>
      <c r="I124" s="23"/>
      <c r="J124" s="667"/>
      <c r="K124" s="267"/>
      <c r="L124" s="166"/>
      <c r="M124" s="23"/>
    </row>
    <row r="125" spans="1:14" ht="15.75" x14ac:dyDescent="0.2">
      <c r="A125" s="21" t="s">
        <v>369</v>
      </c>
      <c r="B125" s="211"/>
      <c r="C125" s="211"/>
      <c r="D125" s="166"/>
      <c r="E125" s="23"/>
      <c r="F125" s="211"/>
      <c r="G125" s="211"/>
      <c r="H125" s="166"/>
      <c r="I125" s="23"/>
      <c r="J125" s="145"/>
      <c r="K125" s="44"/>
      <c r="L125" s="231"/>
      <c r="M125" s="27"/>
    </row>
    <row r="126" spans="1:14" ht="15.75" x14ac:dyDescent="0.2">
      <c r="A126" s="21" t="s">
        <v>361</v>
      </c>
      <c r="B126" s="211"/>
      <c r="C126" s="211"/>
      <c r="D126" s="166"/>
      <c r="E126" s="23"/>
      <c r="F126" s="211">
        <v>137531</v>
      </c>
      <c r="G126" s="211">
        <v>83454</v>
      </c>
      <c r="H126" s="166">
        <f t="shared" si="22"/>
        <v>-39.299999999999997</v>
      </c>
      <c r="I126" s="23">
        <f>IFERROR(100/'Skjema total MA'!F126*G126,0)</f>
        <v>3.0564914120445197</v>
      </c>
      <c r="J126" s="145">
        <f t="shared" si="20"/>
        <v>137531</v>
      </c>
      <c r="K126" s="44">
        <f t="shared" si="20"/>
        <v>83454</v>
      </c>
      <c r="L126" s="231">
        <f t="shared" si="21"/>
        <v>-39.299999999999997</v>
      </c>
      <c r="M126" s="27">
        <f>IFERROR(100/'Skjema total MA'!I126*K126,0)</f>
        <v>3.0562965250969407</v>
      </c>
    </row>
    <row r="127" spans="1:14" ht="15.75" x14ac:dyDescent="0.2">
      <c r="A127" s="10" t="s">
        <v>362</v>
      </c>
      <c r="B127" s="45"/>
      <c r="C127" s="45"/>
      <c r="D127" s="167"/>
      <c r="E127" s="22"/>
      <c r="F127" s="666"/>
      <c r="G127" s="45"/>
      <c r="H127" s="167"/>
      <c r="I127" s="22"/>
      <c r="J127" s="668"/>
      <c r="K127" s="45"/>
      <c r="L127" s="232"/>
      <c r="M127" s="22"/>
    </row>
    <row r="128" spans="1:14" x14ac:dyDescent="0.2">
      <c r="A128" s="155"/>
      <c r="L128" s="26"/>
      <c r="M128" s="26"/>
      <c r="N128" s="26"/>
    </row>
    <row r="129" spans="1:14" x14ac:dyDescent="0.2">
      <c r="L129" s="26"/>
      <c r="M129" s="26"/>
      <c r="N129" s="26"/>
    </row>
    <row r="130" spans="1:14" ht="15.75" x14ac:dyDescent="0.25">
      <c r="A130" s="165" t="s">
        <v>27</v>
      </c>
    </row>
    <row r="131" spans="1:14" ht="15.75" x14ac:dyDescent="0.25">
      <c r="B131" s="694"/>
      <c r="C131" s="694"/>
      <c r="D131" s="694"/>
      <c r="E131" s="275"/>
      <c r="F131" s="694"/>
      <c r="G131" s="694"/>
      <c r="H131" s="694"/>
      <c r="I131" s="275"/>
      <c r="J131" s="694"/>
      <c r="K131" s="694"/>
      <c r="L131" s="694"/>
      <c r="M131" s="275"/>
    </row>
    <row r="132" spans="1:14" s="3" customFormat="1" x14ac:dyDescent="0.2">
      <c r="A132" s="144"/>
      <c r="B132" s="695" t="s">
        <v>0</v>
      </c>
      <c r="C132" s="696"/>
      <c r="D132" s="696"/>
      <c r="E132" s="277"/>
      <c r="F132" s="695" t="s">
        <v>1</v>
      </c>
      <c r="G132" s="696"/>
      <c r="H132" s="696"/>
      <c r="I132" s="280"/>
      <c r="J132" s="695" t="s">
        <v>2</v>
      </c>
      <c r="K132" s="696"/>
      <c r="L132" s="696"/>
      <c r="M132" s="280"/>
      <c r="N132" s="148"/>
    </row>
    <row r="133" spans="1:14" s="3" customFormat="1" x14ac:dyDescent="0.2">
      <c r="A133" s="140"/>
      <c r="B133" s="152" t="s">
        <v>412</v>
      </c>
      <c r="C133" s="152" t="s">
        <v>413</v>
      </c>
      <c r="D133" s="222" t="s">
        <v>3</v>
      </c>
      <c r="E133" s="281" t="s">
        <v>29</v>
      </c>
      <c r="F133" s="152" t="s">
        <v>412</v>
      </c>
      <c r="G133" s="152" t="s">
        <v>413</v>
      </c>
      <c r="H133" s="203" t="s">
        <v>3</v>
      </c>
      <c r="I133" s="162" t="s">
        <v>29</v>
      </c>
      <c r="J133" s="152" t="s">
        <v>412</v>
      </c>
      <c r="K133" s="152" t="s">
        <v>413</v>
      </c>
      <c r="L133" s="223" t="s">
        <v>3</v>
      </c>
      <c r="M133" s="162" t="s">
        <v>29</v>
      </c>
      <c r="N133" s="148"/>
    </row>
    <row r="134" spans="1:14" s="3" customFormat="1" x14ac:dyDescent="0.2">
      <c r="A134" s="662"/>
      <c r="B134" s="156"/>
      <c r="C134" s="156"/>
      <c r="D134" s="223" t="s">
        <v>4</v>
      </c>
      <c r="E134" s="156" t="s">
        <v>30</v>
      </c>
      <c r="F134" s="161"/>
      <c r="G134" s="161"/>
      <c r="H134" s="203" t="s">
        <v>4</v>
      </c>
      <c r="I134" s="156" t="s">
        <v>30</v>
      </c>
      <c r="J134" s="156"/>
      <c r="K134" s="156"/>
      <c r="L134" s="150" t="s">
        <v>4</v>
      </c>
      <c r="M134" s="156" t="s">
        <v>30</v>
      </c>
      <c r="N134" s="148"/>
    </row>
    <row r="135" spans="1:14" s="3" customFormat="1" ht="15.75" x14ac:dyDescent="0.2">
      <c r="A135" s="14" t="s">
        <v>365</v>
      </c>
      <c r="B135" s="213"/>
      <c r="C135" s="285"/>
      <c r="D135" s="326"/>
      <c r="E135" s="11"/>
      <c r="F135" s="292"/>
      <c r="G135" s="293"/>
      <c r="H135" s="405"/>
      <c r="I135" s="24"/>
      <c r="J135" s="294"/>
      <c r="K135" s="294"/>
      <c r="L135" s="401"/>
      <c r="M135" s="11"/>
      <c r="N135" s="148"/>
    </row>
    <row r="136" spans="1:14" s="3" customFormat="1" ht="15.75" x14ac:dyDescent="0.2">
      <c r="A136" s="13" t="s">
        <v>370</v>
      </c>
      <c r="B136" s="213"/>
      <c r="C136" s="285"/>
      <c r="D136" s="171"/>
      <c r="E136" s="11"/>
      <c r="F136" s="213"/>
      <c r="G136" s="285"/>
      <c r="H136" s="406"/>
      <c r="I136" s="24"/>
      <c r="J136" s="284"/>
      <c r="K136" s="284"/>
      <c r="L136" s="402"/>
      <c r="M136" s="11"/>
      <c r="N136" s="148"/>
    </row>
    <row r="137" spans="1:14" s="3" customFormat="1" ht="15.75" x14ac:dyDescent="0.2">
      <c r="A137" s="13" t="s">
        <v>367</v>
      </c>
      <c r="B137" s="213"/>
      <c r="C137" s="285"/>
      <c r="D137" s="171"/>
      <c r="E137" s="11"/>
      <c r="F137" s="213"/>
      <c r="G137" s="285"/>
      <c r="H137" s="406"/>
      <c r="I137" s="24"/>
      <c r="J137" s="284"/>
      <c r="K137" s="284"/>
      <c r="L137" s="402"/>
      <c r="M137" s="11"/>
      <c r="N137" s="148"/>
    </row>
    <row r="138" spans="1:14" s="3" customFormat="1" ht="15.75" x14ac:dyDescent="0.2">
      <c r="A138" s="41" t="s">
        <v>368</v>
      </c>
      <c r="B138" s="253"/>
      <c r="C138" s="291"/>
      <c r="D138" s="169"/>
      <c r="E138" s="9"/>
      <c r="F138" s="253"/>
      <c r="G138" s="291"/>
      <c r="H138" s="407"/>
      <c r="I138" s="36"/>
      <c r="J138" s="290"/>
      <c r="K138" s="290"/>
      <c r="L138" s="403"/>
      <c r="M138" s="36"/>
      <c r="N138" s="148"/>
    </row>
    <row r="139" spans="1:14" s="3" customFormat="1"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68"/>
      <c r="B141" s="33"/>
      <c r="C141" s="33"/>
      <c r="D141" s="159"/>
      <c r="E141" s="159"/>
      <c r="F141" s="33"/>
      <c r="G141" s="33"/>
      <c r="H141" s="159"/>
      <c r="I141" s="159"/>
      <c r="J141" s="33"/>
      <c r="K141" s="33"/>
      <c r="L141" s="159"/>
      <c r="M141" s="159"/>
      <c r="N141" s="148"/>
    </row>
    <row r="142" spans="1:14" x14ac:dyDescent="0.2">
      <c r="A142" s="146"/>
      <c r="B142" s="146"/>
      <c r="C142" s="146"/>
      <c r="D142" s="146"/>
      <c r="E142" s="146"/>
      <c r="F142" s="146"/>
      <c r="G142" s="146"/>
      <c r="H142" s="146"/>
      <c r="I142" s="146"/>
      <c r="J142" s="146"/>
      <c r="K142" s="146"/>
      <c r="L142" s="146"/>
      <c r="M142" s="146"/>
      <c r="N142" s="146"/>
    </row>
    <row r="143" spans="1:14" ht="15.75" x14ac:dyDescent="0.25">
      <c r="B143" s="142"/>
      <c r="C143" s="142"/>
      <c r="D143" s="142"/>
      <c r="E143" s="142"/>
      <c r="F143" s="142"/>
      <c r="G143" s="142"/>
      <c r="H143" s="142"/>
      <c r="I143" s="142"/>
      <c r="J143" s="142"/>
      <c r="K143" s="142"/>
      <c r="L143" s="142"/>
      <c r="M143" s="142"/>
      <c r="N143" s="142"/>
    </row>
    <row r="144" spans="1:14" ht="15.75" x14ac:dyDescent="0.25">
      <c r="B144" s="157"/>
      <c r="C144" s="157"/>
      <c r="D144" s="157"/>
      <c r="E144" s="157"/>
      <c r="F144" s="157"/>
      <c r="G144" s="157"/>
      <c r="H144" s="157"/>
      <c r="I144" s="157"/>
      <c r="J144" s="157"/>
      <c r="K144" s="157"/>
      <c r="L144" s="157"/>
      <c r="M144" s="157"/>
      <c r="N144" s="157"/>
    </row>
    <row r="145" spans="2:14" ht="15.75" x14ac:dyDescent="0.25">
      <c r="B145" s="157"/>
      <c r="C145" s="157"/>
      <c r="D145" s="157"/>
      <c r="E145" s="157"/>
      <c r="F145" s="157"/>
      <c r="G145" s="157"/>
      <c r="H145" s="157"/>
      <c r="I145" s="157"/>
      <c r="J145" s="157"/>
      <c r="K145" s="157"/>
      <c r="L145" s="157"/>
      <c r="M145" s="157"/>
      <c r="N145" s="157"/>
    </row>
  </sheetData>
  <mergeCells count="31">
    <mergeCell ref="B132:D132"/>
    <mergeCell ref="F132:H132"/>
    <mergeCell ref="J132:L132"/>
    <mergeCell ref="B63:D63"/>
    <mergeCell ref="F63:H63"/>
    <mergeCell ref="J63:L63"/>
    <mergeCell ref="B131:D131"/>
    <mergeCell ref="F131:H131"/>
    <mergeCell ref="J131:L131"/>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6">
    <cfRule type="expression" dxfId="504" priority="77">
      <formula>kvartal &lt; 4</formula>
    </cfRule>
  </conditionalFormatting>
  <conditionalFormatting sqref="C116">
    <cfRule type="expression" dxfId="503" priority="76">
      <formula>kvartal &lt; 4</formula>
    </cfRule>
  </conditionalFormatting>
  <conditionalFormatting sqref="B124">
    <cfRule type="expression" dxfId="502" priority="75">
      <formula>kvartal &lt; 4</formula>
    </cfRule>
  </conditionalFormatting>
  <conditionalFormatting sqref="C124">
    <cfRule type="expression" dxfId="501" priority="74">
      <formula>kvartal &lt; 4</formula>
    </cfRule>
  </conditionalFormatting>
  <conditionalFormatting sqref="F116">
    <cfRule type="expression" dxfId="500" priority="59">
      <formula>kvartal &lt; 4</formula>
    </cfRule>
  </conditionalFormatting>
  <conditionalFormatting sqref="G116">
    <cfRule type="expression" dxfId="499" priority="58">
      <formula>kvartal &lt; 4</formula>
    </cfRule>
  </conditionalFormatting>
  <conditionalFormatting sqref="F124:G124">
    <cfRule type="expression" dxfId="498" priority="57">
      <formula>kvartal &lt; 4</formula>
    </cfRule>
  </conditionalFormatting>
  <conditionalFormatting sqref="J116:K116">
    <cfRule type="expression" dxfId="497" priority="33">
      <formula>kvartal &lt; 4</formula>
    </cfRule>
  </conditionalFormatting>
  <conditionalFormatting sqref="J124:K124">
    <cfRule type="expression" dxfId="496" priority="32">
      <formula>kvartal &lt; 4</formula>
    </cfRule>
  </conditionalFormatting>
  <conditionalFormatting sqref="A50:A52">
    <cfRule type="expression" dxfId="495" priority="13">
      <formula>kvartal &lt; 4</formula>
    </cfRule>
  </conditionalFormatting>
  <conditionalFormatting sqref="A69:A74">
    <cfRule type="expression" dxfId="494" priority="11">
      <formula>kvartal &lt; 4</formula>
    </cfRule>
  </conditionalFormatting>
  <conditionalFormatting sqref="A80:A85">
    <cfRule type="expression" dxfId="493" priority="10">
      <formula>kvartal &lt; 4</formula>
    </cfRule>
  </conditionalFormatting>
  <conditionalFormatting sqref="A90:A95">
    <cfRule type="expression" dxfId="492" priority="7">
      <formula>kvartal &lt; 4</formula>
    </cfRule>
  </conditionalFormatting>
  <conditionalFormatting sqref="A102:A107">
    <cfRule type="expression" dxfId="491" priority="6">
      <formula>kvartal &lt; 4</formula>
    </cfRule>
  </conditionalFormatting>
  <conditionalFormatting sqref="A116">
    <cfRule type="expression" dxfId="490" priority="5">
      <formula>kvartal &lt; 4</formula>
    </cfRule>
  </conditionalFormatting>
  <conditionalFormatting sqref="A124">
    <cfRule type="expression" dxfId="489" priority="4">
      <formula>kvartal &lt; 4</formula>
    </cfRule>
  </conditionalFormatting>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8"/>
  <dimension ref="A1:N145"/>
  <sheetViews>
    <sheetView showGridLines="0" zoomScaleNormal="100" workbookViewId="0">
      <selection activeCell="A111" sqref="A111"/>
    </sheetView>
  </sheetViews>
  <sheetFormatPr baseColWidth="10" defaultColWidth="11.42578125" defaultRowHeight="12.75" x14ac:dyDescent="0.2"/>
  <cols>
    <col min="1" max="1" width="41.57031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134</v>
      </c>
      <c r="B1" s="663"/>
      <c r="C1" s="225" t="s">
        <v>90</v>
      </c>
      <c r="D1" s="26"/>
      <c r="E1" s="26"/>
      <c r="F1" s="26"/>
      <c r="G1" s="26"/>
      <c r="H1" s="26"/>
      <c r="I1" s="26"/>
      <c r="J1" s="26"/>
      <c r="K1" s="26"/>
      <c r="L1" s="26"/>
      <c r="M1" s="26"/>
    </row>
    <row r="2" spans="1:14" ht="15.75" x14ac:dyDescent="0.25">
      <c r="A2" s="165" t="s">
        <v>28</v>
      </c>
      <c r="B2" s="699"/>
      <c r="C2" s="699"/>
      <c r="D2" s="699"/>
      <c r="E2" s="275"/>
      <c r="F2" s="699"/>
      <c r="G2" s="699"/>
      <c r="H2" s="699"/>
      <c r="I2" s="275"/>
      <c r="J2" s="699"/>
      <c r="K2" s="699"/>
      <c r="L2" s="699"/>
      <c r="M2" s="275"/>
    </row>
    <row r="3" spans="1:14" ht="15.75" x14ac:dyDescent="0.25">
      <c r="A3" s="163"/>
      <c r="B3" s="275"/>
      <c r="C3" s="275"/>
      <c r="D3" s="275"/>
      <c r="E3" s="275"/>
      <c r="F3" s="275"/>
      <c r="G3" s="275"/>
      <c r="H3" s="275"/>
      <c r="I3" s="275"/>
      <c r="J3" s="275"/>
      <c r="K3" s="275"/>
      <c r="L3" s="275"/>
      <c r="M3" s="275"/>
    </row>
    <row r="4" spans="1:14" x14ac:dyDescent="0.2">
      <c r="A4" s="144"/>
      <c r="B4" s="695" t="s">
        <v>0</v>
      </c>
      <c r="C4" s="696"/>
      <c r="D4" s="696"/>
      <c r="E4" s="277"/>
      <c r="F4" s="695" t="s">
        <v>1</v>
      </c>
      <c r="G4" s="696"/>
      <c r="H4" s="696"/>
      <c r="I4" s="280"/>
      <c r="J4" s="695" t="s">
        <v>2</v>
      </c>
      <c r="K4" s="696"/>
      <c r="L4" s="696"/>
      <c r="M4" s="280"/>
    </row>
    <row r="5" spans="1:14" x14ac:dyDescent="0.2">
      <c r="A5" s="158"/>
      <c r="B5" s="152" t="s">
        <v>412</v>
      </c>
      <c r="C5" s="152" t="s">
        <v>413</v>
      </c>
      <c r="D5" s="222" t="s">
        <v>3</v>
      </c>
      <c r="E5" s="281" t="s">
        <v>29</v>
      </c>
      <c r="F5" s="152" t="s">
        <v>412</v>
      </c>
      <c r="G5" s="152" t="s">
        <v>413</v>
      </c>
      <c r="H5" s="222" t="s">
        <v>3</v>
      </c>
      <c r="I5" s="162" t="s">
        <v>29</v>
      </c>
      <c r="J5" s="152" t="s">
        <v>412</v>
      </c>
      <c r="K5" s="152" t="s">
        <v>413</v>
      </c>
      <c r="L5" s="222" t="s">
        <v>3</v>
      </c>
      <c r="M5" s="162" t="s">
        <v>29</v>
      </c>
    </row>
    <row r="6" spans="1:14" x14ac:dyDescent="0.2">
      <c r="A6" s="661"/>
      <c r="B6" s="156"/>
      <c r="C6" s="156"/>
      <c r="D6" s="223" t="s">
        <v>4</v>
      </c>
      <c r="E6" s="156" t="s">
        <v>30</v>
      </c>
      <c r="F6" s="161"/>
      <c r="G6" s="161"/>
      <c r="H6" s="222" t="s">
        <v>4</v>
      </c>
      <c r="I6" s="156" t="s">
        <v>30</v>
      </c>
      <c r="J6" s="161"/>
      <c r="K6" s="161"/>
      <c r="L6" s="222" t="s">
        <v>4</v>
      </c>
      <c r="M6" s="156" t="s">
        <v>30</v>
      </c>
    </row>
    <row r="7" spans="1:14" ht="15.75" x14ac:dyDescent="0.2">
      <c r="A7" s="14" t="s">
        <v>23</v>
      </c>
      <c r="B7" s="282">
        <v>8942.1200000000008</v>
      </c>
      <c r="C7" s="283">
        <v>8807.4</v>
      </c>
      <c r="D7" s="326">
        <f t="shared" ref="D7:D10" si="0">IF(B7=0, "    ---- ", IF(ABS(ROUND(100/B7*C7-100,1))&lt;999,ROUND(100/B7*C7-100,1),IF(ROUND(100/B7*C7-100,1)&gt;999,999,-999)))</f>
        <v>-1.5</v>
      </c>
      <c r="E7" s="11">
        <f>IFERROR(100/'Skjema total MA'!C7*C7,0)</f>
        <v>0.5226639678849635</v>
      </c>
      <c r="F7" s="282"/>
      <c r="G7" s="283"/>
      <c r="H7" s="326"/>
      <c r="I7" s="160"/>
      <c r="J7" s="284">
        <f t="shared" ref="J7:K10" si="1">SUM(B7,F7)</f>
        <v>8942.1200000000008</v>
      </c>
      <c r="K7" s="285">
        <f t="shared" si="1"/>
        <v>8807.4</v>
      </c>
      <c r="L7" s="401">
        <f t="shared" ref="L7:L10" si="2">IF(J7=0, "    ---- ", IF(ABS(ROUND(100/J7*K7-100,1))&lt;999,ROUND(100/J7*K7-100,1),IF(ROUND(100/J7*K7-100,1)&gt;999,999,-999)))</f>
        <v>-1.5</v>
      </c>
      <c r="M7" s="11">
        <f>IFERROR(100/'Skjema total MA'!I7*K7,0)</f>
        <v>0.15762247829621043</v>
      </c>
    </row>
    <row r="8" spans="1:14" ht="15.75" x14ac:dyDescent="0.2">
      <c r="A8" s="21" t="s">
        <v>25</v>
      </c>
      <c r="B8" s="258">
        <v>5508.3596336000001</v>
      </c>
      <c r="C8" s="259">
        <v>5427.3741215</v>
      </c>
      <c r="D8" s="166">
        <f t="shared" si="0"/>
        <v>-1.5</v>
      </c>
      <c r="E8" s="27">
        <f>IFERROR(100/'Skjema total MA'!C8*C8,0)</f>
        <v>0.47598384002771216</v>
      </c>
      <c r="F8" s="262"/>
      <c r="G8" s="263"/>
      <c r="H8" s="166"/>
      <c r="I8" s="175"/>
      <c r="J8" s="211">
        <f t="shared" si="1"/>
        <v>5508.3596336000001</v>
      </c>
      <c r="K8" s="264">
        <f t="shared" si="1"/>
        <v>5427.3741215</v>
      </c>
      <c r="L8" s="166">
        <f t="shared" si="2"/>
        <v>-1.5</v>
      </c>
      <c r="M8" s="27">
        <f>IFERROR(100/'Skjema total MA'!I8*K8,0)</f>
        <v>0.47598384002771216</v>
      </c>
    </row>
    <row r="9" spans="1:14" ht="15.75" x14ac:dyDescent="0.2">
      <c r="A9" s="21" t="s">
        <v>24</v>
      </c>
      <c r="B9" s="258">
        <v>3290.4304112</v>
      </c>
      <c r="C9" s="259">
        <v>3249.5685755</v>
      </c>
      <c r="D9" s="166">
        <f t="shared" si="0"/>
        <v>-1.2</v>
      </c>
      <c r="E9" s="27">
        <f>IFERROR(100/'Skjema total MA'!C9*C9,0)</f>
        <v>0.91109371333227496</v>
      </c>
      <c r="F9" s="262"/>
      <c r="G9" s="263"/>
      <c r="H9" s="166"/>
      <c r="I9" s="175"/>
      <c r="J9" s="211">
        <f t="shared" si="1"/>
        <v>3290.4304112</v>
      </c>
      <c r="K9" s="264">
        <f t="shared" si="1"/>
        <v>3249.5685755</v>
      </c>
      <c r="L9" s="166">
        <f t="shared" si="2"/>
        <v>-1.2</v>
      </c>
      <c r="M9" s="27">
        <f>IFERROR(100/'Skjema total MA'!I9*K9,0)</f>
        <v>0.91109371333227496</v>
      </c>
    </row>
    <row r="10" spans="1:14" ht="15.75" x14ac:dyDescent="0.2">
      <c r="A10" s="13" t="s">
        <v>341</v>
      </c>
      <c r="B10" s="286">
        <v>25347.7612336075</v>
      </c>
      <c r="C10" s="287">
        <v>17270.335999999999</v>
      </c>
      <c r="D10" s="171">
        <f t="shared" si="0"/>
        <v>-31.9</v>
      </c>
      <c r="E10" s="11">
        <f>IFERROR(100/'Skjema total MA'!C10*C10,0)</f>
        <v>9.7874747329999803E-2</v>
      </c>
      <c r="F10" s="286"/>
      <c r="G10" s="287"/>
      <c r="H10" s="171"/>
      <c r="I10" s="160"/>
      <c r="J10" s="284">
        <f t="shared" si="1"/>
        <v>25347.7612336075</v>
      </c>
      <c r="K10" s="285">
        <f t="shared" si="1"/>
        <v>17270.335999999999</v>
      </c>
      <c r="L10" s="402">
        <f t="shared" si="2"/>
        <v>-31.9</v>
      </c>
      <c r="M10" s="11">
        <f>IFERROR(100/'Skjema total MA'!I10*K10,0)</f>
        <v>2.083788217161181E-2</v>
      </c>
    </row>
    <row r="11" spans="1:14" s="43" customFormat="1" ht="15.75" x14ac:dyDescent="0.2">
      <c r="A11" s="13" t="s">
        <v>342</v>
      </c>
      <c r="B11" s="286"/>
      <c r="C11" s="287"/>
      <c r="D11" s="171"/>
      <c r="E11" s="11"/>
      <c r="F11" s="286"/>
      <c r="G11" s="287"/>
      <c r="H11" s="171"/>
      <c r="I11" s="160"/>
      <c r="J11" s="284"/>
      <c r="K11" s="285"/>
      <c r="L11" s="402"/>
      <c r="M11" s="11"/>
      <c r="N11" s="143"/>
    </row>
    <row r="12" spans="1:14" s="43" customFormat="1" ht="15.75" x14ac:dyDescent="0.2">
      <c r="A12" s="41" t="s">
        <v>343</v>
      </c>
      <c r="B12" s="288"/>
      <c r="C12" s="289"/>
      <c r="D12" s="169"/>
      <c r="E12" s="36"/>
      <c r="F12" s="288"/>
      <c r="G12" s="289"/>
      <c r="H12" s="169"/>
      <c r="I12" s="169"/>
      <c r="J12" s="290"/>
      <c r="K12" s="291"/>
      <c r="L12" s="403"/>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251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248</v>
      </c>
      <c r="B17" s="157"/>
      <c r="C17" s="157"/>
      <c r="D17" s="151"/>
      <c r="E17" s="151"/>
      <c r="F17" s="157"/>
      <c r="G17" s="157"/>
      <c r="H17" s="157"/>
      <c r="I17" s="157"/>
      <c r="J17" s="157"/>
      <c r="K17" s="157"/>
      <c r="L17" s="157"/>
      <c r="M17" s="157"/>
    </row>
    <row r="18" spans="1:14" ht="15.75" x14ac:dyDescent="0.25">
      <c r="B18" s="694"/>
      <c r="C18" s="694"/>
      <c r="D18" s="694"/>
      <c r="E18" s="275"/>
      <c r="F18" s="694"/>
      <c r="G18" s="694"/>
      <c r="H18" s="694"/>
      <c r="I18" s="275"/>
      <c r="J18" s="694"/>
      <c r="K18" s="694"/>
      <c r="L18" s="694"/>
      <c r="M18" s="275"/>
    </row>
    <row r="19" spans="1:14" x14ac:dyDescent="0.2">
      <c r="A19" s="144"/>
      <c r="B19" s="695" t="s">
        <v>0</v>
      </c>
      <c r="C19" s="696"/>
      <c r="D19" s="696"/>
      <c r="E19" s="277"/>
      <c r="F19" s="695" t="s">
        <v>1</v>
      </c>
      <c r="G19" s="696"/>
      <c r="H19" s="696"/>
      <c r="I19" s="280"/>
      <c r="J19" s="695" t="s">
        <v>2</v>
      </c>
      <c r="K19" s="696"/>
      <c r="L19" s="696"/>
      <c r="M19" s="280"/>
    </row>
    <row r="20" spans="1:14" x14ac:dyDescent="0.2">
      <c r="A20" s="140" t="s">
        <v>5</v>
      </c>
      <c r="B20" s="152" t="s">
        <v>412</v>
      </c>
      <c r="C20" s="152" t="s">
        <v>413</v>
      </c>
      <c r="D20" s="162" t="s">
        <v>3</v>
      </c>
      <c r="E20" s="281" t="s">
        <v>29</v>
      </c>
      <c r="F20" s="152" t="s">
        <v>412</v>
      </c>
      <c r="G20" s="152" t="s">
        <v>413</v>
      </c>
      <c r="H20" s="162" t="s">
        <v>3</v>
      </c>
      <c r="I20" s="162" t="s">
        <v>29</v>
      </c>
      <c r="J20" s="152" t="s">
        <v>412</v>
      </c>
      <c r="K20" s="152" t="s">
        <v>413</v>
      </c>
      <c r="L20" s="162" t="s">
        <v>3</v>
      </c>
      <c r="M20" s="162" t="s">
        <v>29</v>
      </c>
    </row>
    <row r="21" spans="1:14" x14ac:dyDescent="0.2">
      <c r="A21" s="662"/>
      <c r="B21" s="156"/>
      <c r="C21" s="156"/>
      <c r="D21" s="223" t="s">
        <v>4</v>
      </c>
      <c r="E21" s="156" t="s">
        <v>30</v>
      </c>
      <c r="F21" s="161"/>
      <c r="G21" s="161"/>
      <c r="H21" s="222" t="s">
        <v>4</v>
      </c>
      <c r="I21" s="156" t="s">
        <v>30</v>
      </c>
      <c r="J21" s="161"/>
      <c r="K21" s="161"/>
      <c r="L21" s="156" t="s">
        <v>4</v>
      </c>
      <c r="M21" s="156" t="s">
        <v>30</v>
      </c>
    </row>
    <row r="22" spans="1:14" ht="15.75" x14ac:dyDescent="0.2">
      <c r="A22" s="14" t="s">
        <v>23</v>
      </c>
      <c r="B22" s="286">
        <v>27.748799999999999</v>
      </c>
      <c r="C22" s="286">
        <v>32.815759999999997</v>
      </c>
      <c r="D22" s="326">
        <f t="shared" ref="D22:D31" si="3">IF(B22=0, "    ---- ", IF(ABS(ROUND(100/B22*C22-100,1))&lt;999,ROUND(100/B22*C22-100,1),IF(ROUND(100/B22*C22-100,1)&gt;999,999,-999)))</f>
        <v>18.3</v>
      </c>
      <c r="E22" s="11">
        <f>IFERROR(100/'Skjema total MA'!C22*C22,0)</f>
        <v>4.8179436944928997E-3</v>
      </c>
      <c r="F22" s="294"/>
      <c r="G22" s="294"/>
      <c r="H22" s="326"/>
      <c r="I22" s="11"/>
      <c r="J22" s="292">
        <f t="shared" ref="J22:J31" si="4">SUM(B22,F22)</f>
        <v>27.748799999999999</v>
      </c>
      <c r="K22" s="292">
        <f t="shared" ref="K22:K31" si="5">SUM(C22,G22)</f>
        <v>32.815759999999997</v>
      </c>
      <c r="L22" s="401">
        <f t="shared" ref="L22:L31" si="6">IF(J22=0, "    ---- ", IF(ABS(ROUND(100/J22*K22-100,1))&lt;999,ROUND(100/J22*K22-100,1),IF(ROUND(100/J22*K22-100,1)&gt;999,999,-999)))</f>
        <v>18.3</v>
      </c>
      <c r="M22" s="24">
        <f>IFERROR(100/'Skjema total MA'!I22*K22,0)</f>
        <v>2.971324501325469E-3</v>
      </c>
    </row>
    <row r="23" spans="1:14" ht="15.75" x14ac:dyDescent="0.2">
      <c r="A23" s="545" t="s">
        <v>344</v>
      </c>
      <c r="B23" s="258"/>
      <c r="C23" s="258"/>
      <c r="D23" s="166"/>
      <c r="E23" s="11"/>
      <c r="F23" s="267"/>
      <c r="G23" s="267"/>
      <c r="H23" s="166"/>
      <c r="I23" s="391"/>
      <c r="J23" s="267"/>
      <c r="K23" s="267"/>
      <c r="L23" s="166"/>
      <c r="M23" s="23"/>
    </row>
    <row r="24" spans="1:14" ht="15.75" x14ac:dyDescent="0.2">
      <c r="A24" s="545" t="s">
        <v>345</v>
      </c>
      <c r="B24" s="258">
        <v>27.748799999999999</v>
      </c>
      <c r="C24" s="258">
        <v>32.815759999999997</v>
      </c>
      <c r="D24" s="166">
        <f t="shared" si="3"/>
        <v>18.3</v>
      </c>
      <c r="E24" s="11">
        <f>IFERROR(100/'Skjema total MA'!C24*C24,0)</f>
        <v>0.44220682261725747</v>
      </c>
      <c r="F24" s="267"/>
      <c r="G24" s="267"/>
      <c r="H24" s="166"/>
      <c r="I24" s="391"/>
      <c r="J24" s="267">
        <f t="shared" si="4"/>
        <v>27.748799999999999</v>
      </c>
      <c r="K24" s="267">
        <f t="shared" si="5"/>
        <v>32.815759999999997</v>
      </c>
      <c r="L24" s="166">
        <f t="shared" si="6"/>
        <v>18.3</v>
      </c>
      <c r="M24" s="23">
        <f>IFERROR(100/'Skjema total MA'!I24*K24,0)</f>
        <v>0.4393636797312383</v>
      </c>
    </row>
    <row r="25" spans="1:14" ht="15.75" x14ac:dyDescent="0.2">
      <c r="A25" s="545" t="s">
        <v>346</v>
      </c>
      <c r="B25" s="258"/>
      <c r="C25" s="258"/>
      <c r="D25" s="166"/>
      <c r="E25" s="11"/>
      <c r="F25" s="267"/>
      <c r="G25" s="267"/>
      <c r="H25" s="166"/>
      <c r="I25" s="391"/>
      <c r="J25" s="267"/>
      <c r="K25" s="267"/>
      <c r="L25" s="166"/>
      <c r="M25" s="23"/>
    </row>
    <row r="26" spans="1:14" ht="15.75" x14ac:dyDescent="0.2">
      <c r="A26" s="545" t="s">
        <v>347</v>
      </c>
      <c r="B26" s="258"/>
      <c r="C26" s="258"/>
      <c r="D26" s="166"/>
      <c r="E26" s="11"/>
      <c r="F26" s="267"/>
      <c r="G26" s="267"/>
      <c r="H26" s="166"/>
      <c r="I26" s="391"/>
      <c r="J26" s="267"/>
      <c r="K26" s="267"/>
      <c r="L26" s="166"/>
      <c r="M26" s="23"/>
    </row>
    <row r="27" spans="1:14" x14ac:dyDescent="0.2">
      <c r="A27" s="545" t="s">
        <v>11</v>
      </c>
      <c r="B27" s="258"/>
      <c r="C27" s="258"/>
      <c r="D27" s="166"/>
      <c r="E27" s="11"/>
      <c r="F27" s="267"/>
      <c r="G27" s="267"/>
      <c r="H27" s="166"/>
      <c r="I27" s="391"/>
      <c r="J27" s="267"/>
      <c r="K27" s="267"/>
      <c r="L27" s="166"/>
      <c r="M27" s="23"/>
    </row>
    <row r="28" spans="1:14" ht="15.75" x14ac:dyDescent="0.2">
      <c r="A28" s="49" t="s">
        <v>252</v>
      </c>
      <c r="B28" s="44"/>
      <c r="C28" s="264"/>
      <c r="D28" s="166"/>
      <c r="E28" s="11"/>
      <c r="F28" s="211"/>
      <c r="G28" s="264"/>
      <c r="H28" s="166"/>
      <c r="I28" s="27"/>
      <c r="J28" s="44"/>
      <c r="K28" s="44"/>
      <c r="L28" s="231"/>
      <c r="M28" s="23"/>
    </row>
    <row r="29" spans="1:14" s="3" customFormat="1" ht="15.75" x14ac:dyDescent="0.2">
      <c r="A29" s="13" t="s">
        <v>341</v>
      </c>
      <c r="B29" s="213">
        <v>1670.5965856538</v>
      </c>
      <c r="C29" s="213">
        <v>1537.039</v>
      </c>
      <c r="D29" s="171">
        <f t="shared" si="3"/>
        <v>-8</v>
      </c>
      <c r="E29" s="11">
        <f>IFERROR(100/'Skjema total MA'!C29*C29,0)</f>
        <v>3.3549495435577343E-3</v>
      </c>
      <c r="F29" s="284"/>
      <c r="G29" s="284"/>
      <c r="H29" s="171"/>
      <c r="I29" s="11"/>
      <c r="J29" s="213">
        <f t="shared" si="4"/>
        <v>1670.5965856538</v>
      </c>
      <c r="K29" s="213">
        <f t="shared" si="5"/>
        <v>1537.039</v>
      </c>
      <c r="L29" s="402">
        <f t="shared" si="6"/>
        <v>-8</v>
      </c>
      <c r="M29" s="24">
        <f>IFERROR(100/'Skjema total MA'!I29*K29,0)</f>
        <v>2.1578910588507102E-3</v>
      </c>
      <c r="N29" s="148"/>
    </row>
    <row r="30" spans="1:14" s="3" customFormat="1" ht="15.75" x14ac:dyDescent="0.2">
      <c r="A30" s="545" t="s">
        <v>344</v>
      </c>
      <c r="B30" s="258"/>
      <c r="C30" s="258"/>
      <c r="D30" s="166"/>
      <c r="E30" s="11"/>
      <c r="F30" s="267"/>
      <c r="G30" s="267"/>
      <c r="H30" s="166"/>
      <c r="I30" s="391"/>
      <c r="J30" s="267"/>
      <c r="K30" s="267"/>
      <c r="L30" s="166"/>
      <c r="M30" s="23"/>
      <c r="N30" s="148"/>
    </row>
    <row r="31" spans="1:14" s="3" customFormat="1" ht="15.75" x14ac:dyDescent="0.2">
      <c r="A31" s="545" t="s">
        <v>345</v>
      </c>
      <c r="B31" s="258">
        <v>1670.5965856538</v>
      </c>
      <c r="C31" s="258">
        <v>1537.039</v>
      </c>
      <c r="D31" s="166">
        <f t="shared" si="3"/>
        <v>-8</v>
      </c>
      <c r="E31" s="11">
        <f>IFERROR(100/'Skjema total MA'!C31*C31,0)</f>
        <v>6.6307543688048434E-3</v>
      </c>
      <c r="F31" s="267"/>
      <c r="G31" s="267"/>
      <c r="H31" s="166"/>
      <c r="I31" s="391"/>
      <c r="J31" s="267">
        <f t="shared" si="4"/>
        <v>1670.5965856538</v>
      </c>
      <c r="K31" s="267">
        <f t="shared" si="5"/>
        <v>1537.039</v>
      </c>
      <c r="L31" s="166">
        <f t="shared" si="6"/>
        <v>-8</v>
      </c>
      <c r="M31" s="23">
        <f>IFERROR(100/'Skjema total MA'!I31*K31,0)</f>
        <v>4.6670352127279281E-3</v>
      </c>
      <c r="N31" s="148"/>
    </row>
    <row r="32" spans="1:14" ht="15.75" x14ac:dyDescent="0.2">
      <c r="A32" s="545" t="s">
        <v>346</v>
      </c>
      <c r="B32" s="258"/>
      <c r="C32" s="258"/>
      <c r="D32" s="166"/>
      <c r="E32" s="11"/>
      <c r="F32" s="267"/>
      <c r="G32" s="267"/>
      <c r="H32" s="166"/>
      <c r="I32" s="391"/>
      <c r="J32" s="267"/>
      <c r="K32" s="267"/>
      <c r="L32" s="166"/>
      <c r="M32" s="23"/>
    </row>
    <row r="33" spans="1:14" ht="15.75" x14ac:dyDescent="0.2">
      <c r="A33" s="545" t="s">
        <v>347</v>
      </c>
      <c r="B33" s="258"/>
      <c r="C33" s="258"/>
      <c r="D33" s="166"/>
      <c r="E33" s="11"/>
      <c r="F33" s="267"/>
      <c r="G33" s="267"/>
      <c r="H33" s="166"/>
      <c r="I33" s="391"/>
      <c r="J33" s="267"/>
      <c r="K33" s="267"/>
      <c r="L33" s="166"/>
      <c r="M33" s="23"/>
    </row>
    <row r="34" spans="1:14" ht="15.75" x14ac:dyDescent="0.2">
      <c r="A34" s="13" t="s">
        <v>342</v>
      </c>
      <c r="B34" s="213"/>
      <c r="C34" s="285"/>
      <c r="D34" s="171"/>
      <c r="E34" s="11"/>
      <c r="F34" s="284"/>
      <c r="G34" s="285"/>
      <c r="H34" s="171"/>
      <c r="I34" s="11"/>
      <c r="J34" s="213"/>
      <c r="K34" s="213"/>
      <c r="L34" s="402"/>
      <c r="M34" s="24"/>
    </row>
    <row r="35" spans="1:14" ht="15.75" x14ac:dyDescent="0.2">
      <c r="A35" s="13" t="s">
        <v>343</v>
      </c>
      <c r="B35" s="213"/>
      <c r="C35" s="285"/>
      <c r="D35" s="171"/>
      <c r="E35" s="11"/>
      <c r="F35" s="284"/>
      <c r="G35" s="285"/>
      <c r="H35" s="171"/>
      <c r="I35" s="11"/>
      <c r="J35" s="213"/>
      <c r="K35" s="213"/>
      <c r="L35" s="402"/>
      <c r="M35" s="24"/>
    </row>
    <row r="36" spans="1:14" ht="15.75" x14ac:dyDescent="0.2">
      <c r="A36" s="12" t="s">
        <v>260</v>
      </c>
      <c r="B36" s="213"/>
      <c r="C36" s="285"/>
      <c r="D36" s="171"/>
      <c r="E36" s="11"/>
      <c r="F36" s="295"/>
      <c r="G36" s="296"/>
      <c r="H36" s="171"/>
      <c r="I36" s="408"/>
      <c r="J36" s="213"/>
      <c r="K36" s="213"/>
      <c r="L36" s="402"/>
      <c r="M36" s="24"/>
    </row>
    <row r="37" spans="1:14" ht="15.75" x14ac:dyDescent="0.2">
      <c r="A37" s="12" t="s">
        <v>349</v>
      </c>
      <c r="B37" s="213"/>
      <c r="C37" s="285"/>
      <c r="D37" s="171"/>
      <c r="E37" s="11"/>
      <c r="F37" s="295"/>
      <c r="G37" s="297"/>
      <c r="H37" s="171"/>
      <c r="I37" s="408"/>
      <c r="J37" s="213"/>
      <c r="K37" s="213"/>
      <c r="L37" s="402"/>
      <c r="M37" s="24"/>
    </row>
    <row r="38" spans="1:14" ht="15.75" x14ac:dyDescent="0.2">
      <c r="A38" s="12" t="s">
        <v>350</v>
      </c>
      <c r="B38" s="213"/>
      <c r="C38" s="285"/>
      <c r="D38" s="171"/>
      <c r="E38" s="24"/>
      <c r="F38" s="295"/>
      <c r="G38" s="296"/>
      <c r="H38" s="171"/>
      <c r="I38" s="408"/>
      <c r="J38" s="213"/>
      <c r="K38" s="213"/>
      <c r="L38" s="402"/>
      <c r="M38" s="24"/>
    </row>
    <row r="39" spans="1:14" ht="15.75" x14ac:dyDescent="0.2">
      <c r="A39" s="18" t="s">
        <v>351</v>
      </c>
      <c r="B39" s="253"/>
      <c r="C39" s="291"/>
      <c r="D39" s="169"/>
      <c r="E39" s="36"/>
      <c r="F39" s="298"/>
      <c r="G39" s="299"/>
      <c r="H39" s="169"/>
      <c r="I39" s="36"/>
      <c r="J39" s="213"/>
      <c r="K39" s="213"/>
      <c r="L39" s="403"/>
      <c r="M39" s="36"/>
    </row>
    <row r="40" spans="1:14" ht="15.75" x14ac:dyDescent="0.25">
      <c r="A40" s="47"/>
      <c r="B40" s="230"/>
      <c r="C40" s="230"/>
      <c r="D40" s="698"/>
      <c r="E40" s="698"/>
      <c r="F40" s="698"/>
      <c r="G40" s="698"/>
      <c r="H40" s="698"/>
      <c r="I40" s="698"/>
      <c r="J40" s="698"/>
      <c r="K40" s="698"/>
      <c r="L40" s="698"/>
      <c r="M40" s="278"/>
    </row>
    <row r="41" spans="1:14" x14ac:dyDescent="0.2">
      <c r="A41" s="155"/>
    </row>
    <row r="42" spans="1:14" ht="15.75" x14ac:dyDescent="0.25">
      <c r="A42" s="147" t="s">
        <v>249</v>
      </c>
      <c r="B42" s="699"/>
      <c r="C42" s="699"/>
      <c r="D42" s="699"/>
      <c r="E42" s="275"/>
      <c r="F42" s="700"/>
      <c r="G42" s="700"/>
      <c r="H42" s="700"/>
      <c r="I42" s="278"/>
      <c r="J42" s="700"/>
      <c r="K42" s="700"/>
      <c r="L42" s="700"/>
      <c r="M42" s="278"/>
    </row>
    <row r="43" spans="1:14" ht="15.75" x14ac:dyDescent="0.25">
      <c r="A43" s="163"/>
      <c r="B43" s="279"/>
      <c r="C43" s="279"/>
      <c r="D43" s="279"/>
      <c r="E43" s="279"/>
      <c r="F43" s="278"/>
      <c r="G43" s="278"/>
      <c r="H43" s="278"/>
      <c r="I43" s="278"/>
      <c r="J43" s="278"/>
      <c r="K43" s="278"/>
      <c r="L43" s="278"/>
      <c r="M43" s="278"/>
    </row>
    <row r="44" spans="1:14" ht="15.75" x14ac:dyDescent="0.25">
      <c r="A44" s="224"/>
      <c r="B44" s="695" t="s">
        <v>0</v>
      </c>
      <c r="C44" s="696"/>
      <c r="D44" s="696"/>
      <c r="E44" s="220"/>
      <c r="F44" s="278"/>
      <c r="G44" s="278"/>
      <c r="H44" s="278"/>
      <c r="I44" s="278"/>
      <c r="J44" s="278"/>
      <c r="K44" s="278"/>
      <c r="L44" s="278"/>
      <c r="M44" s="278"/>
    </row>
    <row r="45" spans="1:14" s="3" customFormat="1" x14ac:dyDescent="0.2">
      <c r="A45" s="140"/>
      <c r="B45" s="152" t="s">
        <v>412</v>
      </c>
      <c r="C45" s="152" t="s">
        <v>413</v>
      </c>
      <c r="D45" s="162" t="s">
        <v>3</v>
      </c>
      <c r="E45" s="162" t="s">
        <v>29</v>
      </c>
      <c r="F45" s="174"/>
      <c r="G45" s="174"/>
      <c r="H45" s="173"/>
      <c r="I45" s="173"/>
      <c r="J45" s="174"/>
      <c r="K45" s="174"/>
      <c r="L45" s="173"/>
      <c r="M45" s="173"/>
      <c r="N45" s="148"/>
    </row>
    <row r="46" spans="1:14" s="3" customFormat="1" x14ac:dyDescent="0.2">
      <c r="A46" s="662"/>
      <c r="B46" s="221"/>
      <c r="C46" s="221"/>
      <c r="D46" s="222" t="s">
        <v>4</v>
      </c>
      <c r="E46" s="156" t="s">
        <v>30</v>
      </c>
      <c r="F46" s="173"/>
      <c r="G46" s="173"/>
      <c r="H46" s="173"/>
      <c r="I46" s="173"/>
      <c r="J46" s="173"/>
      <c r="K46" s="173"/>
      <c r="L46" s="173"/>
      <c r="M46" s="173"/>
      <c r="N46" s="148"/>
    </row>
    <row r="47" spans="1:14" s="3" customFormat="1" ht="15.75" x14ac:dyDescent="0.2">
      <c r="A47" s="14" t="s">
        <v>23</v>
      </c>
      <c r="B47" s="286"/>
      <c r="C47" s="287"/>
      <c r="D47" s="401"/>
      <c r="E47" s="11"/>
      <c r="F47" s="145"/>
      <c r="G47" s="33"/>
      <c r="H47" s="159"/>
      <c r="I47" s="159"/>
      <c r="J47" s="37"/>
      <c r="K47" s="37"/>
      <c r="L47" s="159"/>
      <c r="M47" s="159"/>
      <c r="N47" s="148"/>
    </row>
    <row r="48" spans="1:14" s="3" customFormat="1" ht="15.75" x14ac:dyDescent="0.2">
      <c r="A48" s="38" t="s">
        <v>352</v>
      </c>
      <c r="B48" s="258"/>
      <c r="C48" s="259"/>
      <c r="D48" s="231"/>
      <c r="E48" s="27"/>
      <c r="F48" s="145"/>
      <c r="G48" s="33"/>
      <c r="H48" s="145"/>
      <c r="I48" s="145"/>
      <c r="J48" s="33"/>
      <c r="K48" s="33"/>
      <c r="L48" s="159"/>
      <c r="M48" s="159"/>
      <c r="N48" s="148"/>
    </row>
    <row r="49" spans="1:14" s="3" customFormat="1" ht="15.75" x14ac:dyDescent="0.2">
      <c r="A49" s="38" t="s">
        <v>353</v>
      </c>
      <c r="B49" s="44"/>
      <c r="C49" s="264"/>
      <c r="D49" s="231"/>
      <c r="E49" s="27"/>
      <c r="F49" s="145"/>
      <c r="G49" s="33"/>
      <c r="H49" s="145"/>
      <c r="I49" s="145"/>
      <c r="J49" s="37"/>
      <c r="K49" s="37"/>
      <c r="L49" s="159"/>
      <c r="M49" s="159"/>
      <c r="N49" s="148"/>
    </row>
    <row r="50" spans="1:14" s="3" customFormat="1" x14ac:dyDescent="0.2">
      <c r="A50" s="272" t="s">
        <v>6</v>
      </c>
      <c r="B50" s="295"/>
      <c r="C50" s="295"/>
      <c r="D50" s="231"/>
      <c r="E50" s="23"/>
      <c r="F50" s="145"/>
      <c r="G50" s="33"/>
      <c r="H50" s="145"/>
      <c r="I50" s="145"/>
      <c r="J50" s="33"/>
      <c r="K50" s="33"/>
      <c r="L50" s="159"/>
      <c r="M50" s="159"/>
      <c r="N50" s="148"/>
    </row>
    <row r="51" spans="1:14" s="3" customFormat="1" x14ac:dyDescent="0.2">
      <c r="A51" s="272" t="s">
        <v>7</v>
      </c>
      <c r="B51" s="295"/>
      <c r="C51" s="295"/>
      <c r="D51" s="231"/>
      <c r="E51" s="23"/>
      <c r="F51" s="145"/>
      <c r="G51" s="33"/>
      <c r="H51" s="145"/>
      <c r="I51" s="145"/>
      <c r="J51" s="33"/>
      <c r="K51" s="33"/>
      <c r="L51" s="159"/>
      <c r="M51" s="159"/>
      <c r="N51" s="148"/>
    </row>
    <row r="52" spans="1:14" s="3" customFormat="1" x14ac:dyDescent="0.2">
      <c r="A52" s="272" t="s">
        <v>8</v>
      </c>
      <c r="B52" s="295"/>
      <c r="C52" s="295"/>
      <c r="D52" s="231"/>
      <c r="E52" s="23"/>
      <c r="F52" s="145"/>
      <c r="G52" s="33"/>
      <c r="H52" s="145"/>
      <c r="I52" s="145"/>
      <c r="J52" s="33"/>
      <c r="K52" s="33"/>
      <c r="L52" s="159"/>
      <c r="M52" s="159"/>
      <c r="N52" s="148"/>
    </row>
    <row r="53" spans="1:14" s="3" customFormat="1" ht="15.75" x14ac:dyDescent="0.2">
      <c r="A53" s="39" t="s">
        <v>354</v>
      </c>
      <c r="B53" s="286"/>
      <c r="C53" s="287"/>
      <c r="D53" s="402"/>
      <c r="E53" s="11"/>
      <c r="F53" s="145"/>
      <c r="G53" s="33"/>
      <c r="H53" s="145"/>
      <c r="I53" s="145"/>
      <c r="J53" s="33"/>
      <c r="K53" s="33"/>
      <c r="L53" s="159"/>
      <c r="M53" s="159"/>
      <c r="N53" s="148"/>
    </row>
    <row r="54" spans="1:14" s="3" customFormat="1" ht="15.75" x14ac:dyDescent="0.2">
      <c r="A54" s="38" t="s">
        <v>352</v>
      </c>
      <c r="B54" s="258"/>
      <c r="C54" s="259"/>
      <c r="D54" s="231"/>
      <c r="E54" s="27"/>
      <c r="F54" s="145"/>
      <c r="G54" s="33"/>
      <c r="H54" s="145"/>
      <c r="I54" s="145"/>
      <c r="J54" s="33"/>
      <c r="K54" s="33"/>
      <c r="L54" s="159"/>
      <c r="M54" s="159"/>
      <c r="N54" s="148"/>
    </row>
    <row r="55" spans="1:14" s="3" customFormat="1" ht="15.75" x14ac:dyDescent="0.2">
      <c r="A55" s="38" t="s">
        <v>353</v>
      </c>
      <c r="B55" s="258"/>
      <c r="C55" s="259"/>
      <c r="D55" s="231"/>
      <c r="E55" s="27"/>
      <c r="F55" s="145"/>
      <c r="G55" s="33"/>
      <c r="H55" s="145"/>
      <c r="I55" s="145"/>
      <c r="J55" s="33"/>
      <c r="K55" s="33"/>
      <c r="L55" s="159"/>
      <c r="M55" s="159"/>
      <c r="N55" s="148"/>
    </row>
    <row r="56" spans="1:14" s="3" customFormat="1" ht="15.75" x14ac:dyDescent="0.2">
      <c r="A56" s="39" t="s">
        <v>355</v>
      </c>
      <c r="B56" s="286"/>
      <c r="C56" s="287"/>
      <c r="D56" s="402"/>
      <c r="E56" s="11"/>
      <c r="F56" s="145"/>
      <c r="G56" s="33"/>
      <c r="H56" s="145"/>
      <c r="I56" s="145"/>
      <c r="J56" s="33"/>
      <c r="K56" s="33"/>
      <c r="L56" s="159"/>
      <c r="M56" s="159"/>
      <c r="N56" s="148"/>
    </row>
    <row r="57" spans="1:14" s="3" customFormat="1" ht="15.75" x14ac:dyDescent="0.2">
      <c r="A57" s="38" t="s">
        <v>352</v>
      </c>
      <c r="B57" s="258"/>
      <c r="C57" s="259"/>
      <c r="D57" s="231"/>
      <c r="E57" s="27"/>
      <c r="F57" s="145"/>
      <c r="G57" s="33"/>
      <c r="H57" s="145"/>
      <c r="I57" s="145"/>
      <c r="J57" s="33"/>
      <c r="K57" s="33"/>
      <c r="L57" s="159"/>
      <c r="M57" s="159"/>
      <c r="N57" s="148"/>
    </row>
    <row r="58" spans="1:14" s="3" customFormat="1" ht="15.75" x14ac:dyDescent="0.2">
      <c r="A58" s="46" t="s">
        <v>353</v>
      </c>
      <c r="B58" s="260"/>
      <c r="C58" s="261"/>
      <c r="D58" s="232"/>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250</v>
      </c>
      <c r="C61" s="26"/>
      <c r="D61" s="26"/>
      <c r="E61" s="26"/>
      <c r="F61" s="26"/>
      <c r="G61" s="26"/>
      <c r="H61" s="26"/>
      <c r="I61" s="26"/>
      <c r="J61" s="26"/>
      <c r="K61" s="26"/>
      <c r="L61" s="26"/>
      <c r="M61" s="26"/>
    </row>
    <row r="62" spans="1:14" ht="15.75" x14ac:dyDescent="0.25">
      <c r="B62" s="694"/>
      <c r="C62" s="694"/>
      <c r="D62" s="694"/>
      <c r="E62" s="275"/>
      <c r="F62" s="694"/>
      <c r="G62" s="694"/>
      <c r="H62" s="694"/>
      <c r="I62" s="275"/>
      <c r="J62" s="694"/>
      <c r="K62" s="694"/>
      <c r="L62" s="694"/>
      <c r="M62" s="275"/>
    </row>
    <row r="63" spans="1:14" x14ac:dyDescent="0.2">
      <c r="A63" s="144"/>
      <c r="B63" s="695" t="s">
        <v>0</v>
      </c>
      <c r="C63" s="696"/>
      <c r="D63" s="697"/>
      <c r="E63" s="276"/>
      <c r="F63" s="696" t="s">
        <v>1</v>
      </c>
      <c r="G63" s="696"/>
      <c r="H63" s="696"/>
      <c r="I63" s="280"/>
      <c r="J63" s="695" t="s">
        <v>2</v>
      </c>
      <c r="K63" s="696"/>
      <c r="L63" s="696"/>
      <c r="M63" s="280"/>
    </row>
    <row r="64" spans="1:14" x14ac:dyDescent="0.2">
      <c r="A64" s="140"/>
      <c r="B64" s="152" t="s">
        <v>412</v>
      </c>
      <c r="C64" s="152" t="s">
        <v>413</v>
      </c>
      <c r="D64" s="222" t="s">
        <v>3</v>
      </c>
      <c r="E64" s="281" t="s">
        <v>29</v>
      </c>
      <c r="F64" s="152" t="s">
        <v>412</v>
      </c>
      <c r="G64" s="152" t="s">
        <v>413</v>
      </c>
      <c r="H64" s="222" t="s">
        <v>3</v>
      </c>
      <c r="I64" s="281" t="s">
        <v>29</v>
      </c>
      <c r="J64" s="152" t="s">
        <v>412</v>
      </c>
      <c r="K64" s="152" t="s">
        <v>413</v>
      </c>
      <c r="L64" s="222" t="s">
        <v>3</v>
      </c>
      <c r="M64" s="162" t="s">
        <v>29</v>
      </c>
    </row>
    <row r="65" spans="1:14" x14ac:dyDescent="0.2">
      <c r="A65" s="662"/>
      <c r="B65" s="156"/>
      <c r="C65" s="156"/>
      <c r="D65" s="223" t="s">
        <v>4</v>
      </c>
      <c r="E65" s="156" t="s">
        <v>30</v>
      </c>
      <c r="F65" s="161"/>
      <c r="G65" s="161"/>
      <c r="H65" s="222" t="s">
        <v>4</v>
      </c>
      <c r="I65" s="156" t="s">
        <v>30</v>
      </c>
      <c r="J65" s="161"/>
      <c r="K65" s="203"/>
      <c r="L65" s="156" t="s">
        <v>4</v>
      </c>
      <c r="M65" s="156" t="s">
        <v>30</v>
      </c>
    </row>
    <row r="66" spans="1:14" ht="15.75" x14ac:dyDescent="0.2">
      <c r="A66" s="14" t="s">
        <v>23</v>
      </c>
      <c r="B66" s="329"/>
      <c r="C66" s="329"/>
      <c r="D66" s="326"/>
      <c r="E66" s="11"/>
      <c r="F66" s="328"/>
      <c r="G66" s="328"/>
      <c r="H66" s="326"/>
      <c r="I66" s="24"/>
      <c r="J66" s="159"/>
      <c r="K66" s="292"/>
      <c r="L66" s="402"/>
      <c r="M66" s="11"/>
    </row>
    <row r="67" spans="1:14" x14ac:dyDescent="0.2">
      <c r="A67" s="393" t="s">
        <v>9</v>
      </c>
      <c r="B67" s="44"/>
      <c r="C67" s="145"/>
      <c r="D67" s="166"/>
      <c r="E67" s="23"/>
      <c r="F67" s="211"/>
      <c r="G67" s="145"/>
      <c r="H67" s="166"/>
      <c r="I67" s="23"/>
      <c r="J67" s="145"/>
      <c r="K67" s="44"/>
      <c r="L67" s="231"/>
      <c r="M67" s="27"/>
    </row>
    <row r="68" spans="1:14" x14ac:dyDescent="0.2">
      <c r="A68" s="21" t="s">
        <v>10</v>
      </c>
      <c r="B68" s="268"/>
      <c r="C68" s="269"/>
      <c r="D68" s="166"/>
      <c r="E68" s="23"/>
      <c r="F68" s="268"/>
      <c r="G68" s="269"/>
      <c r="H68" s="166"/>
      <c r="I68" s="23"/>
      <c r="J68" s="145"/>
      <c r="K68" s="44"/>
      <c r="L68" s="231"/>
      <c r="M68" s="27"/>
    </row>
    <row r="69" spans="1:14" ht="15.75" x14ac:dyDescent="0.2">
      <c r="A69" s="272" t="s">
        <v>356</v>
      </c>
      <c r="B69" s="295"/>
      <c r="C69" s="295"/>
      <c r="D69" s="166"/>
      <c r="E69" s="23"/>
      <c r="F69" s="295"/>
      <c r="G69" s="295"/>
      <c r="H69" s="166"/>
      <c r="I69" s="23"/>
      <c r="J69" s="295"/>
      <c r="K69" s="295"/>
      <c r="L69" s="166"/>
      <c r="M69" s="23"/>
    </row>
    <row r="70" spans="1:14" x14ac:dyDescent="0.2">
      <c r="A70" s="272" t="s">
        <v>12</v>
      </c>
      <c r="B70" s="270"/>
      <c r="C70" s="271"/>
      <c r="D70" s="166"/>
      <c r="E70" s="23"/>
      <c r="F70" s="270"/>
      <c r="G70" s="271"/>
      <c r="H70" s="166"/>
      <c r="I70" s="23"/>
      <c r="J70" s="270"/>
      <c r="K70" s="271"/>
      <c r="L70" s="166"/>
      <c r="M70" s="23"/>
    </row>
    <row r="71" spans="1:14" x14ac:dyDescent="0.2">
      <c r="A71" s="272" t="s">
        <v>13</v>
      </c>
      <c r="B71" s="212"/>
      <c r="C71" s="266"/>
      <c r="D71" s="166"/>
      <c r="E71" s="23"/>
      <c r="F71" s="212"/>
      <c r="G71" s="266"/>
      <c r="H71" s="166"/>
      <c r="I71" s="23"/>
      <c r="J71" s="212"/>
      <c r="K71" s="266"/>
      <c r="L71" s="166"/>
      <c r="M71" s="23"/>
    </row>
    <row r="72" spans="1:14" ht="15.75" x14ac:dyDescent="0.2">
      <c r="A72" s="272" t="s">
        <v>357</v>
      </c>
      <c r="B72" s="295"/>
      <c r="C72" s="295"/>
      <c r="D72" s="166"/>
      <c r="E72" s="23"/>
      <c r="F72" s="295"/>
      <c r="G72" s="295"/>
      <c r="H72" s="166"/>
      <c r="I72" s="23"/>
      <c r="J72" s="295"/>
      <c r="K72" s="295"/>
      <c r="L72" s="166"/>
      <c r="M72" s="23"/>
    </row>
    <row r="73" spans="1:14" x14ac:dyDescent="0.2">
      <c r="A73" s="272" t="s">
        <v>12</v>
      </c>
      <c r="B73" s="212"/>
      <c r="C73" s="266"/>
      <c r="D73" s="166"/>
      <c r="E73" s="23"/>
      <c r="F73" s="212"/>
      <c r="G73" s="266"/>
      <c r="H73" s="166"/>
      <c r="I73" s="23"/>
      <c r="J73" s="212"/>
      <c r="K73" s="266"/>
      <c r="L73" s="166"/>
      <c r="M73" s="23"/>
    </row>
    <row r="74" spans="1:14" s="3" customFormat="1" x14ac:dyDescent="0.2">
      <c r="A74" s="272" t="s">
        <v>13</v>
      </c>
      <c r="B74" s="212"/>
      <c r="C74" s="266"/>
      <c r="D74" s="166"/>
      <c r="E74" s="23"/>
      <c r="F74" s="212"/>
      <c r="G74" s="266"/>
      <c r="H74" s="166"/>
      <c r="I74" s="23"/>
      <c r="J74" s="212"/>
      <c r="K74" s="266"/>
      <c r="L74" s="166"/>
      <c r="M74" s="23"/>
      <c r="N74" s="148"/>
    </row>
    <row r="75" spans="1:14" s="3" customFormat="1" x14ac:dyDescent="0.2">
      <c r="A75" s="21" t="s">
        <v>326</v>
      </c>
      <c r="B75" s="211"/>
      <c r="C75" s="145"/>
      <c r="D75" s="166"/>
      <c r="E75" s="23"/>
      <c r="F75" s="211"/>
      <c r="G75" s="145"/>
      <c r="H75" s="166"/>
      <c r="I75" s="23"/>
      <c r="J75" s="145"/>
      <c r="K75" s="44"/>
      <c r="L75" s="231"/>
      <c r="M75" s="27"/>
      <c r="N75" s="148"/>
    </row>
    <row r="76" spans="1:14" s="3" customFormat="1" x14ac:dyDescent="0.2">
      <c r="A76" s="21" t="s">
        <v>325</v>
      </c>
      <c r="B76" s="211"/>
      <c r="C76" s="145"/>
      <c r="D76" s="166"/>
      <c r="E76" s="23"/>
      <c r="F76" s="211"/>
      <c r="G76" s="145"/>
      <c r="H76" s="166"/>
      <c r="I76" s="23"/>
      <c r="J76" s="145"/>
      <c r="K76" s="44"/>
      <c r="L76" s="231"/>
      <c r="M76" s="27"/>
      <c r="N76" s="148"/>
    </row>
    <row r="77" spans="1:14" ht="15.75" x14ac:dyDescent="0.2">
      <c r="A77" s="21" t="s">
        <v>358</v>
      </c>
      <c r="B77" s="211"/>
      <c r="C77" s="211"/>
      <c r="D77" s="166"/>
      <c r="E77" s="23"/>
      <c r="F77" s="211"/>
      <c r="G77" s="145"/>
      <c r="H77" s="166"/>
      <c r="I77" s="23"/>
      <c r="J77" s="145"/>
      <c r="K77" s="44"/>
      <c r="L77" s="231"/>
      <c r="M77" s="27"/>
    </row>
    <row r="78" spans="1:14" x14ac:dyDescent="0.2">
      <c r="A78" s="21" t="s">
        <v>9</v>
      </c>
      <c r="B78" s="211"/>
      <c r="C78" s="145"/>
      <c r="D78" s="166"/>
      <c r="E78" s="23"/>
      <c r="F78" s="211"/>
      <c r="G78" s="145"/>
      <c r="H78" s="166"/>
      <c r="I78" s="23"/>
      <c r="J78" s="145"/>
      <c r="K78" s="44"/>
      <c r="L78" s="231"/>
      <c r="M78" s="27"/>
    </row>
    <row r="79" spans="1:14" x14ac:dyDescent="0.2">
      <c r="A79" s="38" t="s">
        <v>398</v>
      </c>
      <c r="B79" s="268"/>
      <c r="C79" s="269"/>
      <c r="D79" s="166"/>
      <c r="E79" s="23"/>
      <c r="F79" s="268"/>
      <c r="G79" s="269"/>
      <c r="H79" s="166"/>
      <c r="I79" s="23"/>
      <c r="J79" s="145"/>
      <c r="K79" s="44"/>
      <c r="L79" s="231"/>
      <c r="M79" s="27"/>
    </row>
    <row r="80" spans="1:14" ht="15.75" x14ac:dyDescent="0.2">
      <c r="A80" s="272" t="s">
        <v>356</v>
      </c>
      <c r="B80" s="295"/>
      <c r="C80" s="295"/>
      <c r="D80" s="166"/>
      <c r="E80" s="23"/>
      <c r="F80" s="295"/>
      <c r="G80" s="295"/>
      <c r="H80" s="166"/>
      <c r="I80" s="23"/>
      <c r="J80" s="295"/>
      <c r="K80" s="295"/>
      <c r="L80" s="166"/>
      <c r="M80" s="23"/>
    </row>
    <row r="81" spans="1:13" x14ac:dyDescent="0.2">
      <c r="A81" s="272" t="s">
        <v>12</v>
      </c>
      <c r="B81" s="295"/>
      <c r="C81" s="295"/>
      <c r="D81" s="166"/>
      <c r="E81" s="23"/>
      <c r="F81" s="270"/>
      <c r="G81" s="271"/>
      <c r="H81" s="166"/>
      <c r="I81" s="23"/>
      <c r="J81" s="270"/>
      <c r="K81" s="271"/>
      <c r="L81" s="166"/>
      <c r="M81" s="23"/>
    </row>
    <row r="82" spans="1:13" x14ac:dyDescent="0.2">
      <c r="A82" s="272" t="s">
        <v>13</v>
      </c>
      <c r="B82" s="295"/>
      <c r="C82" s="295"/>
      <c r="D82" s="166"/>
      <c r="E82" s="23"/>
      <c r="F82" s="212"/>
      <c r="G82" s="266"/>
      <c r="H82" s="166"/>
      <c r="I82" s="23"/>
      <c r="J82" s="212"/>
      <c r="K82" s="266"/>
      <c r="L82" s="166"/>
      <c r="M82" s="23"/>
    </row>
    <row r="83" spans="1:13" ht="15.75" x14ac:dyDescent="0.2">
      <c r="A83" s="272" t="s">
        <v>357</v>
      </c>
      <c r="B83" s="295"/>
      <c r="C83" s="295"/>
      <c r="D83" s="166"/>
      <c r="E83" s="23"/>
      <c r="F83" s="295"/>
      <c r="G83" s="295"/>
      <c r="H83" s="166"/>
      <c r="I83" s="23"/>
      <c r="J83" s="295"/>
      <c r="K83" s="295"/>
      <c r="L83" s="166"/>
      <c r="M83" s="23"/>
    </row>
    <row r="84" spans="1:13" x14ac:dyDescent="0.2">
      <c r="A84" s="272" t="s">
        <v>12</v>
      </c>
      <c r="B84" s="212"/>
      <c r="C84" s="266"/>
      <c r="D84" s="166"/>
      <c r="E84" s="23"/>
      <c r="F84" s="212"/>
      <c r="G84" s="266"/>
      <c r="H84" s="166"/>
      <c r="I84" s="23"/>
      <c r="J84" s="212"/>
      <c r="K84" s="266"/>
      <c r="L84" s="166"/>
      <c r="M84" s="23"/>
    </row>
    <row r="85" spans="1:13" x14ac:dyDescent="0.2">
      <c r="A85" s="272" t="s">
        <v>13</v>
      </c>
      <c r="B85" s="212"/>
      <c r="C85" s="266"/>
      <c r="D85" s="166"/>
      <c r="E85" s="23"/>
      <c r="F85" s="212"/>
      <c r="G85" s="266"/>
      <c r="H85" s="166"/>
      <c r="I85" s="23"/>
      <c r="J85" s="212"/>
      <c r="K85" s="266"/>
      <c r="L85" s="166"/>
      <c r="M85" s="23"/>
    </row>
    <row r="86" spans="1:13" ht="15.75" x14ac:dyDescent="0.2">
      <c r="A86" s="21" t="s">
        <v>359</v>
      </c>
      <c r="B86" s="211"/>
      <c r="C86" s="145"/>
      <c r="D86" s="166"/>
      <c r="E86" s="23"/>
      <c r="F86" s="211"/>
      <c r="G86" s="145"/>
      <c r="H86" s="166"/>
      <c r="I86" s="23"/>
      <c r="J86" s="145"/>
      <c r="K86" s="44"/>
      <c r="L86" s="231"/>
      <c r="M86" s="27"/>
    </row>
    <row r="87" spans="1:13" ht="15.75" x14ac:dyDescent="0.2">
      <c r="A87" s="13" t="s">
        <v>341</v>
      </c>
      <c r="B87" s="329"/>
      <c r="C87" s="329"/>
      <c r="D87" s="171"/>
      <c r="E87" s="24"/>
      <c r="F87" s="328"/>
      <c r="G87" s="328"/>
      <c r="H87" s="171"/>
      <c r="I87" s="24"/>
      <c r="J87" s="159"/>
      <c r="K87" s="213"/>
      <c r="L87" s="402"/>
      <c r="M87" s="11"/>
    </row>
    <row r="88" spans="1:13" x14ac:dyDescent="0.2">
      <c r="A88" s="21" t="s">
        <v>9</v>
      </c>
      <c r="B88" s="211"/>
      <c r="C88" s="145"/>
      <c r="D88" s="166"/>
      <c r="E88" s="23"/>
      <c r="F88" s="211"/>
      <c r="G88" s="145"/>
      <c r="H88" s="166"/>
      <c r="I88" s="23"/>
      <c r="J88" s="145"/>
      <c r="K88" s="44"/>
      <c r="L88" s="231"/>
      <c r="M88" s="27"/>
    </row>
    <row r="89" spans="1:13" x14ac:dyDescent="0.2">
      <c r="A89" s="21" t="s">
        <v>10</v>
      </c>
      <c r="B89" s="211"/>
      <c r="C89" s="145"/>
      <c r="D89" s="166"/>
      <c r="E89" s="23"/>
      <c r="F89" s="211"/>
      <c r="G89" s="145"/>
      <c r="H89" s="166"/>
      <c r="I89" s="23"/>
      <c r="J89" s="145"/>
      <c r="K89" s="44"/>
      <c r="L89" s="231"/>
      <c r="M89" s="27"/>
    </row>
    <row r="90" spans="1:13" ht="15.75" x14ac:dyDescent="0.2">
      <c r="A90" s="272" t="s">
        <v>356</v>
      </c>
      <c r="B90" s="295"/>
      <c r="C90" s="295"/>
      <c r="D90" s="166"/>
      <c r="E90" s="23"/>
      <c r="F90" s="295"/>
      <c r="G90" s="295"/>
      <c r="H90" s="166"/>
      <c r="I90" s="23"/>
      <c r="J90" s="295"/>
      <c r="K90" s="295"/>
      <c r="L90" s="166"/>
      <c r="M90" s="23"/>
    </row>
    <row r="91" spans="1:13" x14ac:dyDescent="0.2">
      <c r="A91" s="272" t="s">
        <v>12</v>
      </c>
      <c r="B91" s="295"/>
      <c r="C91" s="295"/>
      <c r="D91" s="166"/>
      <c r="E91" s="23"/>
      <c r="F91" s="270"/>
      <c r="G91" s="271"/>
      <c r="H91" s="166"/>
      <c r="I91" s="23"/>
      <c r="J91" s="270"/>
      <c r="K91" s="271"/>
      <c r="L91" s="166"/>
      <c r="M91" s="23"/>
    </row>
    <row r="92" spans="1:13" x14ac:dyDescent="0.2">
      <c r="A92" s="272" t="s">
        <v>13</v>
      </c>
      <c r="B92" s="295"/>
      <c r="C92" s="295"/>
      <c r="D92" s="166"/>
      <c r="E92" s="23"/>
      <c r="F92" s="212"/>
      <c r="G92" s="266"/>
      <c r="H92" s="166"/>
      <c r="I92" s="23"/>
      <c r="J92" s="212"/>
      <c r="K92" s="266"/>
      <c r="L92" s="166"/>
      <c r="M92" s="23"/>
    </row>
    <row r="93" spans="1:13" ht="15.75" x14ac:dyDescent="0.2">
      <c r="A93" s="272" t="s">
        <v>357</v>
      </c>
      <c r="B93" s="295"/>
      <c r="C93" s="295"/>
      <c r="D93" s="166"/>
      <c r="E93" s="23"/>
      <c r="F93" s="295"/>
      <c r="G93" s="295"/>
      <c r="H93" s="166"/>
      <c r="I93" s="23"/>
      <c r="J93" s="295"/>
      <c r="K93" s="295"/>
      <c r="L93" s="166"/>
      <c r="M93" s="23"/>
    </row>
    <row r="94" spans="1:13" x14ac:dyDescent="0.2">
      <c r="A94" s="272" t="s">
        <v>12</v>
      </c>
      <c r="B94" s="212"/>
      <c r="C94" s="266"/>
      <c r="D94" s="166"/>
      <c r="E94" s="23"/>
      <c r="F94" s="212"/>
      <c r="G94" s="266"/>
      <c r="H94" s="166"/>
      <c r="I94" s="23"/>
      <c r="J94" s="212"/>
      <c r="K94" s="266"/>
      <c r="L94" s="166"/>
      <c r="M94" s="23"/>
    </row>
    <row r="95" spans="1:13" x14ac:dyDescent="0.2">
      <c r="A95" s="272" t="s">
        <v>13</v>
      </c>
      <c r="B95" s="212"/>
      <c r="C95" s="266"/>
      <c r="D95" s="166"/>
      <c r="E95" s="23"/>
      <c r="F95" s="212"/>
      <c r="G95" s="266"/>
      <c r="H95" s="166"/>
      <c r="I95" s="23"/>
      <c r="J95" s="212"/>
      <c r="K95" s="266"/>
      <c r="L95" s="166"/>
      <c r="M95" s="23"/>
    </row>
    <row r="96" spans="1:13" x14ac:dyDescent="0.2">
      <c r="A96" s="21" t="s">
        <v>324</v>
      </c>
      <c r="B96" s="211"/>
      <c r="C96" s="145"/>
      <c r="D96" s="166"/>
      <c r="E96" s="23"/>
      <c r="F96" s="211"/>
      <c r="G96" s="145"/>
      <c r="H96" s="166"/>
      <c r="I96" s="23"/>
      <c r="J96" s="145"/>
      <c r="K96" s="44"/>
      <c r="L96" s="231"/>
      <c r="M96" s="27"/>
    </row>
    <row r="97" spans="1:13" x14ac:dyDescent="0.2">
      <c r="A97" s="21" t="s">
        <v>323</v>
      </c>
      <c r="B97" s="211"/>
      <c r="C97" s="145"/>
      <c r="D97" s="166"/>
      <c r="E97" s="23"/>
      <c r="F97" s="211"/>
      <c r="G97" s="145"/>
      <c r="H97" s="166"/>
      <c r="I97" s="23"/>
      <c r="J97" s="145"/>
      <c r="K97" s="44"/>
      <c r="L97" s="231"/>
      <c r="M97" s="27"/>
    </row>
    <row r="98" spans="1:13" ht="15.75" x14ac:dyDescent="0.2">
      <c r="A98" s="21" t="s">
        <v>358</v>
      </c>
      <c r="B98" s="211"/>
      <c r="C98" s="211"/>
      <c r="D98" s="166"/>
      <c r="E98" s="23"/>
      <c r="F98" s="268"/>
      <c r="G98" s="268"/>
      <c r="H98" s="166"/>
      <c r="I98" s="23"/>
      <c r="J98" s="145"/>
      <c r="K98" s="44"/>
      <c r="L98" s="231"/>
      <c r="M98" s="27"/>
    </row>
    <row r="99" spans="1:13" x14ac:dyDescent="0.2">
      <c r="A99" s="21" t="s">
        <v>9</v>
      </c>
      <c r="B99" s="268"/>
      <c r="C99" s="269"/>
      <c r="D99" s="166"/>
      <c r="E99" s="23"/>
      <c r="F99" s="211"/>
      <c r="G99" s="145"/>
      <c r="H99" s="166"/>
      <c r="I99" s="23"/>
      <c r="J99" s="145"/>
      <c r="K99" s="44"/>
      <c r="L99" s="231"/>
      <c r="M99" s="27"/>
    </row>
    <row r="100" spans="1:13" ht="15.75" x14ac:dyDescent="0.2">
      <c r="A100" s="38" t="s">
        <v>399</v>
      </c>
      <c r="B100" s="268"/>
      <c r="C100" s="269"/>
      <c r="D100" s="166"/>
      <c r="E100" s="23"/>
      <c r="F100" s="211"/>
      <c r="G100" s="211"/>
      <c r="H100" s="166"/>
      <c r="I100" s="23"/>
      <c r="J100" s="145"/>
      <c r="K100" s="44"/>
      <c r="L100" s="231"/>
      <c r="M100" s="27"/>
    </row>
    <row r="101" spans="1:13" ht="15.75" x14ac:dyDescent="0.2">
      <c r="A101" s="38" t="s">
        <v>400</v>
      </c>
      <c r="B101" s="268"/>
      <c r="C101" s="268"/>
      <c r="D101" s="166"/>
      <c r="E101" s="23"/>
      <c r="F101" s="268"/>
      <c r="G101" s="268"/>
      <c r="H101" s="166"/>
      <c r="I101" s="23"/>
      <c r="J101" s="145"/>
      <c r="K101" s="44"/>
      <c r="L101" s="231"/>
      <c r="M101" s="27"/>
    </row>
    <row r="102" spans="1:13" ht="15.75" x14ac:dyDescent="0.2">
      <c r="A102" s="272" t="s">
        <v>356</v>
      </c>
      <c r="B102" s="295"/>
      <c r="C102" s="295"/>
      <c r="D102" s="166"/>
      <c r="E102" s="23"/>
      <c r="F102" s="295"/>
      <c r="G102" s="295"/>
      <c r="H102" s="166"/>
      <c r="I102" s="23"/>
      <c r="J102" s="295"/>
      <c r="K102" s="295"/>
      <c r="L102" s="166"/>
      <c r="M102" s="23"/>
    </row>
    <row r="103" spans="1:13" x14ac:dyDescent="0.2">
      <c r="A103" s="272" t="s">
        <v>12</v>
      </c>
      <c r="B103" s="295"/>
      <c r="C103" s="295"/>
      <c r="D103" s="166"/>
      <c r="E103" s="23"/>
      <c r="F103" s="270"/>
      <c r="G103" s="271"/>
      <c r="H103" s="166"/>
      <c r="I103" s="23"/>
      <c r="J103" s="270"/>
      <c r="K103" s="271"/>
      <c r="L103" s="166"/>
      <c r="M103" s="23"/>
    </row>
    <row r="104" spans="1:13" x14ac:dyDescent="0.2">
      <c r="A104" s="272" t="s">
        <v>13</v>
      </c>
      <c r="B104" s="295"/>
      <c r="C104" s="295"/>
      <c r="D104" s="166"/>
      <c r="E104" s="23"/>
      <c r="F104" s="212"/>
      <c r="G104" s="266"/>
      <c r="H104" s="166"/>
      <c r="I104" s="23"/>
      <c r="J104" s="212"/>
      <c r="K104" s="266"/>
      <c r="L104" s="166"/>
      <c r="M104" s="23"/>
    </row>
    <row r="105" spans="1:13" ht="15.75" x14ac:dyDescent="0.2">
      <c r="A105" s="272" t="s">
        <v>357</v>
      </c>
      <c r="B105" s="295"/>
      <c r="C105" s="295"/>
      <c r="D105" s="166"/>
      <c r="E105" s="23"/>
      <c r="F105" s="295"/>
      <c r="G105" s="295"/>
      <c r="H105" s="166"/>
      <c r="I105" s="23"/>
      <c r="J105" s="295"/>
      <c r="K105" s="295"/>
      <c r="L105" s="166"/>
      <c r="M105" s="23"/>
    </row>
    <row r="106" spans="1:13" x14ac:dyDescent="0.2">
      <c r="A106" s="272" t="s">
        <v>12</v>
      </c>
      <c r="B106" s="212"/>
      <c r="C106" s="266"/>
      <c r="D106" s="166"/>
      <c r="E106" s="23"/>
      <c r="F106" s="212"/>
      <c r="G106" s="266"/>
      <c r="H106" s="166"/>
      <c r="I106" s="23"/>
      <c r="J106" s="212"/>
      <c r="K106" s="266"/>
      <c r="L106" s="166"/>
      <c r="M106" s="23"/>
    </row>
    <row r="107" spans="1:13" x14ac:dyDescent="0.2">
      <c r="A107" s="272" t="s">
        <v>13</v>
      </c>
      <c r="B107" s="212"/>
      <c r="C107" s="266"/>
      <c r="D107" s="166"/>
      <c r="E107" s="23"/>
      <c r="F107" s="212"/>
      <c r="G107" s="266"/>
      <c r="H107" s="166"/>
      <c r="I107" s="23"/>
      <c r="J107" s="212"/>
      <c r="K107" s="266"/>
      <c r="L107" s="166"/>
      <c r="M107" s="23"/>
    </row>
    <row r="108" spans="1:13" ht="15.75" x14ac:dyDescent="0.2">
      <c r="A108" s="21" t="s">
        <v>359</v>
      </c>
      <c r="B108" s="211"/>
      <c r="C108" s="145"/>
      <c r="D108" s="166"/>
      <c r="E108" s="23"/>
      <c r="F108" s="211"/>
      <c r="G108" s="145"/>
      <c r="H108" s="166"/>
      <c r="I108" s="23"/>
      <c r="J108" s="145"/>
      <c r="K108" s="44"/>
      <c r="L108" s="231"/>
      <c r="M108" s="27"/>
    </row>
    <row r="109" spans="1:13" ht="15.75" x14ac:dyDescent="0.2">
      <c r="A109" s="21" t="s">
        <v>360</v>
      </c>
      <c r="B109" s="211"/>
      <c r="C109" s="211"/>
      <c r="D109" s="166"/>
      <c r="E109" s="23"/>
      <c r="F109" s="211"/>
      <c r="G109" s="211"/>
      <c r="H109" s="166"/>
      <c r="I109" s="23"/>
      <c r="J109" s="145"/>
      <c r="K109" s="44"/>
      <c r="L109" s="231"/>
      <c r="M109" s="27"/>
    </row>
    <row r="110" spans="1:13" ht="15.75" x14ac:dyDescent="0.2">
      <c r="A110" s="38" t="s">
        <v>416</v>
      </c>
      <c r="B110" s="211"/>
      <c r="C110" s="211"/>
      <c r="D110" s="166"/>
      <c r="E110" s="23"/>
      <c r="F110" s="211"/>
      <c r="G110" s="211"/>
      <c r="H110" s="166"/>
      <c r="I110" s="23"/>
      <c r="J110" s="145"/>
      <c r="K110" s="44"/>
      <c r="L110" s="231"/>
      <c r="M110" s="27"/>
    </row>
    <row r="111" spans="1:13" ht="15.75" x14ac:dyDescent="0.2">
      <c r="A111" s="21" t="s">
        <v>362</v>
      </c>
      <c r="B111" s="211"/>
      <c r="C111" s="211"/>
      <c r="D111" s="166"/>
      <c r="E111" s="23"/>
      <c r="F111" s="211"/>
      <c r="G111" s="211"/>
      <c r="H111" s="166"/>
      <c r="I111" s="23"/>
      <c r="J111" s="145"/>
      <c r="K111" s="44"/>
      <c r="L111" s="231"/>
      <c r="M111" s="27"/>
    </row>
    <row r="112" spans="1:13" ht="15.75" x14ac:dyDescent="0.2">
      <c r="A112" s="13" t="s">
        <v>342</v>
      </c>
      <c r="B112" s="284"/>
      <c r="C112" s="159"/>
      <c r="D112" s="171"/>
      <c r="E112" s="24"/>
      <c r="F112" s="284"/>
      <c r="G112" s="159"/>
      <c r="H112" s="171"/>
      <c r="I112" s="24"/>
      <c r="J112" s="159"/>
      <c r="K112" s="213"/>
      <c r="L112" s="402"/>
      <c r="M112" s="11"/>
    </row>
    <row r="113" spans="1:14" x14ac:dyDescent="0.2">
      <c r="A113" s="21" t="s">
        <v>9</v>
      </c>
      <c r="B113" s="211"/>
      <c r="C113" s="145"/>
      <c r="D113" s="166"/>
      <c r="E113" s="23"/>
      <c r="F113" s="211"/>
      <c r="G113" s="145"/>
      <c r="H113" s="166"/>
      <c r="I113" s="23"/>
      <c r="J113" s="145"/>
      <c r="K113" s="44"/>
      <c r="L113" s="231"/>
      <c r="M113" s="27"/>
    </row>
    <row r="114" spans="1:14" x14ac:dyDescent="0.2">
      <c r="A114" s="21" t="s">
        <v>10</v>
      </c>
      <c r="B114" s="211"/>
      <c r="C114" s="145"/>
      <c r="D114" s="166"/>
      <c r="E114" s="23"/>
      <c r="F114" s="211"/>
      <c r="G114" s="145"/>
      <c r="H114" s="166"/>
      <c r="I114" s="23"/>
      <c r="J114" s="145"/>
      <c r="K114" s="44"/>
      <c r="L114" s="231"/>
      <c r="M114" s="27"/>
    </row>
    <row r="115" spans="1:14" x14ac:dyDescent="0.2">
      <c r="A115" s="21" t="s">
        <v>26</v>
      </c>
      <c r="B115" s="211"/>
      <c r="C115" s="145"/>
      <c r="D115" s="166"/>
      <c r="E115" s="23"/>
      <c r="F115" s="211"/>
      <c r="G115" s="145"/>
      <c r="H115" s="166"/>
      <c r="I115" s="23"/>
      <c r="J115" s="145"/>
      <c r="K115" s="44"/>
      <c r="L115" s="231"/>
      <c r="M115" s="27"/>
    </row>
    <row r="116" spans="1:14" x14ac:dyDescent="0.2">
      <c r="A116" s="272" t="s">
        <v>15</v>
      </c>
      <c r="B116" s="258"/>
      <c r="C116" s="258"/>
      <c r="D116" s="166"/>
      <c r="E116" s="23"/>
      <c r="F116" s="665"/>
      <c r="G116" s="258"/>
      <c r="H116" s="166"/>
      <c r="I116" s="23"/>
      <c r="J116" s="667"/>
      <c r="K116" s="267"/>
      <c r="L116" s="166"/>
      <c r="M116" s="23"/>
    </row>
    <row r="117" spans="1:14" ht="15.75" x14ac:dyDescent="0.2">
      <c r="A117" s="21" t="s">
        <v>363</v>
      </c>
      <c r="B117" s="211"/>
      <c r="C117" s="211"/>
      <c r="D117" s="166"/>
      <c r="E117" s="23"/>
      <c r="F117" s="211"/>
      <c r="G117" s="211"/>
      <c r="H117" s="166"/>
      <c r="I117" s="23"/>
      <c r="J117" s="145"/>
      <c r="K117" s="44"/>
      <c r="L117" s="231"/>
      <c r="M117" s="27"/>
    </row>
    <row r="118" spans="1:14" ht="15.75" x14ac:dyDescent="0.2">
      <c r="A118" s="21" t="s">
        <v>364</v>
      </c>
      <c r="B118" s="211"/>
      <c r="C118" s="211"/>
      <c r="D118" s="166"/>
      <c r="E118" s="23"/>
      <c r="F118" s="211"/>
      <c r="G118" s="211"/>
      <c r="H118" s="166"/>
      <c r="I118" s="23"/>
      <c r="J118" s="145"/>
      <c r="K118" s="44"/>
      <c r="L118" s="231"/>
      <c r="M118" s="27"/>
    </row>
    <row r="119" spans="1:14" ht="15.75" x14ac:dyDescent="0.2">
      <c r="A119" s="21" t="s">
        <v>362</v>
      </c>
      <c r="B119" s="211"/>
      <c r="C119" s="211"/>
      <c r="D119" s="166"/>
      <c r="E119" s="23"/>
      <c r="F119" s="211"/>
      <c r="G119" s="211"/>
      <c r="H119" s="166"/>
      <c r="I119" s="23"/>
      <c r="J119" s="145"/>
      <c r="K119" s="44"/>
      <c r="L119" s="231"/>
      <c r="M119" s="27"/>
    </row>
    <row r="120" spans="1:14" ht="15.75" x14ac:dyDescent="0.2">
      <c r="A120" s="13" t="s">
        <v>343</v>
      </c>
      <c r="B120" s="284"/>
      <c r="C120" s="159"/>
      <c r="D120" s="171"/>
      <c r="E120" s="24"/>
      <c r="F120" s="284"/>
      <c r="G120" s="159"/>
      <c r="H120" s="171"/>
      <c r="I120" s="24"/>
      <c r="J120" s="159"/>
      <c r="K120" s="213"/>
      <c r="L120" s="402"/>
      <c r="M120" s="11"/>
    </row>
    <row r="121" spans="1:14" x14ac:dyDescent="0.2">
      <c r="A121" s="21" t="s">
        <v>9</v>
      </c>
      <c r="B121" s="211"/>
      <c r="C121" s="145"/>
      <c r="D121" s="166"/>
      <c r="E121" s="23"/>
      <c r="F121" s="211"/>
      <c r="G121" s="145"/>
      <c r="H121" s="166"/>
      <c r="I121" s="23"/>
      <c r="J121" s="145"/>
      <c r="K121" s="44"/>
      <c r="L121" s="231"/>
      <c r="M121" s="27"/>
    </row>
    <row r="122" spans="1:14" x14ac:dyDescent="0.2">
      <c r="A122" s="21" t="s">
        <v>10</v>
      </c>
      <c r="B122" s="211"/>
      <c r="C122" s="145"/>
      <c r="D122" s="166"/>
      <c r="E122" s="23"/>
      <c r="F122" s="211"/>
      <c r="G122" s="145"/>
      <c r="H122" s="166"/>
      <c r="I122" s="23"/>
      <c r="J122" s="145"/>
      <c r="K122" s="44"/>
      <c r="L122" s="231"/>
      <c r="M122" s="27"/>
    </row>
    <row r="123" spans="1:14" x14ac:dyDescent="0.2">
      <c r="A123" s="21" t="s">
        <v>26</v>
      </c>
      <c r="B123" s="211"/>
      <c r="C123" s="145"/>
      <c r="D123" s="166"/>
      <c r="E123" s="23"/>
      <c r="F123" s="211"/>
      <c r="G123" s="145"/>
      <c r="H123" s="166"/>
      <c r="I123" s="23"/>
      <c r="J123" s="145"/>
      <c r="K123" s="44"/>
      <c r="L123" s="231"/>
      <c r="M123" s="27"/>
    </row>
    <row r="124" spans="1:14" x14ac:dyDescent="0.2">
      <c r="A124" s="272" t="s">
        <v>14</v>
      </c>
      <c r="B124" s="258"/>
      <c r="C124" s="258"/>
      <c r="D124" s="166"/>
      <c r="E124" s="23"/>
      <c r="F124" s="665"/>
      <c r="G124" s="258"/>
      <c r="H124" s="166"/>
      <c r="I124" s="23"/>
      <c r="J124" s="667"/>
      <c r="K124" s="267"/>
      <c r="L124" s="166"/>
      <c r="M124" s="23"/>
    </row>
    <row r="125" spans="1:14" ht="15.75" x14ac:dyDescent="0.2">
      <c r="A125" s="21" t="s">
        <v>369</v>
      </c>
      <c r="B125" s="211"/>
      <c r="C125" s="211"/>
      <c r="D125" s="166"/>
      <c r="E125" s="23"/>
      <c r="F125" s="211"/>
      <c r="G125" s="211"/>
      <c r="H125" s="166"/>
      <c r="I125" s="23"/>
      <c r="J125" s="145"/>
      <c r="K125" s="44"/>
      <c r="L125" s="231"/>
      <c r="M125" s="27"/>
    </row>
    <row r="126" spans="1:14" ht="15.75" x14ac:dyDescent="0.2">
      <c r="A126" s="21" t="s">
        <v>361</v>
      </c>
      <c r="B126" s="211"/>
      <c r="C126" s="211"/>
      <c r="D126" s="166"/>
      <c r="E126" s="23"/>
      <c r="F126" s="211"/>
      <c r="G126" s="211"/>
      <c r="H126" s="166"/>
      <c r="I126" s="23"/>
      <c r="J126" s="145"/>
      <c r="K126" s="44"/>
      <c r="L126" s="231"/>
      <c r="M126" s="27"/>
    </row>
    <row r="127" spans="1:14" ht="15.75" x14ac:dyDescent="0.2">
      <c r="A127" s="10" t="s">
        <v>362</v>
      </c>
      <c r="B127" s="45"/>
      <c r="C127" s="45"/>
      <c r="D127" s="167"/>
      <c r="E127" s="22"/>
      <c r="F127" s="666"/>
      <c r="G127" s="45"/>
      <c r="H127" s="167"/>
      <c r="I127" s="22"/>
      <c r="J127" s="668"/>
      <c r="K127" s="45"/>
      <c r="L127" s="232"/>
      <c r="M127" s="22"/>
    </row>
    <row r="128" spans="1:14" x14ac:dyDescent="0.2">
      <c r="A128" s="155"/>
      <c r="L128" s="26"/>
      <c r="M128" s="26"/>
      <c r="N128" s="26"/>
    </row>
    <row r="129" spans="1:14" x14ac:dyDescent="0.2">
      <c r="L129" s="26"/>
      <c r="M129" s="26"/>
      <c r="N129" s="26"/>
    </row>
    <row r="130" spans="1:14" ht="15.75" x14ac:dyDescent="0.25">
      <c r="A130" s="165" t="s">
        <v>27</v>
      </c>
    </row>
    <row r="131" spans="1:14" ht="15.75" x14ac:dyDescent="0.25">
      <c r="B131" s="694"/>
      <c r="C131" s="694"/>
      <c r="D131" s="694"/>
      <c r="E131" s="275"/>
      <c r="F131" s="694"/>
      <c r="G131" s="694"/>
      <c r="H131" s="694"/>
      <c r="I131" s="275"/>
      <c r="J131" s="694"/>
      <c r="K131" s="694"/>
      <c r="L131" s="694"/>
      <c r="M131" s="275"/>
    </row>
    <row r="132" spans="1:14" s="3" customFormat="1" x14ac:dyDescent="0.2">
      <c r="A132" s="144"/>
      <c r="B132" s="695" t="s">
        <v>0</v>
      </c>
      <c r="C132" s="696"/>
      <c r="D132" s="696"/>
      <c r="E132" s="277"/>
      <c r="F132" s="695" t="s">
        <v>1</v>
      </c>
      <c r="G132" s="696"/>
      <c r="H132" s="696"/>
      <c r="I132" s="280"/>
      <c r="J132" s="695" t="s">
        <v>2</v>
      </c>
      <c r="K132" s="696"/>
      <c r="L132" s="696"/>
      <c r="M132" s="280"/>
      <c r="N132" s="148"/>
    </row>
    <row r="133" spans="1:14" s="3" customFormat="1" x14ac:dyDescent="0.2">
      <c r="A133" s="140"/>
      <c r="B133" s="152" t="s">
        <v>412</v>
      </c>
      <c r="C133" s="152" t="s">
        <v>413</v>
      </c>
      <c r="D133" s="222" t="s">
        <v>3</v>
      </c>
      <c r="E133" s="281" t="s">
        <v>29</v>
      </c>
      <c r="F133" s="152" t="s">
        <v>412</v>
      </c>
      <c r="G133" s="152" t="s">
        <v>413</v>
      </c>
      <c r="H133" s="203" t="s">
        <v>3</v>
      </c>
      <c r="I133" s="162" t="s">
        <v>29</v>
      </c>
      <c r="J133" s="152" t="s">
        <v>412</v>
      </c>
      <c r="K133" s="152" t="s">
        <v>413</v>
      </c>
      <c r="L133" s="223" t="s">
        <v>3</v>
      </c>
      <c r="M133" s="162" t="s">
        <v>29</v>
      </c>
      <c r="N133" s="148"/>
    </row>
    <row r="134" spans="1:14" s="3" customFormat="1" x14ac:dyDescent="0.2">
      <c r="A134" s="662"/>
      <c r="B134" s="156"/>
      <c r="C134" s="156"/>
      <c r="D134" s="223" t="s">
        <v>4</v>
      </c>
      <c r="E134" s="156" t="s">
        <v>30</v>
      </c>
      <c r="F134" s="161"/>
      <c r="G134" s="161"/>
      <c r="H134" s="203" t="s">
        <v>4</v>
      </c>
      <c r="I134" s="156" t="s">
        <v>30</v>
      </c>
      <c r="J134" s="156"/>
      <c r="K134" s="156"/>
      <c r="L134" s="150" t="s">
        <v>4</v>
      </c>
      <c r="M134" s="156" t="s">
        <v>30</v>
      </c>
      <c r="N134" s="148"/>
    </row>
    <row r="135" spans="1:14" s="3" customFormat="1" ht="15.75" x14ac:dyDescent="0.2">
      <c r="A135" s="14" t="s">
        <v>365</v>
      </c>
      <c r="B135" s="213"/>
      <c r="C135" s="285"/>
      <c r="D135" s="326"/>
      <c r="E135" s="11"/>
      <c r="F135" s="292"/>
      <c r="G135" s="293"/>
      <c r="H135" s="405"/>
      <c r="I135" s="24"/>
      <c r="J135" s="294"/>
      <c r="K135" s="294"/>
      <c r="L135" s="401"/>
      <c r="M135" s="11"/>
      <c r="N135" s="148"/>
    </row>
    <row r="136" spans="1:14" s="3" customFormat="1" ht="15.75" x14ac:dyDescent="0.2">
      <c r="A136" s="13" t="s">
        <v>370</v>
      </c>
      <c r="B136" s="213"/>
      <c r="C136" s="285"/>
      <c r="D136" s="171"/>
      <c r="E136" s="11"/>
      <c r="F136" s="213"/>
      <c r="G136" s="285"/>
      <c r="H136" s="406"/>
      <c r="I136" s="24"/>
      <c r="J136" s="284"/>
      <c r="K136" s="284"/>
      <c r="L136" s="402"/>
      <c r="M136" s="11"/>
      <c r="N136" s="148"/>
    </row>
    <row r="137" spans="1:14" s="3" customFormat="1" ht="15.75" x14ac:dyDescent="0.2">
      <c r="A137" s="13" t="s">
        <v>367</v>
      </c>
      <c r="B137" s="213"/>
      <c r="C137" s="285"/>
      <c r="D137" s="171"/>
      <c r="E137" s="11"/>
      <c r="F137" s="213"/>
      <c r="G137" s="285"/>
      <c r="H137" s="406"/>
      <c r="I137" s="24"/>
      <c r="J137" s="284"/>
      <c r="K137" s="284"/>
      <c r="L137" s="402"/>
      <c r="M137" s="11"/>
      <c r="N137" s="148"/>
    </row>
    <row r="138" spans="1:14" s="3" customFormat="1" ht="15.75" x14ac:dyDescent="0.2">
      <c r="A138" s="41" t="s">
        <v>368</v>
      </c>
      <c r="B138" s="253"/>
      <c r="C138" s="291"/>
      <c r="D138" s="169"/>
      <c r="E138" s="9"/>
      <c r="F138" s="253"/>
      <c r="G138" s="291"/>
      <c r="H138" s="407"/>
      <c r="I138" s="36"/>
      <c r="J138" s="290"/>
      <c r="K138" s="290"/>
      <c r="L138" s="403"/>
      <c r="M138" s="36"/>
      <c r="N138" s="148"/>
    </row>
    <row r="139" spans="1:14" s="3" customFormat="1"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68"/>
      <c r="B141" s="33"/>
      <c r="C141" s="33"/>
      <c r="D141" s="159"/>
      <c r="E141" s="159"/>
      <c r="F141" s="33"/>
      <c r="G141" s="33"/>
      <c r="H141" s="159"/>
      <c r="I141" s="159"/>
      <c r="J141" s="33"/>
      <c r="K141" s="33"/>
      <c r="L141" s="159"/>
      <c r="M141" s="159"/>
      <c r="N141" s="148"/>
    </row>
    <row r="142" spans="1:14" x14ac:dyDescent="0.2">
      <c r="A142" s="146"/>
      <c r="B142" s="146"/>
      <c r="C142" s="146"/>
      <c r="D142" s="146"/>
      <c r="E142" s="146"/>
      <c r="F142" s="146"/>
      <c r="G142" s="146"/>
      <c r="H142" s="146"/>
      <c r="I142" s="146"/>
      <c r="J142" s="146"/>
      <c r="K142" s="146"/>
      <c r="L142" s="146"/>
      <c r="M142" s="146"/>
      <c r="N142" s="146"/>
    </row>
    <row r="143" spans="1:14" ht="15.75" x14ac:dyDescent="0.25">
      <c r="B143" s="142"/>
      <c r="C143" s="142"/>
      <c r="D143" s="142"/>
      <c r="E143" s="142"/>
      <c r="F143" s="142"/>
      <c r="G143" s="142"/>
      <c r="H143" s="142"/>
      <c r="I143" s="142"/>
      <c r="J143" s="142"/>
      <c r="K143" s="142"/>
      <c r="L143" s="142"/>
      <c r="M143" s="142"/>
      <c r="N143" s="142"/>
    </row>
    <row r="144" spans="1:14" ht="15.75" x14ac:dyDescent="0.25">
      <c r="B144" s="157"/>
      <c r="C144" s="157"/>
      <c r="D144" s="157"/>
      <c r="E144" s="157"/>
      <c r="F144" s="157"/>
      <c r="G144" s="157"/>
      <c r="H144" s="157"/>
      <c r="I144" s="157"/>
      <c r="J144" s="157"/>
      <c r="K144" s="157"/>
      <c r="L144" s="157"/>
      <c r="M144" s="157"/>
      <c r="N144" s="157"/>
    </row>
    <row r="145" spans="2:14" ht="15.75" x14ac:dyDescent="0.25">
      <c r="B145" s="157"/>
      <c r="C145" s="157"/>
      <c r="D145" s="157"/>
      <c r="E145" s="157"/>
      <c r="F145" s="157"/>
      <c r="G145" s="157"/>
      <c r="H145" s="157"/>
      <c r="I145" s="157"/>
      <c r="J145" s="157"/>
      <c r="K145" s="157"/>
      <c r="L145" s="157"/>
      <c r="M145" s="157"/>
      <c r="N145" s="157"/>
    </row>
  </sheetData>
  <mergeCells count="31">
    <mergeCell ref="B132:D132"/>
    <mergeCell ref="F132:H132"/>
    <mergeCell ref="J132:L132"/>
    <mergeCell ref="B63:D63"/>
    <mergeCell ref="F63:H63"/>
    <mergeCell ref="J63:L63"/>
    <mergeCell ref="B131:D131"/>
    <mergeCell ref="F131:H131"/>
    <mergeCell ref="J131:L131"/>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6">
    <cfRule type="expression" dxfId="488" priority="76">
      <formula>kvartal &lt; 4</formula>
    </cfRule>
  </conditionalFormatting>
  <conditionalFormatting sqref="C116">
    <cfRule type="expression" dxfId="487" priority="75">
      <formula>kvartal &lt; 4</formula>
    </cfRule>
  </conditionalFormatting>
  <conditionalFormatting sqref="B124">
    <cfRule type="expression" dxfId="486" priority="74">
      <formula>kvartal &lt; 4</formula>
    </cfRule>
  </conditionalFormatting>
  <conditionalFormatting sqref="C124">
    <cfRule type="expression" dxfId="485" priority="73">
      <formula>kvartal &lt; 4</formula>
    </cfRule>
  </conditionalFormatting>
  <conditionalFormatting sqref="F116">
    <cfRule type="expression" dxfId="484" priority="58">
      <formula>kvartal &lt; 4</formula>
    </cfRule>
  </conditionalFormatting>
  <conditionalFormatting sqref="G116">
    <cfRule type="expression" dxfId="483" priority="57">
      <formula>kvartal &lt; 4</formula>
    </cfRule>
  </conditionalFormatting>
  <conditionalFormatting sqref="F124:G124">
    <cfRule type="expression" dxfId="482" priority="56">
      <formula>kvartal &lt; 4</formula>
    </cfRule>
  </conditionalFormatting>
  <conditionalFormatting sqref="J116:K116">
    <cfRule type="expression" dxfId="481" priority="32">
      <formula>kvartal &lt; 4</formula>
    </cfRule>
  </conditionalFormatting>
  <conditionalFormatting sqref="J124:K124">
    <cfRule type="expression" dxfId="480" priority="31">
      <formula>kvartal &lt; 4</formula>
    </cfRule>
  </conditionalFormatting>
  <conditionalFormatting sqref="A50:A52">
    <cfRule type="expression" dxfId="479" priority="12">
      <formula>kvartal &lt; 4</formula>
    </cfRule>
  </conditionalFormatting>
  <conditionalFormatting sqref="A69:A74">
    <cfRule type="expression" dxfId="478" priority="10">
      <formula>kvartal &lt; 4</formula>
    </cfRule>
  </conditionalFormatting>
  <conditionalFormatting sqref="A80:A85">
    <cfRule type="expression" dxfId="477" priority="9">
      <formula>kvartal &lt; 4</formula>
    </cfRule>
  </conditionalFormatting>
  <conditionalFormatting sqref="A90:A95">
    <cfRule type="expression" dxfId="476" priority="6">
      <formula>kvartal &lt; 4</formula>
    </cfRule>
  </conditionalFormatting>
  <conditionalFormatting sqref="A102:A107">
    <cfRule type="expression" dxfId="475" priority="5">
      <formula>kvartal &lt; 4</formula>
    </cfRule>
  </conditionalFormatting>
  <conditionalFormatting sqref="A116">
    <cfRule type="expression" dxfId="474" priority="4">
      <formula>kvartal &lt; 4</formula>
    </cfRule>
  </conditionalFormatting>
  <conditionalFormatting sqref="A124">
    <cfRule type="expression" dxfId="473" priority="3">
      <formula>kvartal &lt; 4</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N58"/>
  <sheetViews>
    <sheetView showGridLines="0" tabSelected="1" zoomScale="70" zoomScaleNormal="70" workbookViewId="0">
      <selection activeCell="A2" sqref="A2"/>
    </sheetView>
  </sheetViews>
  <sheetFormatPr baseColWidth="10" defaultColWidth="11.42578125" defaultRowHeight="25.5" x14ac:dyDescent="0.35"/>
  <cols>
    <col min="1" max="1" width="11.42578125" style="67"/>
    <col min="2" max="2" width="25" style="67" customWidth="1"/>
    <col min="3" max="3" width="141.7109375" style="67" customWidth="1"/>
    <col min="4" max="16384" width="11.42578125" style="67"/>
  </cols>
  <sheetData>
    <row r="1" spans="1:14" ht="20.100000000000001" customHeight="1" x14ac:dyDescent="0.35">
      <c r="C1" s="68"/>
      <c r="D1" s="69"/>
      <c r="E1" s="69"/>
      <c r="F1" s="69"/>
      <c r="G1" s="69"/>
      <c r="H1" s="69"/>
      <c r="I1" s="69"/>
      <c r="J1" s="69"/>
      <c r="K1" s="69"/>
      <c r="L1" s="69"/>
      <c r="M1" s="69"/>
      <c r="N1" s="69"/>
    </row>
    <row r="2" spans="1:14" ht="20.100000000000001" customHeight="1" x14ac:dyDescent="0.35">
      <c r="C2" s="252" t="s">
        <v>31</v>
      </c>
      <c r="D2" s="69"/>
      <c r="E2" s="69"/>
      <c r="F2" s="69"/>
      <c r="G2" s="69"/>
      <c r="H2" s="69"/>
      <c r="I2" s="69"/>
      <c r="J2" s="69"/>
      <c r="K2" s="69"/>
      <c r="L2" s="69"/>
      <c r="M2" s="69"/>
      <c r="N2" s="69"/>
    </row>
    <row r="3" spans="1:14" ht="20.100000000000001" customHeight="1" x14ac:dyDescent="0.35">
      <c r="C3" s="70"/>
      <c r="D3" s="69"/>
      <c r="E3" s="69"/>
      <c r="F3" s="69"/>
      <c r="G3" s="69"/>
      <c r="H3" s="69"/>
      <c r="I3" s="69"/>
      <c r="J3" s="69"/>
      <c r="K3" s="69"/>
      <c r="L3" s="69"/>
      <c r="M3" s="69"/>
      <c r="N3" s="69"/>
    </row>
    <row r="4" spans="1:14" ht="20.100000000000001" customHeight="1" x14ac:dyDescent="0.35">
      <c r="C4" s="70"/>
      <c r="D4" s="69"/>
      <c r="E4" s="69"/>
      <c r="F4" s="69"/>
      <c r="G4" s="69"/>
      <c r="H4" s="69"/>
      <c r="I4" s="69"/>
      <c r="J4" s="69"/>
      <c r="K4" s="69"/>
      <c r="L4" s="69"/>
      <c r="M4" s="69"/>
      <c r="N4" s="69"/>
    </row>
    <row r="5" spans="1:14" ht="20.100000000000001" customHeight="1" x14ac:dyDescent="0.35">
      <c r="A5" s="70"/>
      <c r="B5" s="70"/>
      <c r="C5" s="70"/>
      <c r="D5" s="69"/>
      <c r="E5" s="69"/>
      <c r="F5" s="69"/>
      <c r="G5" s="69"/>
      <c r="H5" s="69"/>
      <c r="I5" s="69"/>
      <c r="J5" s="69"/>
      <c r="K5" s="69"/>
      <c r="L5" s="69"/>
      <c r="M5" s="69"/>
      <c r="N5" s="69"/>
    </row>
    <row r="6" spans="1:14" ht="20.100000000000001" customHeight="1" x14ac:dyDescent="0.35">
      <c r="A6" s="71" t="s">
        <v>32</v>
      </c>
      <c r="B6" s="71"/>
      <c r="C6" s="70"/>
      <c r="D6" s="69"/>
      <c r="E6" s="69"/>
      <c r="F6" s="69"/>
      <c r="G6" s="69"/>
      <c r="H6" s="69"/>
      <c r="I6" s="69"/>
      <c r="J6" s="69"/>
      <c r="K6" s="69"/>
      <c r="L6" s="69"/>
      <c r="M6" s="69"/>
      <c r="N6" s="69"/>
    </row>
    <row r="7" spans="1:14" ht="20.100000000000001" customHeight="1" x14ac:dyDescent="0.35">
      <c r="A7" s="70"/>
      <c r="B7" s="70" t="s">
        <v>33</v>
      </c>
      <c r="C7" s="70" t="s">
        <v>34</v>
      </c>
      <c r="D7" s="69"/>
      <c r="E7" s="69"/>
      <c r="F7" s="69"/>
      <c r="G7" s="69"/>
      <c r="H7" s="69"/>
      <c r="I7" s="69"/>
      <c r="J7" s="69"/>
      <c r="K7" s="69"/>
      <c r="L7" s="69"/>
      <c r="M7" s="69"/>
      <c r="N7" s="69"/>
    </row>
    <row r="8" spans="1:14" ht="20.100000000000001" customHeight="1" x14ac:dyDescent="0.35">
      <c r="A8" s="70"/>
      <c r="B8" s="70" t="s">
        <v>35</v>
      </c>
      <c r="C8" s="70" t="s">
        <v>36</v>
      </c>
      <c r="D8" s="69"/>
      <c r="E8" s="69"/>
      <c r="F8" s="69"/>
      <c r="G8" s="69"/>
      <c r="H8" s="69"/>
      <c r="I8" s="69"/>
      <c r="J8" s="69"/>
      <c r="K8" s="69"/>
      <c r="L8" s="69"/>
      <c r="M8" s="69"/>
      <c r="N8" s="69"/>
    </row>
    <row r="9" spans="1:14" ht="20.100000000000001" customHeight="1" x14ac:dyDescent="0.35">
      <c r="A9" s="70"/>
      <c r="B9" s="70" t="s">
        <v>37</v>
      </c>
      <c r="C9" s="70" t="s">
        <v>40</v>
      </c>
      <c r="D9" s="69"/>
      <c r="E9" s="69"/>
      <c r="F9" s="69"/>
      <c r="G9" s="69"/>
      <c r="H9" s="69"/>
      <c r="I9" s="69"/>
      <c r="J9" s="69"/>
      <c r="K9" s="69"/>
      <c r="L9" s="69"/>
      <c r="M9" s="69"/>
      <c r="N9" s="69"/>
    </row>
    <row r="10" spans="1:14" ht="20.100000000000001" customHeight="1" x14ac:dyDescent="0.35">
      <c r="A10" s="70"/>
      <c r="B10" s="70" t="s">
        <v>38</v>
      </c>
      <c r="C10" s="70" t="s">
        <v>42</v>
      </c>
      <c r="D10" s="69"/>
      <c r="E10" s="69"/>
      <c r="F10" s="69"/>
      <c r="G10" s="69"/>
      <c r="H10" s="69"/>
      <c r="I10" s="69"/>
      <c r="J10" s="69"/>
      <c r="K10" s="69"/>
      <c r="L10" s="69"/>
      <c r="M10" s="69"/>
      <c r="N10" s="69"/>
    </row>
    <row r="11" spans="1:14" ht="20.100000000000001" customHeight="1" x14ac:dyDescent="0.35">
      <c r="A11" s="70"/>
      <c r="B11" s="70" t="s">
        <v>39</v>
      </c>
      <c r="C11" s="70" t="s">
        <v>43</v>
      </c>
      <c r="D11" s="69"/>
      <c r="E11" s="69"/>
      <c r="F11" s="69"/>
      <c r="G11" s="69"/>
      <c r="H11" s="69"/>
      <c r="I11" s="69"/>
      <c r="J11" s="69"/>
      <c r="K11" s="69"/>
      <c r="L11" s="69"/>
      <c r="M11" s="69"/>
      <c r="N11" s="69"/>
    </row>
    <row r="12" spans="1:14" ht="20.100000000000001" customHeight="1" x14ac:dyDescent="0.35">
      <c r="A12" s="70"/>
      <c r="B12" s="70" t="s">
        <v>41</v>
      </c>
      <c r="C12" s="70" t="s">
        <v>44</v>
      </c>
      <c r="D12" s="69"/>
      <c r="E12" s="69"/>
      <c r="F12" s="69"/>
      <c r="G12" s="69"/>
      <c r="H12" s="69"/>
      <c r="I12" s="69"/>
      <c r="J12" s="69"/>
      <c r="K12" s="69"/>
      <c r="L12" s="69"/>
      <c r="M12" s="69"/>
      <c r="N12" s="69"/>
    </row>
    <row r="13" spans="1:14" ht="18.75" customHeight="1" x14ac:dyDescent="0.35">
      <c r="A13" s="70"/>
      <c r="B13" s="70"/>
      <c r="C13" s="70"/>
      <c r="D13" s="69"/>
      <c r="E13" s="69"/>
      <c r="F13" s="69"/>
      <c r="G13" s="69"/>
      <c r="H13" s="69"/>
      <c r="I13" s="69"/>
      <c r="J13" s="69"/>
      <c r="K13" s="69"/>
      <c r="L13" s="69"/>
      <c r="M13" s="69"/>
      <c r="N13" s="69"/>
    </row>
    <row r="14" spans="1:14" ht="20.100000000000001" customHeight="1" x14ac:dyDescent="0.35">
      <c r="A14" s="251" t="s">
        <v>45</v>
      </c>
      <c r="B14" s="71"/>
      <c r="C14" s="70"/>
      <c r="D14" s="69"/>
      <c r="E14" s="69"/>
      <c r="F14" s="69"/>
      <c r="G14" s="69"/>
      <c r="H14" s="69"/>
      <c r="I14" s="69"/>
      <c r="J14" s="69"/>
      <c r="K14" s="69"/>
      <c r="L14" s="69"/>
      <c r="M14" s="69"/>
      <c r="N14" s="69"/>
    </row>
    <row r="15" spans="1:14" ht="20.100000000000001" customHeight="1" x14ac:dyDescent="0.35">
      <c r="A15" s="70"/>
      <c r="B15" s="70" t="s">
        <v>46</v>
      </c>
      <c r="C15" s="70"/>
      <c r="D15" s="69"/>
      <c r="E15" s="69"/>
      <c r="F15" s="69"/>
      <c r="G15" s="69"/>
      <c r="H15" s="69"/>
      <c r="I15" s="69"/>
      <c r="J15" s="69"/>
      <c r="K15" s="69"/>
      <c r="L15" s="69"/>
      <c r="M15" s="69"/>
      <c r="N15" s="69"/>
    </row>
    <row r="16" spans="1:14" ht="20.100000000000001" customHeight="1" x14ac:dyDescent="0.35">
      <c r="A16" s="70"/>
      <c r="B16" s="71" t="s">
        <v>47</v>
      </c>
      <c r="C16" s="70" t="s">
        <v>48</v>
      </c>
      <c r="D16" s="69"/>
      <c r="E16" s="69"/>
      <c r="F16" s="69"/>
      <c r="G16" s="69"/>
      <c r="H16" s="69"/>
      <c r="I16" s="69"/>
      <c r="J16" s="69"/>
      <c r="K16" s="69"/>
      <c r="L16" s="69"/>
      <c r="M16" s="69"/>
      <c r="N16" s="69"/>
    </row>
    <row r="17" spans="1:14" ht="20.100000000000001" customHeight="1" x14ac:dyDescent="0.35">
      <c r="A17" s="70"/>
      <c r="B17" s="71" t="s">
        <v>49</v>
      </c>
      <c r="C17" s="70" t="s">
        <v>50</v>
      </c>
      <c r="D17" s="69"/>
      <c r="E17" s="69"/>
      <c r="F17" s="69"/>
      <c r="G17" s="69"/>
      <c r="H17" s="69"/>
      <c r="I17" s="69"/>
      <c r="J17" s="69"/>
      <c r="K17" s="69"/>
      <c r="L17" s="69"/>
      <c r="M17" s="69"/>
      <c r="N17" s="69"/>
    </row>
    <row r="18" spans="1:14" ht="20.100000000000001" customHeight="1" x14ac:dyDescent="0.35">
      <c r="A18" s="70"/>
      <c r="B18" s="71" t="s">
        <v>317</v>
      </c>
      <c r="C18" s="70" t="s">
        <v>318</v>
      </c>
      <c r="D18" s="69"/>
      <c r="E18" s="69"/>
      <c r="F18" s="69"/>
      <c r="G18" s="69"/>
      <c r="H18" s="69"/>
      <c r="I18" s="69"/>
      <c r="J18" s="69"/>
      <c r="K18" s="69"/>
      <c r="L18" s="69"/>
      <c r="M18" s="69"/>
      <c r="N18" s="69"/>
    </row>
    <row r="19" spans="1:14" ht="20.100000000000001" customHeight="1" x14ac:dyDescent="0.35">
      <c r="A19" s="70"/>
      <c r="B19" s="70" t="s">
        <v>319</v>
      </c>
      <c r="C19" s="70" t="s">
        <v>247</v>
      </c>
      <c r="D19" s="69"/>
      <c r="E19" s="69"/>
      <c r="F19" s="69"/>
      <c r="G19" s="69"/>
      <c r="H19" s="69"/>
      <c r="I19" s="69"/>
      <c r="J19" s="69"/>
      <c r="K19" s="69"/>
      <c r="L19" s="69"/>
      <c r="M19" s="69"/>
      <c r="N19" s="69"/>
    </row>
    <row r="20" spans="1:14" s="324" customFormat="1" ht="20.100000000000001" customHeight="1" x14ac:dyDescent="0.35">
      <c r="A20" s="322"/>
      <c r="B20" s="322" t="s">
        <v>321</v>
      </c>
      <c r="C20" s="322" t="s">
        <v>320</v>
      </c>
      <c r="D20" s="323"/>
      <c r="E20" s="323"/>
      <c r="F20" s="323"/>
      <c r="G20" s="323"/>
      <c r="H20" s="323"/>
      <c r="I20" s="323"/>
      <c r="J20" s="323"/>
      <c r="K20" s="323"/>
      <c r="L20" s="323"/>
      <c r="M20" s="323"/>
      <c r="N20" s="323"/>
    </row>
    <row r="21" spans="1:14" ht="20.100000000000001" customHeight="1" x14ac:dyDescent="0.35">
      <c r="A21" s="70"/>
      <c r="B21" s="70"/>
      <c r="C21" s="70"/>
    </row>
    <row r="22" spans="1:14" ht="18.75" customHeight="1" x14ac:dyDescent="0.35">
      <c r="A22" s="70"/>
      <c r="B22" s="322" t="s">
        <v>231</v>
      </c>
      <c r="C22" s="322"/>
    </row>
    <row r="23" spans="1:14" ht="20.100000000000001" customHeight="1" x14ac:dyDescent="0.35">
      <c r="A23" s="70"/>
      <c r="B23" s="325" t="s">
        <v>232</v>
      </c>
      <c r="C23" s="322" t="s">
        <v>233</v>
      </c>
    </row>
    <row r="24" spans="1:14" ht="20.100000000000001" hidden="1" customHeight="1" x14ac:dyDescent="0.35">
      <c r="A24" s="70"/>
      <c r="B24" s="325" t="s">
        <v>234</v>
      </c>
      <c r="C24" s="322" t="s">
        <v>235</v>
      </c>
    </row>
    <row r="25" spans="1:14" ht="20.100000000000001" hidden="1" customHeight="1" x14ac:dyDescent="0.35">
      <c r="A25" s="70"/>
      <c r="B25" s="325" t="s">
        <v>236</v>
      </c>
      <c r="C25" s="322" t="s">
        <v>237</v>
      </c>
    </row>
    <row r="26" spans="1:14" ht="20.100000000000001" hidden="1" customHeight="1" x14ac:dyDescent="0.35">
      <c r="A26" s="70"/>
      <c r="B26" s="325" t="s">
        <v>238</v>
      </c>
      <c r="C26" s="322" t="s">
        <v>239</v>
      </c>
    </row>
    <row r="27" spans="1:14" ht="20.100000000000001" customHeight="1" x14ac:dyDescent="0.35">
      <c r="A27" s="70"/>
      <c r="B27" s="325" t="s">
        <v>150</v>
      </c>
      <c r="C27" s="322" t="s">
        <v>240</v>
      </c>
    </row>
    <row r="28" spans="1:14" ht="20.100000000000001" hidden="1" customHeight="1" x14ac:dyDescent="0.35">
      <c r="A28" s="70"/>
      <c r="B28" s="319" t="s">
        <v>241</v>
      </c>
      <c r="C28" s="250" t="s">
        <v>242</v>
      </c>
    </row>
    <row r="29" spans="1:14" ht="20.100000000000001" hidden="1" customHeight="1" x14ac:dyDescent="0.35">
      <c r="A29" s="70"/>
      <c r="B29" s="319" t="s">
        <v>243</v>
      </c>
      <c r="C29" s="250" t="s">
        <v>244</v>
      </c>
    </row>
    <row r="30" spans="1:14" ht="18.75" customHeight="1" x14ac:dyDescent="0.35">
      <c r="A30" s="70"/>
      <c r="B30" s="325" t="s">
        <v>245</v>
      </c>
      <c r="C30" s="322" t="s">
        <v>246</v>
      </c>
    </row>
    <row r="31" spans="1:14" ht="18.75" customHeight="1" x14ac:dyDescent="0.35">
      <c r="A31" s="70"/>
      <c r="B31" s="325"/>
      <c r="C31" s="322"/>
    </row>
    <row r="32" spans="1:14" ht="20.100000000000001" customHeight="1" x14ac:dyDescent="0.35">
      <c r="A32" s="70"/>
      <c r="B32" s="70"/>
      <c r="C32" s="70"/>
    </row>
    <row r="33" spans="1:14" x14ac:dyDescent="0.35">
      <c r="A33" s="71" t="s">
        <v>51</v>
      </c>
      <c r="B33" s="70"/>
      <c r="C33" s="70"/>
    </row>
    <row r="34" spans="1:14" ht="26.25" hidden="1" customHeight="1" x14ac:dyDescent="0.4">
      <c r="C34" s="72"/>
    </row>
    <row r="35" spans="1:14" ht="26.25" hidden="1" customHeight="1" x14ac:dyDescent="0.4">
      <c r="C35" s="72"/>
    </row>
    <row r="36" spans="1:14" ht="18.75" customHeight="1" x14ac:dyDescent="0.4">
      <c r="C36" s="320"/>
      <c r="D36" s="321"/>
    </row>
    <row r="37" spans="1:14" ht="26.25" x14ac:dyDescent="0.4">
      <c r="C37" s="72"/>
    </row>
    <row r="38" spans="1:14" ht="26.25" x14ac:dyDescent="0.4">
      <c r="C38" s="72"/>
    </row>
    <row r="39" spans="1:14" ht="26.25" x14ac:dyDescent="0.4">
      <c r="C39" s="320"/>
      <c r="D39" s="324"/>
      <c r="E39" s="324"/>
      <c r="F39" s="324"/>
      <c r="G39" s="324"/>
      <c r="H39" s="324"/>
      <c r="I39" s="324"/>
      <c r="J39" s="324"/>
      <c r="K39" s="324"/>
      <c r="L39" s="324"/>
      <c r="M39" s="324"/>
      <c r="N39" s="324"/>
    </row>
    <row r="40" spans="1:14" ht="26.25" x14ac:dyDescent="0.4">
      <c r="C40" s="72"/>
    </row>
    <row r="41" spans="1:14" ht="26.25" x14ac:dyDescent="0.4">
      <c r="C41" s="72"/>
    </row>
    <row r="42" spans="1:14" ht="26.25" x14ac:dyDescent="0.4">
      <c r="C42" s="72"/>
    </row>
    <row r="43" spans="1:14" ht="26.25" x14ac:dyDescent="0.4">
      <c r="C43" s="72"/>
    </row>
    <row r="44" spans="1:14" ht="26.25" x14ac:dyDescent="0.4">
      <c r="C44" s="72"/>
    </row>
    <row r="45" spans="1:14" ht="26.25" x14ac:dyDescent="0.4">
      <c r="C45" s="72"/>
    </row>
    <row r="46" spans="1:14" ht="26.25" x14ac:dyDescent="0.4">
      <c r="C46" s="72"/>
    </row>
    <row r="47" spans="1:14" ht="26.25" x14ac:dyDescent="0.4">
      <c r="C47" s="72"/>
    </row>
    <row r="48" spans="1:14" ht="26.25" x14ac:dyDescent="0.4">
      <c r="C48" s="72"/>
    </row>
    <row r="49" spans="3:3" ht="26.25" x14ac:dyDescent="0.4">
      <c r="C49" s="72"/>
    </row>
    <row r="50" spans="3:3" ht="26.25" x14ac:dyDescent="0.4">
      <c r="C50" s="72"/>
    </row>
    <row r="51" spans="3:3" ht="26.25" x14ac:dyDescent="0.4">
      <c r="C51" s="72"/>
    </row>
    <row r="52" spans="3:3" ht="26.25" x14ac:dyDescent="0.4">
      <c r="C52" s="72"/>
    </row>
    <row r="53" spans="3:3" ht="26.25" x14ac:dyDescent="0.4">
      <c r="C53" s="72"/>
    </row>
    <row r="54" spans="3:3" ht="26.25" x14ac:dyDescent="0.4">
      <c r="C54" s="72"/>
    </row>
    <row r="55" spans="3:3" ht="26.25" x14ac:dyDescent="0.4">
      <c r="C55" s="72"/>
    </row>
    <row r="56" spans="3:3" ht="26.25" x14ac:dyDescent="0.4">
      <c r="C56" s="72"/>
    </row>
    <row r="57" spans="3:3" ht="26.25" x14ac:dyDescent="0.4">
      <c r="C57" s="72"/>
    </row>
    <row r="58" spans="3:3" ht="26.25" x14ac:dyDescent="0.4">
      <c r="C58" s="72"/>
    </row>
  </sheetData>
  <hyperlinks>
    <hyperlink ref="A6" location="Figurer!A1" display="FIGURER" xr:uid="{00000000-0004-0000-0100-000000000000}"/>
    <hyperlink ref="A14" location="'Tabel 1.1'!A1" display="TABELLER" xr:uid="{00000000-0004-0000-0100-000001000000}"/>
    <hyperlink ref="B16" location="'Tabell 1.1'!A1" display="Tabell 1.1" xr:uid="{00000000-0004-0000-0100-000002000000}"/>
    <hyperlink ref="B17" location="'Tabell 1.2'!A1" display="Tabell 1.2" xr:uid="{00000000-0004-0000-0100-000003000000}"/>
    <hyperlink ref="A33" location="'Noter og kommentarer'!A1" display="NOTER OG KOMMENTARER" xr:uid="{00000000-0004-0000-0100-000004000000}"/>
    <hyperlink ref="B23" location="'Tabell 4'!A1" display="Tabell 4" xr:uid="{00000000-0004-0000-0100-000005000000}"/>
    <hyperlink ref="B27" location="'Tabell 6'!A1" display="Tabell 6" xr:uid="{00000000-0004-0000-0100-000006000000}"/>
    <hyperlink ref="B30" location="'Tabell 8'!A1" display="Tabell 8" xr:uid="{00000000-0004-0000-0100-000007000000}"/>
    <hyperlink ref="B24" location="'Tabell 5.1'!A1" display="Tabell 5.1" xr:uid="{00000000-0004-0000-0100-000008000000}"/>
    <hyperlink ref="B25" location="'Tabell 5.2'!A1" display="Tabell 5.2" xr:uid="{00000000-0004-0000-0100-000009000000}"/>
    <hyperlink ref="B26" location="'Tabell 5.3'!A1" display="Tabell 5.3" xr:uid="{00000000-0004-0000-0100-00000A000000}"/>
    <hyperlink ref="B28" location="'Tabell 7a'!A1" display="Tabell 7a" xr:uid="{00000000-0004-0000-0100-00000B000000}"/>
    <hyperlink ref="B29" location="'Tabell 7b'!A1" display="Tabell 7b" xr:uid="{00000000-0004-0000-0100-00000C000000}"/>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9"/>
  <dimension ref="A1:N145"/>
  <sheetViews>
    <sheetView showGridLines="0" zoomScaleNormal="100" workbookViewId="0">
      <selection activeCell="A111" sqref="A111"/>
    </sheetView>
  </sheetViews>
  <sheetFormatPr baseColWidth="10" defaultColWidth="11.42578125" defaultRowHeight="12.75" x14ac:dyDescent="0.2"/>
  <cols>
    <col min="1" max="1" width="41.57031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134</v>
      </c>
      <c r="B1" s="663"/>
      <c r="C1" s="225" t="s">
        <v>129</v>
      </c>
      <c r="D1" s="26"/>
      <c r="E1" s="26"/>
      <c r="F1" s="26"/>
      <c r="G1" s="26"/>
      <c r="H1" s="26"/>
      <c r="I1" s="26"/>
      <c r="J1" s="26"/>
      <c r="K1" s="26"/>
      <c r="L1" s="26"/>
      <c r="M1" s="26"/>
    </row>
    <row r="2" spans="1:14" ht="15.75" x14ac:dyDescent="0.25">
      <c r="A2" s="165" t="s">
        <v>28</v>
      </c>
      <c r="B2" s="699"/>
      <c r="C2" s="699"/>
      <c r="D2" s="699"/>
      <c r="E2" s="275"/>
      <c r="F2" s="699"/>
      <c r="G2" s="699"/>
      <c r="H2" s="699"/>
      <c r="I2" s="275"/>
      <c r="J2" s="699"/>
      <c r="K2" s="699"/>
      <c r="L2" s="699"/>
      <c r="M2" s="275"/>
    </row>
    <row r="3" spans="1:14" ht="15.75" x14ac:dyDescent="0.25">
      <c r="A3" s="163"/>
      <c r="B3" s="275"/>
      <c r="C3" s="275"/>
      <c r="D3" s="275"/>
      <c r="E3" s="275"/>
      <c r="F3" s="275"/>
      <c r="G3" s="275"/>
      <c r="H3" s="275"/>
      <c r="I3" s="275"/>
      <c r="J3" s="275"/>
      <c r="K3" s="275"/>
      <c r="L3" s="275"/>
      <c r="M3" s="275"/>
    </row>
    <row r="4" spans="1:14" x14ac:dyDescent="0.2">
      <c r="A4" s="144"/>
      <c r="B4" s="695" t="s">
        <v>0</v>
      </c>
      <c r="C4" s="696"/>
      <c r="D4" s="696"/>
      <c r="E4" s="277"/>
      <c r="F4" s="695" t="s">
        <v>1</v>
      </c>
      <c r="G4" s="696"/>
      <c r="H4" s="696"/>
      <c r="I4" s="280"/>
      <c r="J4" s="695" t="s">
        <v>2</v>
      </c>
      <c r="K4" s="696"/>
      <c r="L4" s="696"/>
      <c r="M4" s="280"/>
    </row>
    <row r="5" spans="1:14" x14ac:dyDescent="0.2">
      <c r="A5" s="158"/>
      <c r="B5" s="152" t="s">
        <v>412</v>
      </c>
      <c r="C5" s="152" t="s">
        <v>413</v>
      </c>
      <c r="D5" s="222" t="s">
        <v>3</v>
      </c>
      <c r="E5" s="281" t="s">
        <v>29</v>
      </c>
      <c r="F5" s="152" t="s">
        <v>412</v>
      </c>
      <c r="G5" s="152" t="s">
        <v>413</v>
      </c>
      <c r="H5" s="222" t="s">
        <v>3</v>
      </c>
      <c r="I5" s="162" t="s">
        <v>29</v>
      </c>
      <c r="J5" s="152" t="s">
        <v>412</v>
      </c>
      <c r="K5" s="152" t="s">
        <v>413</v>
      </c>
      <c r="L5" s="222" t="s">
        <v>3</v>
      </c>
      <c r="M5" s="162" t="s">
        <v>29</v>
      </c>
    </row>
    <row r="6" spans="1:14" x14ac:dyDescent="0.2">
      <c r="A6" s="661"/>
      <c r="B6" s="156"/>
      <c r="C6" s="156"/>
      <c r="D6" s="223" t="s">
        <v>4</v>
      </c>
      <c r="E6" s="156" t="s">
        <v>30</v>
      </c>
      <c r="F6" s="161"/>
      <c r="G6" s="161"/>
      <c r="H6" s="222" t="s">
        <v>4</v>
      </c>
      <c r="I6" s="156" t="s">
        <v>30</v>
      </c>
      <c r="J6" s="161"/>
      <c r="K6" s="161"/>
      <c r="L6" s="222" t="s">
        <v>4</v>
      </c>
      <c r="M6" s="156" t="s">
        <v>30</v>
      </c>
    </row>
    <row r="7" spans="1:14" ht="15.75" x14ac:dyDescent="0.2">
      <c r="A7" s="14" t="s">
        <v>23</v>
      </c>
      <c r="B7" s="282">
        <v>102588.507</v>
      </c>
      <c r="C7" s="283">
        <v>110158.73735050599</v>
      </c>
      <c r="D7" s="326">
        <f t="shared" ref="D7:D9" si="0">IF(B7=0, "    ---- ", IF(ABS(ROUND(100/B7*C7-100,1))&lt;999,ROUND(100/B7*C7-100,1),IF(ROUND(100/B7*C7-100,1)&gt;999,999,-999)))</f>
        <v>7.4</v>
      </c>
      <c r="E7" s="11">
        <f>IFERROR(100/'Skjema total MA'!C7*C7,0)</f>
        <v>6.5372303700085146</v>
      </c>
      <c r="F7" s="282"/>
      <c r="G7" s="283"/>
      <c r="H7" s="326"/>
      <c r="I7" s="160"/>
      <c r="J7" s="284">
        <f t="shared" ref="J7:K9" si="1">SUM(B7,F7)</f>
        <v>102588.507</v>
      </c>
      <c r="K7" s="285">
        <f t="shared" si="1"/>
        <v>110158.73735050599</v>
      </c>
      <c r="L7" s="401">
        <f t="shared" ref="L7:L9" si="2">IF(J7=0, "    ---- ", IF(ABS(ROUND(100/J7*K7-100,1))&lt;999,ROUND(100/J7*K7-100,1),IF(ROUND(100/J7*K7-100,1)&gt;999,999,-999)))</f>
        <v>7.4</v>
      </c>
      <c r="M7" s="11">
        <f>IFERROR(100/'Skjema total MA'!I7*K7,0)</f>
        <v>1.9714664017948629</v>
      </c>
    </row>
    <row r="8" spans="1:14" ht="15.75" x14ac:dyDescent="0.2">
      <c r="A8" s="21" t="s">
        <v>25</v>
      </c>
      <c r="B8" s="258">
        <v>69374.259000000005</v>
      </c>
      <c r="C8" s="259">
        <v>76583.736308979307</v>
      </c>
      <c r="D8" s="166">
        <f t="shared" si="0"/>
        <v>10.4</v>
      </c>
      <c r="E8" s="27">
        <f>IFERROR(100/'Skjema total MA'!C8*C8,0)</f>
        <v>6.7164378345716544</v>
      </c>
      <c r="F8" s="262"/>
      <c r="G8" s="263"/>
      <c r="H8" s="166"/>
      <c r="I8" s="175"/>
      <c r="J8" s="211">
        <f t="shared" si="1"/>
        <v>69374.259000000005</v>
      </c>
      <c r="K8" s="264">
        <f t="shared" si="1"/>
        <v>76583.736308979307</v>
      </c>
      <c r="L8" s="166">
        <f t="shared" si="2"/>
        <v>10.4</v>
      </c>
      <c r="M8" s="27">
        <f>IFERROR(100/'Skjema total MA'!I8*K8,0)</f>
        <v>6.7164378345716544</v>
      </c>
    </row>
    <row r="9" spans="1:14" ht="15.75" x14ac:dyDescent="0.2">
      <c r="A9" s="21" t="s">
        <v>24</v>
      </c>
      <c r="B9" s="258">
        <v>33214.248</v>
      </c>
      <c r="C9" s="259">
        <v>33575.0010415262</v>
      </c>
      <c r="D9" s="166">
        <f t="shared" si="0"/>
        <v>1.1000000000000001</v>
      </c>
      <c r="E9" s="27">
        <f>IFERROR(100/'Skjema total MA'!C9*C9,0)</f>
        <v>9.4135488029675862</v>
      </c>
      <c r="F9" s="262"/>
      <c r="G9" s="263"/>
      <c r="H9" s="166"/>
      <c r="I9" s="175"/>
      <c r="J9" s="211">
        <f t="shared" si="1"/>
        <v>33214.248</v>
      </c>
      <c r="K9" s="264">
        <f t="shared" si="1"/>
        <v>33575.0010415262</v>
      </c>
      <c r="L9" s="166">
        <f t="shared" si="2"/>
        <v>1.1000000000000001</v>
      </c>
      <c r="M9" s="27">
        <f>IFERROR(100/'Skjema total MA'!I9*K9,0)</f>
        <v>9.4135488029675862</v>
      </c>
    </row>
    <row r="10" spans="1:14" ht="15.75" x14ac:dyDescent="0.2">
      <c r="A10" s="13" t="s">
        <v>341</v>
      </c>
      <c r="B10" s="286"/>
      <c r="C10" s="287"/>
      <c r="D10" s="171"/>
      <c r="E10" s="11"/>
      <c r="F10" s="286"/>
      <c r="G10" s="287"/>
      <c r="H10" s="171"/>
      <c r="I10" s="160"/>
      <c r="J10" s="284"/>
      <c r="K10" s="285"/>
      <c r="L10" s="402"/>
      <c r="M10" s="11"/>
    </row>
    <row r="11" spans="1:14" s="43" customFormat="1" ht="15.75" x14ac:dyDescent="0.2">
      <c r="A11" s="13" t="s">
        <v>342</v>
      </c>
      <c r="B11" s="286"/>
      <c r="C11" s="287"/>
      <c r="D11" s="171"/>
      <c r="E11" s="11"/>
      <c r="F11" s="286"/>
      <c r="G11" s="287"/>
      <c r="H11" s="171"/>
      <c r="I11" s="160"/>
      <c r="J11" s="284"/>
      <c r="K11" s="285"/>
      <c r="L11" s="402"/>
      <c r="M11" s="11"/>
      <c r="N11" s="143"/>
    </row>
    <row r="12" spans="1:14" s="43" customFormat="1" ht="15.75" x14ac:dyDescent="0.2">
      <c r="A12" s="41" t="s">
        <v>343</v>
      </c>
      <c r="B12" s="288"/>
      <c r="C12" s="289"/>
      <c r="D12" s="169"/>
      <c r="E12" s="36"/>
      <c r="F12" s="288"/>
      <c r="G12" s="289"/>
      <c r="H12" s="169"/>
      <c r="I12" s="169"/>
      <c r="J12" s="290"/>
      <c r="K12" s="291"/>
      <c r="L12" s="403"/>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251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248</v>
      </c>
      <c r="B17" s="157"/>
      <c r="C17" s="157"/>
      <c r="D17" s="151"/>
      <c r="E17" s="151"/>
      <c r="F17" s="157"/>
      <c r="G17" s="157"/>
      <c r="H17" s="157"/>
      <c r="I17" s="157"/>
      <c r="J17" s="157"/>
      <c r="K17" s="157"/>
      <c r="L17" s="157"/>
      <c r="M17" s="157"/>
    </row>
    <row r="18" spans="1:14" ht="15.75" x14ac:dyDescent="0.25">
      <c r="B18" s="694"/>
      <c r="C18" s="694"/>
      <c r="D18" s="694"/>
      <c r="E18" s="275"/>
      <c r="F18" s="694"/>
      <c r="G18" s="694"/>
      <c r="H18" s="694"/>
      <c r="I18" s="275"/>
      <c r="J18" s="694"/>
      <c r="K18" s="694"/>
      <c r="L18" s="694"/>
      <c r="M18" s="275"/>
    </row>
    <row r="19" spans="1:14" x14ac:dyDescent="0.2">
      <c r="A19" s="144"/>
      <c r="B19" s="695" t="s">
        <v>0</v>
      </c>
      <c r="C19" s="696"/>
      <c r="D19" s="696"/>
      <c r="E19" s="277"/>
      <c r="F19" s="695" t="s">
        <v>1</v>
      </c>
      <c r="G19" s="696"/>
      <c r="H19" s="696"/>
      <c r="I19" s="280"/>
      <c r="J19" s="695" t="s">
        <v>2</v>
      </c>
      <c r="K19" s="696"/>
      <c r="L19" s="696"/>
      <c r="M19" s="280"/>
    </row>
    <row r="20" spans="1:14" x14ac:dyDescent="0.2">
      <c r="A20" s="140" t="s">
        <v>5</v>
      </c>
      <c r="B20" s="152" t="s">
        <v>412</v>
      </c>
      <c r="C20" s="152" t="s">
        <v>413</v>
      </c>
      <c r="D20" s="162" t="s">
        <v>3</v>
      </c>
      <c r="E20" s="281" t="s">
        <v>29</v>
      </c>
      <c r="F20" s="152" t="s">
        <v>412</v>
      </c>
      <c r="G20" s="152" t="s">
        <v>413</v>
      </c>
      <c r="H20" s="162" t="s">
        <v>3</v>
      </c>
      <c r="I20" s="162" t="s">
        <v>29</v>
      </c>
      <c r="J20" s="152" t="s">
        <v>412</v>
      </c>
      <c r="K20" s="152" t="s">
        <v>413</v>
      </c>
      <c r="L20" s="162" t="s">
        <v>3</v>
      </c>
      <c r="M20" s="162" t="s">
        <v>29</v>
      </c>
    </row>
    <row r="21" spans="1:14" x14ac:dyDescent="0.2">
      <c r="A21" s="662"/>
      <c r="B21" s="156"/>
      <c r="C21" s="156"/>
      <c r="D21" s="223" t="s">
        <v>4</v>
      </c>
      <c r="E21" s="156" t="s">
        <v>30</v>
      </c>
      <c r="F21" s="161"/>
      <c r="G21" s="161"/>
      <c r="H21" s="222" t="s">
        <v>4</v>
      </c>
      <c r="I21" s="156" t="s">
        <v>30</v>
      </c>
      <c r="J21" s="161"/>
      <c r="K21" s="161"/>
      <c r="L21" s="156" t="s">
        <v>4</v>
      </c>
      <c r="M21" s="156" t="s">
        <v>30</v>
      </c>
    </row>
    <row r="22" spans="1:14" ht="15.75" x14ac:dyDescent="0.2">
      <c r="A22" s="14" t="s">
        <v>23</v>
      </c>
      <c r="B22" s="286"/>
      <c r="C22" s="286"/>
      <c r="D22" s="326"/>
      <c r="E22" s="11"/>
      <c r="F22" s="294"/>
      <c r="G22" s="294"/>
      <c r="H22" s="326"/>
      <c r="I22" s="11"/>
      <c r="J22" s="292"/>
      <c r="K22" s="292"/>
      <c r="L22" s="401"/>
      <c r="M22" s="24"/>
    </row>
    <row r="23" spans="1:14" ht="15.75" x14ac:dyDescent="0.2">
      <c r="A23" s="545" t="s">
        <v>344</v>
      </c>
      <c r="B23" s="258"/>
      <c r="C23" s="258"/>
      <c r="D23" s="166"/>
      <c r="E23" s="11"/>
      <c r="F23" s="267"/>
      <c r="G23" s="267"/>
      <c r="H23" s="166"/>
      <c r="I23" s="391"/>
      <c r="J23" s="267"/>
      <c r="K23" s="267"/>
      <c r="L23" s="166"/>
      <c r="M23" s="23"/>
    </row>
    <row r="24" spans="1:14" ht="15.75" x14ac:dyDescent="0.2">
      <c r="A24" s="545" t="s">
        <v>345</v>
      </c>
      <c r="B24" s="258"/>
      <c r="C24" s="258"/>
      <c r="D24" s="166"/>
      <c r="E24" s="11"/>
      <c r="F24" s="267"/>
      <c r="G24" s="267"/>
      <c r="H24" s="166"/>
      <c r="I24" s="391"/>
      <c r="J24" s="267"/>
      <c r="K24" s="267"/>
      <c r="L24" s="166"/>
      <c r="M24" s="23"/>
    </row>
    <row r="25" spans="1:14" ht="15.75" x14ac:dyDescent="0.2">
      <c r="A25" s="545" t="s">
        <v>346</v>
      </c>
      <c r="B25" s="258"/>
      <c r="C25" s="258"/>
      <c r="D25" s="166"/>
      <c r="E25" s="11"/>
      <c r="F25" s="267"/>
      <c r="G25" s="267"/>
      <c r="H25" s="166"/>
      <c r="I25" s="391"/>
      <c r="J25" s="267"/>
      <c r="K25" s="267"/>
      <c r="L25" s="166"/>
      <c r="M25" s="23"/>
    </row>
    <row r="26" spans="1:14" ht="15.75" x14ac:dyDescent="0.2">
      <c r="A26" s="545" t="s">
        <v>347</v>
      </c>
      <c r="B26" s="258"/>
      <c r="C26" s="258"/>
      <c r="D26" s="166"/>
      <c r="E26" s="11"/>
      <c r="F26" s="267"/>
      <c r="G26" s="267"/>
      <c r="H26" s="166"/>
      <c r="I26" s="391"/>
      <c r="J26" s="267"/>
      <c r="K26" s="267"/>
      <c r="L26" s="166"/>
      <c r="M26" s="23"/>
    </row>
    <row r="27" spans="1:14" x14ac:dyDescent="0.2">
      <c r="A27" s="545" t="s">
        <v>11</v>
      </c>
      <c r="B27" s="258"/>
      <c r="C27" s="258"/>
      <c r="D27" s="166"/>
      <c r="E27" s="11"/>
      <c r="F27" s="267"/>
      <c r="G27" s="267"/>
      <c r="H27" s="166"/>
      <c r="I27" s="391"/>
      <c r="J27" s="267"/>
      <c r="K27" s="267"/>
      <c r="L27" s="166"/>
      <c r="M27" s="23"/>
    </row>
    <row r="28" spans="1:14" ht="15.75" x14ac:dyDescent="0.2">
      <c r="A28" s="49" t="s">
        <v>252</v>
      </c>
      <c r="B28" s="44">
        <v>48738.766000000003</v>
      </c>
      <c r="C28" s="264">
        <v>55825.279336754204</v>
      </c>
      <c r="D28" s="166">
        <f t="shared" ref="D28" si="3">IF(B28=0, "    ---- ", IF(ABS(ROUND(100/B28*C28-100,1))&lt;999,ROUND(100/B28*C28-100,1),IF(ROUND(100/B28*C28-100,1)&gt;999,999,-999)))</f>
        <v>14.5</v>
      </c>
      <c r="E28" s="11">
        <f>IFERROR(100/'Skjema total MA'!C28*C28,0)</f>
        <v>7.6739044220711028</v>
      </c>
      <c r="F28" s="211"/>
      <c r="G28" s="264"/>
      <c r="H28" s="166"/>
      <c r="I28" s="27"/>
      <c r="J28" s="44">
        <f t="shared" ref="J28" si="4">SUM(B28,F28)</f>
        <v>48738.766000000003</v>
      </c>
      <c r="K28" s="44">
        <f t="shared" ref="K28" si="5">SUM(C28,G28)</f>
        <v>55825.279336754204</v>
      </c>
      <c r="L28" s="231">
        <f t="shared" ref="L28" si="6">IF(J28=0, "    ---- ", IF(ABS(ROUND(100/J28*K28-100,1))&lt;999,ROUND(100/J28*K28-100,1),IF(ROUND(100/J28*K28-100,1)&gt;999,999,-999)))</f>
        <v>14.5</v>
      </c>
      <c r="M28" s="23">
        <f>IFERROR(100/'Skjema total MA'!I28*K28,0)</f>
        <v>7.6739044220711028</v>
      </c>
    </row>
    <row r="29" spans="1:14" s="3" customFormat="1" ht="15.75" x14ac:dyDescent="0.2">
      <c r="A29" s="13" t="s">
        <v>341</v>
      </c>
      <c r="B29" s="213"/>
      <c r="C29" s="213"/>
      <c r="D29" s="171"/>
      <c r="E29" s="11"/>
      <c r="F29" s="284"/>
      <c r="G29" s="284"/>
      <c r="H29" s="171"/>
      <c r="I29" s="11"/>
      <c r="J29" s="213"/>
      <c r="K29" s="213"/>
      <c r="L29" s="402"/>
      <c r="M29" s="24"/>
      <c r="N29" s="148"/>
    </row>
    <row r="30" spans="1:14" s="3" customFormat="1" ht="15.75" x14ac:dyDescent="0.2">
      <c r="A30" s="545" t="s">
        <v>344</v>
      </c>
      <c r="B30" s="258"/>
      <c r="C30" s="258"/>
      <c r="D30" s="166"/>
      <c r="E30" s="11"/>
      <c r="F30" s="267"/>
      <c r="G30" s="267"/>
      <c r="H30" s="166"/>
      <c r="I30" s="391"/>
      <c r="J30" s="267"/>
      <c r="K30" s="267"/>
      <c r="L30" s="166"/>
      <c r="M30" s="23"/>
      <c r="N30" s="148"/>
    </row>
    <row r="31" spans="1:14" s="3" customFormat="1" ht="15.75" x14ac:dyDescent="0.2">
      <c r="A31" s="545" t="s">
        <v>345</v>
      </c>
      <c r="B31" s="258"/>
      <c r="C31" s="258"/>
      <c r="D31" s="166"/>
      <c r="E31" s="11"/>
      <c r="F31" s="267"/>
      <c r="G31" s="267"/>
      <c r="H31" s="166"/>
      <c r="I31" s="391"/>
      <c r="J31" s="267"/>
      <c r="K31" s="267"/>
      <c r="L31" s="166"/>
      <c r="M31" s="23"/>
      <c r="N31" s="148"/>
    </row>
    <row r="32" spans="1:14" ht="15.75" x14ac:dyDescent="0.2">
      <c r="A32" s="545" t="s">
        <v>346</v>
      </c>
      <c r="B32" s="258"/>
      <c r="C32" s="258"/>
      <c r="D32" s="166"/>
      <c r="E32" s="11"/>
      <c r="F32" s="267"/>
      <c r="G32" s="267"/>
      <c r="H32" s="166"/>
      <c r="I32" s="391"/>
      <c r="J32" s="267"/>
      <c r="K32" s="267"/>
      <c r="L32" s="166"/>
      <c r="M32" s="23"/>
    </row>
    <row r="33" spans="1:14" ht="15.75" x14ac:dyDescent="0.2">
      <c r="A33" s="545" t="s">
        <v>347</v>
      </c>
      <c r="B33" s="258"/>
      <c r="C33" s="258"/>
      <c r="D33" s="166"/>
      <c r="E33" s="11"/>
      <c r="F33" s="267"/>
      <c r="G33" s="267"/>
      <c r="H33" s="166"/>
      <c r="I33" s="391"/>
      <c r="J33" s="267"/>
      <c r="K33" s="267"/>
      <c r="L33" s="166"/>
      <c r="M33" s="23"/>
    </row>
    <row r="34" spans="1:14" ht="15.75" x14ac:dyDescent="0.2">
      <c r="A34" s="13" t="s">
        <v>342</v>
      </c>
      <c r="B34" s="213"/>
      <c r="C34" s="285"/>
      <c r="D34" s="171"/>
      <c r="E34" s="11"/>
      <c r="F34" s="284"/>
      <c r="G34" s="285"/>
      <c r="H34" s="171"/>
      <c r="I34" s="11"/>
      <c r="J34" s="213"/>
      <c r="K34" s="213"/>
      <c r="L34" s="402"/>
      <c r="M34" s="24"/>
    </row>
    <row r="35" spans="1:14" ht="15.75" x14ac:dyDescent="0.2">
      <c r="A35" s="13" t="s">
        <v>343</v>
      </c>
      <c r="B35" s="213"/>
      <c r="C35" s="285"/>
      <c r="D35" s="171"/>
      <c r="E35" s="11"/>
      <c r="F35" s="284"/>
      <c r="G35" s="285"/>
      <c r="H35" s="171"/>
      <c r="I35" s="11"/>
      <c r="J35" s="213"/>
      <c r="K35" s="213"/>
      <c r="L35" s="402"/>
      <c r="M35" s="24"/>
    </row>
    <row r="36" spans="1:14" ht="15.75" x14ac:dyDescent="0.2">
      <c r="A36" s="12" t="s">
        <v>260</v>
      </c>
      <c r="B36" s="213"/>
      <c r="C36" s="285"/>
      <c r="D36" s="171"/>
      <c r="E36" s="11"/>
      <c r="F36" s="295"/>
      <c r="G36" s="296"/>
      <c r="H36" s="171"/>
      <c r="I36" s="408"/>
      <c r="J36" s="213"/>
      <c r="K36" s="213"/>
      <c r="L36" s="402"/>
      <c r="M36" s="24"/>
    </row>
    <row r="37" spans="1:14" ht="15.75" x14ac:dyDescent="0.2">
      <c r="A37" s="12" t="s">
        <v>349</v>
      </c>
      <c r="B37" s="213"/>
      <c r="C37" s="285"/>
      <c r="D37" s="171"/>
      <c r="E37" s="11"/>
      <c r="F37" s="295"/>
      <c r="G37" s="297"/>
      <c r="H37" s="171"/>
      <c r="I37" s="408"/>
      <c r="J37" s="213"/>
      <c r="K37" s="213"/>
      <c r="L37" s="402"/>
      <c r="M37" s="24"/>
    </row>
    <row r="38" spans="1:14" ht="15.75" x14ac:dyDescent="0.2">
      <c r="A38" s="12" t="s">
        <v>350</v>
      </c>
      <c r="B38" s="213"/>
      <c r="C38" s="285"/>
      <c r="D38" s="171"/>
      <c r="E38" s="24"/>
      <c r="F38" s="295"/>
      <c r="G38" s="296"/>
      <c r="H38" s="171"/>
      <c r="I38" s="408"/>
      <c r="J38" s="213"/>
      <c r="K38" s="213"/>
      <c r="L38" s="402"/>
      <c r="M38" s="24"/>
    </row>
    <row r="39" spans="1:14" ht="15.75" x14ac:dyDescent="0.2">
      <c r="A39" s="18" t="s">
        <v>351</v>
      </c>
      <c r="B39" s="253"/>
      <c r="C39" s="291"/>
      <c r="D39" s="169"/>
      <c r="E39" s="36"/>
      <c r="F39" s="298"/>
      <c r="G39" s="299"/>
      <c r="H39" s="169"/>
      <c r="I39" s="36"/>
      <c r="J39" s="213"/>
      <c r="K39" s="213"/>
      <c r="L39" s="403"/>
      <c r="M39" s="36"/>
    </row>
    <row r="40" spans="1:14" ht="15.75" x14ac:dyDescent="0.25">
      <c r="A40" s="47"/>
      <c r="B40" s="230"/>
      <c r="C40" s="230"/>
      <c r="D40" s="698"/>
      <c r="E40" s="698"/>
      <c r="F40" s="698"/>
      <c r="G40" s="698"/>
      <c r="H40" s="698"/>
      <c r="I40" s="698"/>
      <c r="J40" s="698"/>
      <c r="K40" s="698"/>
      <c r="L40" s="698"/>
      <c r="M40" s="278"/>
    </row>
    <row r="41" spans="1:14" x14ac:dyDescent="0.2">
      <c r="A41" s="155"/>
    </row>
    <row r="42" spans="1:14" ht="15.75" x14ac:dyDescent="0.25">
      <c r="A42" s="147" t="s">
        <v>249</v>
      </c>
      <c r="B42" s="699"/>
      <c r="C42" s="699"/>
      <c r="D42" s="699"/>
      <c r="E42" s="275"/>
      <c r="F42" s="700"/>
      <c r="G42" s="700"/>
      <c r="H42" s="700"/>
      <c r="I42" s="278"/>
      <c r="J42" s="700"/>
      <c r="K42" s="700"/>
      <c r="L42" s="700"/>
      <c r="M42" s="278"/>
    </row>
    <row r="43" spans="1:14" ht="15.75" x14ac:dyDescent="0.25">
      <c r="A43" s="163"/>
      <c r="B43" s="279"/>
      <c r="C43" s="279"/>
      <c r="D43" s="279"/>
      <c r="E43" s="279"/>
      <c r="F43" s="278"/>
      <c r="G43" s="278"/>
      <c r="H43" s="278"/>
      <c r="I43" s="278"/>
      <c r="J43" s="278"/>
      <c r="K43" s="278"/>
      <c r="L43" s="278"/>
      <c r="M43" s="278"/>
    </row>
    <row r="44" spans="1:14" ht="15.75" x14ac:dyDescent="0.25">
      <c r="A44" s="224"/>
      <c r="B44" s="695" t="s">
        <v>0</v>
      </c>
      <c r="C44" s="696"/>
      <c r="D44" s="696"/>
      <c r="E44" s="220"/>
      <c r="F44" s="278"/>
      <c r="G44" s="278"/>
      <c r="H44" s="278"/>
      <c r="I44" s="278"/>
      <c r="J44" s="278"/>
      <c r="K44" s="278"/>
      <c r="L44" s="278"/>
      <c r="M44" s="278"/>
    </row>
    <row r="45" spans="1:14" s="3" customFormat="1" x14ac:dyDescent="0.2">
      <c r="A45" s="140"/>
      <c r="B45" s="152" t="s">
        <v>412</v>
      </c>
      <c r="C45" s="152" t="s">
        <v>413</v>
      </c>
      <c r="D45" s="162" t="s">
        <v>3</v>
      </c>
      <c r="E45" s="162" t="s">
        <v>29</v>
      </c>
      <c r="F45" s="174"/>
      <c r="G45" s="174"/>
      <c r="H45" s="173"/>
      <c r="I45" s="173"/>
      <c r="J45" s="174"/>
      <c r="K45" s="174"/>
      <c r="L45" s="173"/>
      <c r="M45" s="173"/>
      <c r="N45" s="148"/>
    </row>
    <row r="46" spans="1:14" s="3" customFormat="1" x14ac:dyDescent="0.2">
      <c r="A46" s="662"/>
      <c r="B46" s="221"/>
      <c r="C46" s="221"/>
      <c r="D46" s="222" t="s">
        <v>4</v>
      </c>
      <c r="E46" s="156" t="s">
        <v>30</v>
      </c>
      <c r="F46" s="173"/>
      <c r="G46" s="173"/>
      <c r="H46" s="173"/>
      <c r="I46" s="173"/>
      <c r="J46" s="173"/>
      <c r="K46" s="173"/>
      <c r="L46" s="173"/>
      <c r="M46" s="173"/>
      <c r="N46" s="148"/>
    </row>
    <row r="47" spans="1:14" s="3" customFormat="1" ht="15.75" x14ac:dyDescent="0.2">
      <c r="A47" s="14" t="s">
        <v>23</v>
      </c>
      <c r="B47" s="286">
        <v>58783</v>
      </c>
      <c r="C47" s="287">
        <v>59956.26614</v>
      </c>
      <c r="D47" s="401">
        <f t="shared" ref="D47:D57" si="7">IF(B47=0, "    ---- ", IF(ABS(ROUND(100/B47*C47-100,1))&lt;999,ROUND(100/B47*C47-100,1),IF(ROUND(100/B47*C47-100,1)&gt;999,999,-999)))</f>
        <v>2</v>
      </c>
      <c r="E47" s="11">
        <f>IFERROR(100/'Skjema total MA'!C47*C47,0)</f>
        <v>1.8952092211263498</v>
      </c>
      <c r="F47" s="145"/>
      <c r="G47" s="33"/>
      <c r="H47" s="159"/>
      <c r="I47" s="159"/>
      <c r="J47" s="37"/>
      <c r="K47" s="37"/>
      <c r="L47" s="159"/>
      <c r="M47" s="159"/>
      <c r="N47" s="148"/>
    </row>
    <row r="48" spans="1:14" s="3" customFormat="1" ht="15.75" x14ac:dyDescent="0.2">
      <c r="A48" s="38" t="s">
        <v>352</v>
      </c>
      <c r="B48" s="258">
        <v>58783</v>
      </c>
      <c r="C48" s="259">
        <v>59956.26614</v>
      </c>
      <c r="D48" s="231">
        <f t="shared" si="7"/>
        <v>2</v>
      </c>
      <c r="E48" s="27">
        <f>IFERROR(100/'Skjema total MA'!C48*C48,0)</f>
        <v>3.4954400991340862</v>
      </c>
      <c r="F48" s="145"/>
      <c r="G48" s="33"/>
      <c r="H48" s="145"/>
      <c r="I48" s="145"/>
      <c r="J48" s="33"/>
      <c r="K48" s="33"/>
      <c r="L48" s="159"/>
      <c r="M48" s="159"/>
      <c r="N48" s="148"/>
    </row>
    <row r="49" spans="1:14" s="3" customFormat="1" ht="15.75" x14ac:dyDescent="0.2">
      <c r="A49" s="38" t="s">
        <v>353</v>
      </c>
      <c r="B49" s="44"/>
      <c r="C49" s="264"/>
      <c r="D49" s="231"/>
      <c r="E49" s="27"/>
      <c r="F49" s="145"/>
      <c r="G49" s="33"/>
      <c r="H49" s="145"/>
      <c r="I49" s="145"/>
      <c r="J49" s="37"/>
      <c r="K49" s="37"/>
      <c r="L49" s="159"/>
      <c r="M49" s="159"/>
      <c r="N49" s="148"/>
    </row>
    <row r="50" spans="1:14" s="3" customFormat="1" x14ac:dyDescent="0.2">
      <c r="A50" s="272" t="s">
        <v>6</v>
      </c>
      <c r="B50" s="295"/>
      <c r="C50" s="295"/>
      <c r="D50" s="231"/>
      <c r="E50" s="23"/>
      <c r="F50" s="145"/>
      <c r="G50" s="33"/>
      <c r="H50" s="145"/>
      <c r="I50" s="145"/>
      <c r="J50" s="33"/>
      <c r="K50" s="33"/>
      <c r="L50" s="159"/>
      <c r="M50" s="159"/>
      <c r="N50" s="148"/>
    </row>
    <row r="51" spans="1:14" s="3" customFormat="1" x14ac:dyDescent="0.2">
      <c r="A51" s="272" t="s">
        <v>7</v>
      </c>
      <c r="B51" s="295"/>
      <c r="C51" s="295"/>
      <c r="D51" s="231"/>
      <c r="E51" s="23"/>
      <c r="F51" s="145"/>
      <c r="G51" s="33"/>
      <c r="H51" s="145"/>
      <c r="I51" s="145"/>
      <c r="J51" s="33"/>
      <c r="K51" s="33"/>
      <c r="L51" s="159"/>
      <c r="M51" s="159"/>
      <c r="N51" s="148"/>
    </row>
    <row r="52" spans="1:14" s="3" customFormat="1" x14ac:dyDescent="0.2">
      <c r="A52" s="272" t="s">
        <v>8</v>
      </c>
      <c r="B52" s="295"/>
      <c r="C52" s="295"/>
      <c r="D52" s="231"/>
      <c r="E52" s="23"/>
      <c r="F52" s="145"/>
      <c r="G52" s="33"/>
      <c r="H52" s="145"/>
      <c r="I52" s="145"/>
      <c r="J52" s="33"/>
      <c r="K52" s="33"/>
      <c r="L52" s="159"/>
      <c r="M52" s="159"/>
      <c r="N52" s="148"/>
    </row>
    <row r="53" spans="1:14" s="3" customFormat="1" ht="15.75" x14ac:dyDescent="0.2">
      <c r="A53" s="39" t="s">
        <v>354</v>
      </c>
      <c r="B53" s="286">
        <v>2019.4259999999999</v>
      </c>
      <c r="C53" s="287">
        <v>4045.3188760218</v>
      </c>
      <c r="D53" s="402">
        <f t="shared" si="7"/>
        <v>100.3</v>
      </c>
      <c r="E53" s="11">
        <f>IFERROR(100/'Skjema total MA'!C53*C53,0)</f>
        <v>1.8417223379791039</v>
      </c>
      <c r="F53" s="145"/>
      <c r="G53" s="33"/>
      <c r="H53" s="145"/>
      <c r="I53" s="145"/>
      <c r="J53" s="33"/>
      <c r="K53" s="33"/>
      <c r="L53" s="159"/>
      <c r="M53" s="159"/>
      <c r="N53" s="148"/>
    </row>
    <row r="54" spans="1:14" s="3" customFormat="1" ht="15.75" x14ac:dyDescent="0.2">
      <c r="A54" s="38" t="s">
        <v>352</v>
      </c>
      <c r="B54" s="258">
        <v>2019.4259999999999</v>
      </c>
      <c r="C54" s="259">
        <v>4045.3188760218</v>
      </c>
      <c r="D54" s="231">
        <f t="shared" si="7"/>
        <v>100.3</v>
      </c>
      <c r="E54" s="27">
        <f>IFERROR(100/'Skjema total MA'!C54*C54,0)</f>
        <v>2.0147172224969996</v>
      </c>
      <c r="F54" s="145"/>
      <c r="G54" s="33"/>
      <c r="H54" s="145"/>
      <c r="I54" s="145"/>
      <c r="J54" s="33"/>
      <c r="K54" s="33"/>
      <c r="L54" s="159"/>
      <c r="M54" s="159"/>
      <c r="N54" s="148"/>
    </row>
    <row r="55" spans="1:14" s="3" customFormat="1" ht="15.75" x14ac:dyDescent="0.2">
      <c r="A55" s="38" t="s">
        <v>353</v>
      </c>
      <c r="B55" s="258"/>
      <c r="C55" s="259"/>
      <c r="D55" s="231"/>
      <c r="E55" s="27"/>
      <c r="F55" s="145"/>
      <c r="G55" s="33"/>
      <c r="H55" s="145"/>
      <c r="I55" s="145"/>
      <c r="J55" s="33"/>
      <c r="K55" s="33"/>
      <c r="L55" s="159"/>
      <c r="M55" s="159"/>
      <c r="N55" s="148"/>
    </row>
    <row r="56" spans="1:14" s="3" customFormat="1" ht="15.75" x14ac:dyDescent="0.2">
      <c r="A56" s="39" t="s">
        <v>355</v>
      </c>
      <c r="B56" s="286">
        <v>3419.9229999999998</v>
      </c>
      <c r="C56" s="287">
        <v>490.762</v>
      </c>
      <c r="D56" s="402">
        <f t="shared" si="7"/>
        <v>-85.6</v>
      </c>
      <c r="E56" s="11">
        <f>IFERROR(100/'Skjema total MA'!C56*C56,0)</f>
        <v>1.0401314770338757</v>
      </c>
      <c r="F56" s="145"/>
      <c r="G56" s="33"/>
      <c r="H56" s="145"/>
      <c r="I56" s="145"/>
      <c r="J56" s="33"/>
      <c r="K56" s="33"/>
      <c r="L56" s="159"/>
      <c r="M56" s="159"/>
      <c r="N56" s="148"/>
    </row>
    <row r="57" spans="1:14" s="3" customFormat="1" ht="15.75" x14ac:dyDescent="0.2">
      <c r="A57" s="38" t="s">
        <v>352</v>
      </c>
      <c r="B57" s="258">
        <v>3419.9229999999998</v>
      </c>
      <c r="C57" s="259">
        <v>490.762</v>
      </c>
      <c r="D57" s="231">
        <f t="shared" si="7"/>
        <v>-85.6</v>
      </c>
      <c r="E57" s="27">
        <f>IFERROR(100/'Skjema total MA'!C57*C57,0)</f>
        <v>1.0401314770338757</v>
      </c>
      <c r="F57" s="145"/>
      <c r="G57" s="33"/>
      <c r="H57" s="145"/>
      <c r="I57" s="145"/>
      <c r="J57" s="33"/>
      <c r="K57" s="33"/>
      <c r="L57" s="159"/>
      <c r="M57" s="159"/>
      <c r="N57" s="148"/>
    </row>
    <row r="58" spans="1:14" s="3" customFormat="1" ht="15.75" x14ac:dyDescent="0.2">
      <c r="A58" s="46" t="s">
        <v>353</v>
      </c>
      <c r="B58" s="260"/>
      <c r="C58" s="261"/>
      <c r="D58" s="232"/>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250</v>
      </c>
      <c r="C61" s="26"/>
      <c r="D61" s="26"/>
      <c r="E61" s="26"/>
      <c r="F61" s="26"/>
      <c r="G61" s="26"/>
      <c r="H61" s="26"/>
      <c r="I61" s="26"/>
      <c r="J61" s="26"/>
      <c r="K61" s="26"/>
      <c r="L61" s="26"/>
      <c r="M61" s="26"/>
    </row>
    <row r="62" spans="1:14" ht="15.75" x14ac:dyDescent="0.25">
      <c r="B62" s="694"/>
      <c r="C62" s="694"/>
      <c r="D62" s="694"/>
      <c r="E62" s="275"/>
      <c r="F62" s="694"/>
      <c r="G62" s="694"/>
      <c r="H62" s="694"/>
      <c r="I62" s="275"/>
      <c r="J62" s="694"/>
      <c r="K62" s="694"/>
      <c r="L62" s="694"/>
      <c r="M62" s="275"/>
    </row>
    <row r="63" spans="1:14" x14ac:dyDescent="0.2">
      <c r="A63" s="144"/>
      <c r="B63" s="695" t="s">
        <v>0</v>
      </c>
      <c r="C63" s="696"/>
      <c r="D63" s="697"/>
      <c r="E63" s="276"/>
      <c r="F63" s="696" t="s">
        <v>1</v>
      </c>
      <c r="G63" s="696"/>
      <c r="H63" s="696"/>
      <c r="I63" s="280"/>
      <c r="J63" s="695" t="s">
        <v>2</v>
      </c>
      <c r="K63" s="696"/>
      <c r="L63" s="696"/>
      <c r="M63" s="280"/>
    </row>
    <row r="64" spans="1:14" x14ac:dyDescent="0.2">
      <c r="A64" s="140"/>
      <c r="B64" s="152" t="s">
        <v>412</v>
      </c>
      <c r="C64" s="152" t="s">
        <v>413</v>
      </c>
      <c r="D64" s="222" t="s">
        <v>3</v>
      </c>
      <c r="E64" s="281" t="s">
        <v>29</v>
      </c>
      <c r="F64" s="152" t="s">
        <v>412</v>
      </c>
      <c r="G64" s="152" t="s">
        <v>413</v>
      </c>
      <c r="H64" s="222" t="s">
        <v>3</v>
      </c>
      <c r="I64" s="281" t="s">
        <v>29</v>
      </c>
      <c r="J64" s="152" t="s">
        <v>412</v>
      </c>
      <c r="K64" s="152" t="s">
        <v>413</v>
      </c>
      <c r="L64" s="222" t="s">
        <v>3</v>
      </c>
      <c r="M64" s="162" t="s">
        <v>29</v>
      </c>
    </row>
    <row r="65" spans="1:14" x14ac:dyDescent="0.2">
      <c r="A65" s="662"/>
      <c r="B65" s="156"/>
      <c r="C65" s="156"/>
      <c r="D65" s="223" t="s">
        <v>4</v>
      </c>
      <c r="E65" s="156" t="s">
        <v>30</v>
      </c>
      <c r="F65" s="161"/>
      <c r="G65" s="161"/>
      <c r="H65" s="222" t="s">
        <v>4</v>
      </c>
      <c r="I65" s="156" t="s">
        <v>30</v>
      </c>
      <c r="J65" s="161"/>
      <c r="K65" s="203"/>
      <c r="L65" s="156" t="s">
        <v>4</v>
      </c>
      <c r="M65" s="156" t="s">
        <v>30</v>
      </c>
    </row>
    <row r="66" spans="1:14" ht="15.75" x14ac:dyDescent="0.2">
      <c r="A66" s="14" t="s">
        <v>23</v>
      </c>
      <c r="B66" s="329"/>
      <c r="C66" s="329"/>
      <c r="D66" s="326"/>
      <c r="E66" s="11"/>
      <c r="F66" s="328"/>
      <c r="G66" s="328"/>
      <c r="H66" s="326"/>
      <c r="I66" s="24"/>
      <c r="J66" s="159"/>
      <c r="K66" s="292"/>
      <c r="L66" s="402"/>
      <c r="M66" s="11"/>
    </row>
    <row r="67" spans="1:14" x14ac:dyDescent="0.2">
      <c r="A67" s="393" t="s">
        <v>9</v>
      </c>
      <c r="B67" s="44"/>
      <c r="C67" s="145"/>
      <c r="D67" s="166"/>
      <c r="E67" s="23"/>
      <c r="F67" s="211"/>
      <c r="G67" s="145"/>
      <c r="H67" s="166"/>
      <c r="I67" s="23"/>
      <c r="J67" s="145"/>
      <c r="K67" s="44"/>
      <c r="L67" s="231"/>
      <c r="M67" s="27"/>
    </row>
    <row r="68" spans="1:14" x14ac:dyDescent="0.2">
      <c r="A68" s="21" t="s">
        <v>10</v>
      </c>
      <c r="B68" s="268"/>
      <c r="C68" s="269"/>
      <c r="D68" s="166"/>
      <c r="E68" s="23"/>
      <c r="F68" s="268"/>
      <c r="G68" s="269"/>
      <c r="H68" s="166"/>
      <c r="I68" s="23"/>
      <c r="J68" s="145"/>
      <c r="K68" s="44"/>
      <c r="L68" s="231"/>
      <c r="M68" s="27"/>
    </row>
    <row r="69" spans="1:14" ht="15.75" x14ac:dyDescent="0.2">
      <c r="A69" s="272" t="s">
        <v>356</v>
      </c>
      <c r="B69" s="295"/>
      <c r="C69" s="295"/>
      <c r="D69" s="166"/>
      <c r="E69" s="23"/>
      <c r="F69" s="295"/>
      <c r="G69" s="295"/>
      <c r="H69" s="166"/>
      <c r="I69" s="23"/>
      <c r="J69" s="295"/>
      <c r="K69" s="295"/>
      <c r="L69" s="166"/>
      <c r="M69" s="23"/>
    </row>
    <row r="70" spans="1:14" x14ac:dyDescent="0.2">
      <c r="A70" s="272" t="s">
        <v>12</v>
      </c>
      <c r="B70" s="270"/>
      <c r="C70" s="271"/>
      <c r="D70" s="166"/>
      <c r="E70" s="23"/>
      <c r="F70" s="270"/>
      <c r="G70" s="271"/>
      <c r="H70" s="166"/>
      <c r="I70" s="23"/>
      <c r="J70" s="270"/>
      <c r="K70" s="271"/>
      <c r="L70" s="166"/>
      <c r="M70" s="23"/>
    </row>
    <row r="71" spans="1:14" x14ac:dyDescent="0.2">
      <c r="A71" s="272" t="s">
        <v>13</v>
      </c>
      <c r="B71" s="212"/>
      <c r="C71" s="266"/>
      <c r="D71" s="166"/>
      <c r="E71" s="23"/>
      <c r="F71" s="212"/>
      <c r="G71" s="266"/>
      <c r="H71" s="166"/>
      <c r="I71" s="23"/>
      <c r="J71" s="212"/>
      <c r="K71" s="266"/>
      <c r="L71" s="166"/>
      <c r="M71" s="23"/>
    </row>
    <row r="72" spans="1:14" ht="15.75" x14ac:dyDescent="0.2">
      <c r="A72" s="272" t="s">
        <v>357</v>
      </c>
      <c r="B72" s="295"/>
      <c r="C72" s="295"/>
      <c r="D72" s="166"/>
      <c r="E72" s="23"/>
      <c r="F72" s="295"/>
      <c r="G72" s="295"/>
      <c r="H72" s="166"/>
      <c r="I72" s="23"/>
      <c r="J72" s="295"/>
      <c r="K72" s="295"/>
      <c r="L72" s="166"/>
      <c r="M72" s="23"/>
    </row>
    <row r="73" spans="1:14" x14ac:dyDescent="0.2">
      <c r="A73" s="272" t="s">
        <v>12</v>
      </c>
      <c r="B73" s="212"/>
      <c r="C73" s="266"/>
      <c r="D73" s="166"/>
      <c r="E73" s="23"/>
      <c r="F73" s="212"/>
      <c r="G73" s="266"/>
      <c r="H73" s="166"/>
      <c r="I73" s="23"/>
      <c r="J73" s="212"/>
      <c r="K73" s="266"/>
      <c r="L73" s="166"/>
      <c r="M73" s="23"/>
    </row>
    <row r="74" spans="1:14" s="3" customFormat="1" x14ac:dyDescent="0.2">
      <c r="A74" s="272" t="s">
        <v>13</v>
      </c>
      <c r="B74" s="212"/>
      <c r="C74" s="266"/>
      <c r="D74" s="166"/>
      <c r="E74" s="23"/>
      <c r="F74" s="212"/>
      <c r="G74" s="266"/>
      <c r="H74" s="166"/>
      <c r="I74" s="23"/>
      <c r="J74" s="212"/>
      <c r="K74" s="266"/>
      <c r="L74" s="166"/>
      <c r="M74" s="23"/>
      <c r="N74" s="148"/>
    </row>
    <row r="75" spans="1:14" s="3" customFormat="1" x14ac:dyDescent="0.2">
      <c r="A75" s="21" t="s">
        <v>326</v>
      </c>
      <c r="B75" s="211"/>
      <c r="C75" s="145"/>
      <c r="D75" s="166"/>
      <c r="E75" s="23"/>
      <c r="F75" s="211"/>
      <c r="G75" s="145"/>
      <c r="H75" s="166"/>
      <c r="I75" s="23"/>
      <c r="J75" s="145"/>
      <c r="K75" s="44"/>
      <c r="L75" s="231"/>
      <c r="M75" s="27"/>
      <c r="N75" s="148"/>
    </row>
    <row r="76" spans="1:14" s="3" customFormat="1" x14ac:dyDescent="0.2">
      <c r="A76" s="21" t="s">
        <v>325</v>
      </c>
      <c r="B76" s="211"/>
      <c r="C76" s="145"/>
      <c r="D76" s="166"/>
      <c r="E76" s="23"/>
      <c r="F76" s="211"/>
      <c r="G76" s="145"/>
      <c r="H76" s="166"/>
      <c r="I76" s="23"/>
      <c r="J76" s="145"/>
      <c r="K76" s="44"/>
      <c r="L76" s="231"/>
      <c r="M76" s="27"/>
      <c r="N76" s="148"/>
    </row>
    <row r="77" spans="1:14" ht="15.75" x14ac:dyDescent="0.2">
      <c r="A77" s="21" t="s">
        <v>358</v>
      </c>
      <c r="B77" s="211"/>
      <c r="C77" s="211"/>
      <c r="D77" s="166"/>
      <c r="E77" s="23"/>
      <c r="F77" s="211"/>
      <c r="G77" s="145"/>
      <c r="H77" s="166"/>
      <c r="I77" s="23"/>
      <c r="J77" s="145"/>
      <c r="K77" s="44"/>
      <c r="L77" s="231"/>
      <c r="M77" s="27"/>
    </row>
    <row r="78" spans="1:14" x14ac:dyDescent="0.2">
      <c r="A78" s="21" t="s">
        <v>9</v>
      </c>
      <c r="B78" s="211"/>
      <c r="C78" s="145"/>
      <c r="D78" s="166"/>
      <c r="E78" s="23"/>
      <c r="F78" s="211"/>
      <c r="G78" s="145"/>
      <c r="H78" s="166"/>
      <c r="I78" s="23"/>
      <c r="J78" s="145"/>
      <c r="K78" s="44"/>
      <c r="L78" s="231"/>
      <c r="M78" s="27"/>
    </row>
    <row r="79" spans="1:14" x14ac:dyDescent="0.2">
      <c r="A79" s="38" t="s">
        <v>398</v>
      </c>
      <c r="B79" s="268"/>
      <c r="C79" s="269"/>
      <c r="D79" s="166"/>
      <c r="E79" s="23"/>
      <c r="F79" s="268"/>
      <c r="G79" s="269"/>
      <c r="H79" s="166"/>
      <c r="I79" s="23"/>
      <c r="J79" s="145"/>
      <c r="K79" s="44"/>
      <c r="L79" s="231"/>
      <c r="M79" s="27"/>
    </row>
    <row r="80" spans="1:14" ht="15.75" x14ac:dyDescent="0.2">
      <c r="A80" s="272" t="s">
        <v>356</v>
      </c>
      <c r="B80" s="295"/>
      <c r="C80" s="295"/>
      <c r="D80" s="166"/>
      <c r="E80" s="23"/>
      <c r="F80" s="295"/>
      <c r="G80" s="295"/>
      <c r="H80" s="166"/>
      <c r="I80" s="23"/>
      <c r="J80" s="295"/>
      <c r="K80" s="295"/>
      <c r="L80" s="166"/>
      <c r="M80" s="23"/>
    </row>
    <row r="81" spans="1:13" x14ac:dyDescent="0.2">
      <c r="A81" s="272" t="s">
        <v>12</v>
      </c>
      <c r="B81" s="295"/>
      <c r="C81" s="295"/>
      <c r="D81" s="166"/>
      <c r="E81" s="23"/>
      <c r="F81" s="270"/>
      <c r="G81" s="271"/>
      <c r="H81" s="166"/>
      <c r="I81" s="23"/>
      <c r="J81" s="270"/>
      <c r="K81" s="271"/>
      <c r="L81" s="166"/>
      <c r="M81" s="23"/>
    </row>
    <row r="82" spans="1:13" x14ac:dyDescent="0.2">
      <c r="A82" s="272" t="s">
        <v>13</v>
      </c>
      <c r="B82" s="295"/>
      <c r="C82" s="295"/>
      <c r="D82" s="166"/>
      <c r="E82" s="23"/>
      <c r="F82" s="212"/>
      <c r="G82" s="266"/>
      <c r="H82" s="166"/>
      <c r="I82" s="23"/>
      <c r="J82" s="212"/>
      <c r="K82" s="266"/>
      <c r="L82" s="166"/>
      <c r="M82" s="23"/>
    </row>
    <row r="83" spans="1:13" ht="15.75" x14ac:dyDescent="0.2">
      <c r="A83" s="272" t="s">
        <v>357</v>
      </c>
      <c r="B83" s="295"/>
      <c r="C83" s="295"/>
      <c r="D83" s="166"/>
      <c r="E83" s="23"/>
      <c r="F83" s="295"/>
      <c r="G83" s="295"/>
      <c r="H83" s="166"/>
      <c r="I83" s="23"/>
      <c r="J83" s="295"/>
      <c r="K83" s="295"/>
      <c r="L83" s="166"/>
      <c r="M83" s="23"/>
    </row>
    <row r="84" spans="1:13" x14ac:dyDescent="0.2">
      <c r="A84" s="272" t="s">
        <v>12</v>
      </c>
      <c r="B84" s="212"/>
      <c r="C84" s="266"/>
      <c r="D84" s="166"/>
      <c r="E84" s="23"/>
      <c r="F84" s="212"/>
      <c r="G84" s="266"/>
      <c r="H84" s="166"/>
      <c r="I84" s="23"/>
      <c r="J84" s="212"/>
      <c r="K84" s="266"/>
      <c r="L84" s="166"/>
      <c r="M84" s="23"/>
    </row>
    <row r="85" spans="1:13" x14ac:dyDescent="0.2">
      <c r="A85" s="272" t="s">
        <v>13</v>
      </c>
      <c r="B85" s="212"/>
      <c r="C85" s="266"/>
      <c r="D85" s="166"/>
      <c r="E85" s="23"/>
      <c r="F85" s="212"/>
      <c r="G85" s="266"/>
      <c r="H85" s="166"/>
      <c r="I85" s="23"/>
      <c r="J85" s="212"/>
      <c r="K85" s="266"/>
      <c r="L85" s="166"/>
      <c r="M85" s="23"/>
    </row>
    <row r="86" spans="1:13" ht="15.75" x14ac:dyDescent="0.2">
      <c r="A86" s="21" t="s">
        <v>359</v>
      </c>
      <c r="B86" s="211"/>
      <c r="C86" s="145"/>
      <c r="D86" s="166"/>
      <c r="E86" s="23"/>
      <c r="F86" s="211"/>
      <c r="G86" s="145"/>
      <c r="H86" s="166"/>
      <c r="I86" s="23"/>
      <c r="J86" s="145"/>
      <c r="K86" s="44"/>
      <c r="L86" s="231"/>
      <c r="M86" s="27"/>
    </row>
    <row r="87" spans="1:13" ht="15.75" x14ac:dyDescent="0.2">
      <c r="A87" s="13" t="s">
        <v>341</v>
      </c>
      <c r="B87" s="329"/>
      <c r="C87" s="329"/>
      <c r="D87" s="171"/>
      <c r="E87" s="24"/>
      <c r="F87" s="328"/>
      <c r="G87" s="328"/>
      <c r="H87" s="171"/>
      <c r="I87" s="24"/>
      <c r="J87" s="159"/>
      <c r="K87" s="213"/>
      <c r="L87" s="402"/>
      <c r="M87" s="11"/>
    </row>
    <row r="88" spans="1:13" x14ac:dyDescent="0.2">
      <c r="A88" s="21" t="s">
        <v>9</v>
      </c>
      <c r="B88" s="211"/>
      <c r="C88" s="145"/>
      <c r="D88" s="166"/>
      <c r="E88" s="23"/>
      <c r="F88" s="211"/>
      <c r="G88" s="145"/>
      <c r="H88" s="166"/>
      <c r="I88" s="23"/>
      <c r="J88" s="145"/>
      <c r="K88" s="44"/>
      <c r="L88" s="231"/>
      <c r="M88" s="27"/>
    </row>
    <row r="89" spans="1:13" x14ac:dyDescent="0.2">
      <c r="A89" s="21" t="s">
        <v>10</v>
      </c>
      <c r="B89" s="211"/>
      <c r="C89" s="145"/>
      <c r="D89" s="166"/>
      <c r="E89" s="23"/>
      <c r="F89" s="211"/>
      <c r="G89" s="145"/>
      <c r="H89" s="166"/>
      <c r="I89" s="23"/>
      <c r="J89" s="145"/>
      <c r="K89" s="44"/>
      <c r="L89" s="231"/>
      <c r="M89" s="27"/>
    </row>
    <row r="90" spans="1:13" ht="15.75" x14ac:dyDescent="0.2">
      <c r="A90" s="272" t="s">
        <v>356</v>
      </c>
      <c r="B90" s="295"/>
      <c r="C90" s="295"/>
      <c r="D90" s="166"/>
      <c r="E90" s="23"/>
      <c r="F90" s="295"/>
      <c r="G90" s="295"/>
      <c r="H90" s="166"/>
      <c r="I90" s="23"/>
      <c r="J90" s="295"/>
      <c r="K90" s="295"/>
      <c r="L90" s="166"/>
      <c r="M90" s="23"/>
    </row>
    <row r="91" spans="1:13" x14ac:dyDescent="0.2">
      <c r="A91" s="272" t="s">
        <v>12</v>
      </c>
      <c r="B91" s="295"/>
      <c r="C91" s="295"/>
      <c r="D91" s="166"/>
      <c r="E91" s="23"/>
      <c r="F91" s="270"/>
      <c r="G91" s="271"/>
      <c r="H91" s="166"/>
      <c r="I91" s="23"/>
      <c r="J91" s="270"/>
      <c r="K91" s="271"/>
      <c r="L91" s="166"/>
      <c r="M91" s="23"/>
    </row>
    <row r="92" spans="1:13" x14ac:dyDescent="0.2">
      <c r="A92" s="272" t="s">
        <v>13</v>
      </c>
      <c r="B92" s="295"/>
      <c r="C92" s="295"/>
      <c r="D92" s="166"/>
      <c r="E92" s="23"/>
      <c r="F92" s="212"/>
      <c r="G92" s="266"/>
      <c r="H92" s="166"/>
      <c r="I92" s="23"/>
      <c r="J92" s="212"/>
      <c r="K92" s="266"/>
      <c r="L92" s="166"/>
      <c r="M92" s="23"/>
    </row>
    <row r="93" spans="1:13" ht="15.75" x14ac:dyDescent="0.2">
      <c r="A93" s="272" t="s">
        <v>357</v>
      </c>
      <c r="B93" s="295"/>
      <c r="C93" s="295"/>
      <c r="D93" s="166"/>
      <c r="E93" s="23"/>
      <c r="F93" s="295"/>
      <c r="G93" s="295"/>
      <c r="H93" s="166"/>
      <c r="I93" s="23"/>
      <c r="J93" s="295"/>
      <c r="K93" s="295"/>
      <c r="L93" s="166"/>
      <c r="M93" s="23"/>
    </row>
    <row r="94" spans="1:13" x14ac:dyDescent="0.2">
      <c r="A94" s="272" t="s">
        <v>12</v>
      </c>
      <c r="B94" s="212"/>
      <c r="C94" s="266"/>
      <c r="D94" s="166"/>
      <c r="E94" s="23"/>
      <c r="F94" s="212"/>
      <c r="G94" s="266"/>
      <c r="H94" s="166"/>
      <c r="I94" s="23"/>
      <c r="J94" s="212"/>
      <c r="K94" s="266"/>
      <c r="L94" s="166"/>
      <c r="M94" s="23"/>
    </row>
    <row r="95" spans="1:13" x14ac:dyDescent="0.2">
      <c r="A95" s="272" t="s">
        <v>13</v>
      </c>
      <c r="B95" s="212"/>
      <c r="C95" s="266"/>
      <c r="D95" s="166"/>
      <c r="E95" s="23"/>
      <c r="F95" s="212"/>
      <c r="G95" s="266"/>
      <c r="H95" s="166"/>
      <c r="I95" s="23"/>
      <c r="J95" s="212"/>
      <c r="K95" s="266"/>
      <c r="L95" s="166"/>
      <c r="M95" s="23"/>
    </row>
    <row r="96" spans="1:13" x14ac:dyDescent="0.2">
      <c r="A96" s="21" t="s">
        <v>324</v>
      </c>
      <c r="B96" s="211"/>
      <c r="C96" s="145"/>
      <c r="D96" s="166"/>
      <c r="E96" s="23"/>
      <c r="F96" s="211"/>
      <c r="G96" s="145"/>
      <c r="H96" s="166"/>
      <c r="I96" s="23"/>
      <c r="J96" s="145"/>
      <c r="K96" s="44"/>
      <c r="L96" s="231"/>
      <c r="M96" s="27"/>
    </row>
    <row r="97" spans="1:13" x14ac:dyDescent="0.2">
      <c r="A97" s="21" t="s">
        <v>323</v>
      </c>
      <c r="B97" s="211"/>
      <c r="C97" s="145"/>
      <c r="D97" s="166"/>
      <c r="E97" s="23"/>
      <c r="F97" s="211"/>
      <c r="G97" s="145"/>
      <c r="H97" s="166"/>
      <c r="I97" s="23"/>
      <c r="J97" s="145"/>
      <c r="K97" s="44"/>
      <c r="L97" s="231"/>
      <c r="M97" s="27"/>
    </row>
    <row r="98" spans="1:13" ht="15.75" x14ac:dyDescent="0.2">
      <c r="A98" s="21" t="s">
        <v>358</v>
      </c>
      <c r="B98" s="211"/>
      <c r="C98" s="211"/>
      <c r="D98" s="166"/>
      <c r="E98" s="23"/>
      <c r="F98" s="268"/>
      <c r="G98" s="268"/>
      <c r="H98" s="166"/>
      <c r="I98" s="23"/>
      <c r="J98" s="145"/>
      <c r="K98" s="44"/>
      <c r="L98" s="231"/>
      <c r="M98" s="27"/>
    </row>
    <row r="99" spans="1:13" x14ac:dyDescent="0.2">
      <c r="A99" s="21" t="s">
        <v>9</v>
      </c>
      <c r="B99" s="268"/>
      <c r="C99" s="269"/>
      <c r="D99" s="166"/>
      <c r="E99" s="23"/>
      <c r="F99" s="211"/>
      <c r="G99" s="145"/>
      <c r="H99" s="166"/>
      <c r="I99" s="23"/>
      <c r="J99" s="145"/>
      <c r="K99" s="44"/>
      <c r="L99" s="231"/>
      <c r="M99" s="27"/>
    </row>
    <row r="100" spans="1:13" ht="15.75" x14ac:dyDescent="0.2">
      <c r="A100" s="38" t="s">
        <v>399</v>
      </c>
      <c r="B100" s="268"/>
      <c r="C100" s="269"/>
      <c r="D100" s="166"/>
      <c r="E100" s="23"/>
      <c r="F100" s="211"/>
      <c r="G100" s="211"/>
      <c r="H100" s="166"/>
      <c r="I100" s="23"/>
      <c r="J100" s="145"/>
      <c r="K100" s="44"/>
      <c r="L100" s="231"/>
      <c r="M100" s="27"/>
    </row>
    <row r="101" spans="1:13" ht="15.75" x14ac:dyDescent="0.2">
      <c r="A101" s="38" t="s">
        <v>400</v>
      </c>
      <c r="B101" s="268"/>
      <c r="C101" s="268"/>
      <c r="D101" s="166"/>
      <c r="E101" s="23"/>
      <c r="F101" s="268"/>
      <c r="G101" s="268"/>
      <c r="H101" s="166"/>
      <c r="I101" s="23"/>
      <c r="J101" s="145"/>
      <c r="K101" s="44"/>
      <c r="L101" s="231"/>
      <c r="M101" s="27"/>
    </row>
    <row r="102" spans="1:13" ht="15.75" x14ac:dyDescent="0.2">
      <c r="A102" s="272" t="s">
        <v>356</v>
      </c>
      <c r="B102" s="295"/>
      <c r="C102" s="295"/>
      <c r="D102" s="166"/>
      <c r="E102" s="23"/>
      <c r="F102" s="295"/>
      <c r="G102" s="295"/>
      <c r="H102" s="166"/>
      <c r="I102" s="23"/>
      <c r="J102" s="295"/>
      <c r="K102" s="295"/>
      <c r="L102" s="166"/>
      <c r="M102" s="23"/>
    </row>
    <row r="103" spans="1:13" x14ac:dyDescent="0.2">
      <c r="A103" s="272" t="s">
        <v>12</v>
      </c>
      <c r="B103" s="295"/>
      <c r="C103" s="295"/>
      <c r="D103" s="166"/>
      <c r="E103" s="23"/>
      <c r="F103" s="270"/>
      <c r="G103" s="271"/>
      <c r="H103" s="166"/>
      <c r="I103" s="23"/>
      <c r="J103" s="270"/>
      <c r="K103" s="271"/>
      <c r="L103" s="166"/>
      <c r="M103" s="23"/>
    </row>
    <row r="104" spans="1:13" x14ac:dyDescent="0.2">
      <c r="A104" s="272" t="s">
        <v>13</v>
      </c>
      <c r="B104" s="295"/>
      <c r="C104" s="295"/>
      <c r="D104" s="166"/>
      <c r="E104" s="23"/>
      <c r="F104" s="212"/>
      <c r="G104" s="266"/>
      <c r="H104" s="166"/>
      <c r="I104" s="23"/>
      <c r="J104" s="212"/>
      <c r="K104" s="266"/>
      <c r="L104" s="166"/>
      <c r="M104" s="23"/>
    </row>
    <row r="105" spans="1:13" ht="15.75" x14ac:dyDescent="0.2">
      <c r="A105" s="272" t="s">
        <v>357</v>
      </c>
      <c r="B105" s="295"/>
      <c r="C105" s="295"/>
      <c r="D105" s="166"/>
      <c r="E105" s="23"/>
      <c r="F105" s="295"/>
      <c r="G105" s="295"/>
      <c r="H105" s="166"/>
      <c r="I105" s="23"/>
      <c r="J105" s="295"/>
      <c r="K105" s="295"/>
      <c r="L105" s="166"/>
      <c r="M105" s="23"/>
    </row>
    <row r="106" spans="1:13" x14ac:dyDescent="0.2">
      <c r="A106" s="272" t="s">
        <v>12</v>
      </c>
      <c r="B106" s="212"/>
      <c r="C106" s="266"/>
      <c r="D106" s="166"/>
      <c r="E106" s="23"/>
      <c r="F106" s="212"/>
      <c r="G106" s="266"/>
      <c r="H106" s="166"/>
      <c r="I106" s="23"/>
      <c r="J106" s="212"/>
      <c r="K106" s="266"/>
      <c r="L106" s="166"/>
      <c r="M106" s="23"/>
    </row>
    <row r="107" spans="1:13" x14ac:dyDescent="0.2">
      <c r="A107" s="272" t="s">
        <v>13</v>
      </c>
      <c r="B107" s="212"/>
      <c r="C107" s="266"/>
      <c r="D107" s="166"/>
      <c r="E107" s="23"/>
      <c r="F107" s="212"/>
      <c r="G107" s="266"/>
      <c r="H107" s="166"/>
      <c r="I107" s="23"/>
      <c r="J107" s="212"/>
      <c r="K107" s="266"/>
      <c r="L107" s="166"/>
      <c r="M107" s="23"/>
    </row>
    <row r="108" spans="1:13" ht="15.75" x14ac:dyDescent="0.2">
      <c r="A108" s="21" t="s">
        <v>359</v>
      </c>
      <c r="B108" s="211"/>
      <c r="C108" s="145"/>
      <c r="D108" s="166"/>
      <c r="E108" s="23"/>
      <c r="F108" s="211"/>
      <c r="G108" s="145"/>
      <c r="H108" s="166"/>
      <c r="I108" s="23"/>
      <c r="J108" s="145"/>
      <c r="K108" s="44"/>
      <c r="L108" s="231"/>
      <c r="M108" s="27"/>
    </row>
    <row r="109" spans="1:13" ht="15.75" x14ac:dyDescent="0.2">
      <c r="A109" s="21" t="s">
        <v>360</v>
      </c>
      <c r="B109" s="211"/>
      <c r="C109" s="211"/>
      <c r="D109" s="166"/>
      <c r="E109" s="23"/>
      <c r="F109" s="211"/>
      <c r="G109" s="211"/>
      <c r="H109" s="166"/>
      <c r="I109" s="23"/>
      <c r="J109" s="145"/>
      <c r="K109" s="44"/>
      <c r="L109" s="231"/>
      <c r="M109" s="27"/>
    </row>
    <row r="110" spans="1:13" ht="15.75" x14ac:dyDescent="0.2">
      <c r="A110" s="38" t="s">
        <v>416</v>
      </c>
      <c r="B110" s="211"/>
      <c r="C110" s="211"/>
      <c r="D110" s="166"/>
      <c r="E110" s="23"/>
      <c r="F110" s="211"/>
      <c r="G110" s="211"/>
      <c r="H110" s="166"/>
      <c r="I110" s="23"/>
      <c r="J110" s="145"/>
      <c r="K110" s="44"/>
      <c r="L110" s="231"/>
      <c r="M110" s="27"/>
    </row>
    <row r="111" spans="1:13" ht="15.75" x14ac:dyDescent="0.2">
      <c r="A111" s="21" t="s">
        <v>362</v>
      </c>
      <c r="B111" s="211"/>
      <c r="C111" s="211"/>
      <c r="D111" s="166"/>
      <c r="E111" s="23"/>
      <c r="F111" s="211"/>
      <c r="G111" s="211"/>
      <c r="H111" s="166"/>
      <c r="I111" s="23"/>
      <c r="J111" s="145"/>
      <c r="K111" s="44"/>
      <c r="L111" s="231"/>
      <c r="M111" s="27"/>
    </row>
    <row r="112" spans="1:13" ht="15.75" x14ac:dyDescent="0.2">
      <c r="A112" s="13" t="s">
        <v>342</v>
      </c>
      <c r="B112" s="284"/>
      <c r="C112" s="159"/>
      <c r="D112" s="171"/>
      <c r="E112" s="24"/>
      <c r="F112" s="284"/>
      <c r="G112" s="159"/>
      <c r="H112" s="171"/>
      <c r="I112" s="24"/>
      <c r="J112" s="159"/>
      <c r="K112" s="213"/>
      <c r="L112" s="402"/>
      <c r="M112" s="11"/>
    </row>
    <row r="113" spans="1:14" x14ac:dyDescent="0.2">
      <c r="A113" s="21" t="s">
        <v>9</v>
      </c>
      <c r="B113" s="211"/>
      <c r="C113" s="145"/>
      <c r="D113" s="166"/>
      <c r="E113" s="23"/>
      <c r="F113" s="211"/>
      <c r="G113" s="145"/>
      <c r="H113" s="166"/>
      <c r="I113" s="23"/>
      <c r="J113" s="145"/>
      <c r="K113" s="44"/>
      <c r="L113" s="231"/>
      <c r="M113" s="27"/>
    </row>
    <row r="114" spans="1:14" x14ac:dyDescent="0.2">
      <c r="A114" s="21" t="s">
        <v>10</v>
      </c>
      <c r="B114" s="211"/>
      <c r="C114" s="145"/>
      <c r="D114" s="166"/>
      <c r="E114" s="23"/>
      <c r="F114" s="211"/>
      <c r="G114" s="145"/>
      <c r="H114" s="166"/>
      <c r="I114" s="23"/>
      <c r="J114" s="145"/>
      <c r="K114" s="44"/>
      <c r="L114" s="231"/>
      <c r="M114" s="27"/>
    </row>
    <row r="115" spans="1:14" x14ac:dyDescent="0.2">
      <c r="A115" s="21" t="s">
        <v>26</v>
      </c>
      <c r="B115" s="211"/>
      <c r="C115" s="145"/>
      <c r="D115" s="166"/>
      <c r="E115" s="23"/>
      <c r="F115" s="211"/>
      <c r="G115" s="145"/>
      <c r="H115" s="166"/>
      <c r="I115" s="23"/>
      <c r="J115" s="145"/>
      <c r="K115" s="44"/>
      <c r="L115" s="231"/>
      <c r="M115" s="27"/>
    </row>
    <row r="116" spans="1:14" x14ac:dyDescent="0.2">
      <c r="A116" s="272" t="s">
        <v>15</v>
      </c>
      <c r="B116" s="258"/>
      <c r="C116" s="258"/>
      <c r="D116" s="166"/>
      <c r="E116" s="23"/>
      <c r="F116" s="665"/>
      <c r="G116" s="258"/>
      <c r="H116" s="166"/>
      <c r="I116" s="23"/>
      <c r="J116" s="667"/>
      <c r="K116" s="267"/>
      <c r="L116" s="166"/>
      <c r="M116" s="23"/>
    </row>
    <row r="117" spans="1:14" ht="15.75" x14ac:dyDescent="0.2">
      <c r="A117" s="21" t="s">
        <v>363</v>
      </c>
      <c r="B117" s="211"/>
      <c r="C117" s="211"/>
      <c r="D117" s="166"/>
      <c r="E117" s="23"/>
      <c r="F117" s="211"/>
      <c r="G117" s="211"/>
      <c r="H117" s="166"/>
      <c r="I117" s="23"/>
      <c r="J117" s="145"/>
      <c r="K117" s="44"/>
      <c r="L117" s="231"/>
      <c r="M117" s="27"/>
    </row>
    <row r="118" spans="1:14" ht="15.75" x14ac:dyDescent="0.2">
      <c r="A118" s="21" t="s">
        <v>364</v>
      </c>
      <c r="B118" s="211"/>
      <c r="C118" s="211"/>
      <c r="D118" s="166"/>
      <c r="E118" s="23"/>
      <c r="F118" s="211"/>
      <c r="G118" s="211"/>
      <c r="H118" s="166"/>
      <c r="I118" s="23"/>
      <c r="J118" s="145"/>
      <c r="K118" s="44"/>
      <c r="L118" s="231"/>
      <c r="M118" s="27"/>
    </row>
    <row r="119" spans="1:14" ht="15.75" x14ac:dyDescent="0.2">
      <c r="A119" s="21" t="s">
        <v>362</v>
      </c>
      <c r="B119" s="211"/>
      <c r="C119" s="211"/>
      <c r="D119" s="166"/>
      <c r="E119" s="23"/>
      <c r="F119" s="211"/>
      <c r="G119" s="211"/>
      <c r="H119" s="166"/>
      <c r="I119" s="23"/>
      <c r="J119" s="145"/>
      <c r="K119" s="44"/>
      <c r="L119" s="231"/>
      <c r="M119" s="27"/>
    </row>
    <row r="120" spans="1:14" ht="15.75" x14ac:dyDescent="0.2">
      <c r="A120" s="13" t="s">
        <v>343</v>
      </c>
      <c r="B120" s="284"/>
      <c r="C120" s="159"/>
      <c r="D120" s="171"/>
      <c r="E120" s="24"/>
      <c r="F120" s="284"/>
      <c r="G120" s="159"/>
      <c r="H120" s="171"/>
      <c r="I120" s="24"/>
      <c r="J120" s="159"/>
      <c r="K120" s="213"/>
      <c r="L120" s="402"/>
      <c r="M120" s="11"/>
    </row>
    <row r="121" spans="1:14" x14ac:dyDescent="0.2">
      <c r="A121" s="21" t="s">
        <v>9</v>
      </c>
      <c r="B121" s="211"/>
      <c r="C121" s="145"/>
      <c r="D121" s="166"/>
      <c r="E121" s="23"/>
      <c r="F121" s="211"/>
      <c r="G121" s="145"/>
      <c r="H121" s="166"/>
      <c r="I121" s="23"/>
      <c r="J121" s="145"/>
      <c r="K121" s="44"/>
      <c r="L121" s="231"/>
      <c r="M121" s="27"/>
    </row>
    <row r="122" spans="1:14" x14ac:dyDescent="0.2">
      <c r="A122" s="21" t="s">
        <v>10</v>
      </c>
      <c r="B122" s="211"/>
      <c r="C122" s="145"/>
      <c r="D122" s="166"/>
      <c r="E122" s="23"/>
      <c r="F122" s="211"/>
      <c r="G122" s="145"/>
      <c r="H122" s="166"/>
      <c r="I122" s="23"/>
      <c r="J122" s="145"/>
      <c r="K122" s="44"/>
      <c r="L122" s="231"/>
      <c r="M122" s="27"/>
    </row>
    <row r="123" spans="1:14" x14ac:dyDescent="0.2">
      <c r="A123" s="21" t="s">
        <v>26</v>
      </c>
      <c r="B123" s="211"/>
      <c r="C123" s="145"/>
      <c r="D123" s="166"/>
      <c r="E123" s="23"/>
      <c r="F123" s="211"/>
      <c r="G123" s="145"/>
      <c r="H123" s="166"/>
      <c r="I123" s="23"/>
      <c r="J123" s="145"/>
      <c r="K123" s="44"/>
      <c r="L123" s="231"/>
      <c r="M123" s="27"/>
    </row>
    <row r="124" spans="1:14" x14ac:dyDescent="0.2">
      <c r="A124" s="272" t="s">
        <v>14</v>
      </c>
      <c r="B124" s="258"/>
      <c r="C124" s="258"/>
      <c r="D124" s="166"/>
      <c r="E124" s="23"/>
      <c r="F124" s="665"/>
      <c r="G124" s="258"/>
      <c r="H124" s="166"/>
      <c r="I124" s="23"/>
      <c r="J124" s="667"/>
      <c r="K124" s="267"/>
      <c r="L124" s="166"/>
      <c r="M124" s="23"/>
    </row>
    <row r="125" spans="1:14" ht="15.75" x14ac:dyDescent="0.2">
      <c r="A125" s="21" t="s">
        <v>369</v>
      </c>
      <c r="B125" s="211"/>
      <c r="C125" s="211"/>
      <c r="D125" s="166"/>
      <c r="E125" s="23"/>
      <c r="F125" s="211"/>
      <c r="G125" s="211"/>
      <c r="H125" s="166"/>
      <c r="I125" s="23"/>
      <c r="J125" s="145"/>
      <c r="K125" s="44"/>
      <c r="L125" s="231"/>
      <c r="M125" s="27"/>
    </row>
    <row r="126" spans="1:14" ht="15.75" x14ac:dyDescent="0.2">
      <c r="A126" s="21" t="s">
        <v>361</v>
      </c>
      <c r="B126" s="211"/>
      <c r="C126" s="211"/>
      <c r="D126" s="166"/>
      <c r="E126" s="23"/>
      <c r="F126" s="211"/>
      <c r="G126" s="211"/>
      <c r="H126" s="166"/>
      <c r="I126" s="23"/>
      <c r="J126" s="145"/>
      <c r="K126" s="44"/>
      <c r="L126" s="231"/>
      <c r="M126" s="27"/>
    </row>
    <row r="127" spans="1:14" ht="15.75" x14ac:dyDescent="0.2">
      <c r="A127" s="10" t="s">
        <v>362</v>
      </c>
      <c r="B127" s="45"/>
      <c r="C127" s="45"/>
      <c r="D127" s="167"/>
      <c r="E127" s="22"/>
      <c r="F127" s="666"/>
      <c r="G127" s="45"/>
      <c r="H127" s="167"/>
      <c r="I127" s="22"/>
      <c r="J127" s="668"/>
      <c r="K127" s="45"/>
      <c r="L127" s="232"/>
      <c r="M127" s="22"/>
    </row>
    <row r="128" spans="1:14" x14ac:dyDescent="0.2">
      <c r="A128" s="155"/>
      <c r="L128" s="26"/>
      <c r="M128" s="26"/>
      <c r="N128" s="26"/>
    </row>
    <row r="129" spans="1:14" x14ac:dyDescent="0.2">
      <c r="L129" s="26"/>
      <c r="M129" s="26"/>
      <c r="N129" s="26"/>
    </row>
    <row r="130" spans="1:14" ht="15.75" x14ac:dyDescent="0.25">
      <c r="A130" s="165" t="s">
        <v>27</v>
      </c>
    </row>
    <row r="131" spans="1:14" ht="15.75" x14ac:dyDescent="0.25">
      <c r="B131" s="694"/>
      <c r="C131" s="694"/>
      <c r="D131" s="694"/>
      <c r="E131" s="275"/>
      <c r="F131" s="694"/>
      <c r="G131" s="694"/>
      <c r="H131" s="694"/>
      <c r="I131" s="275"/>
      <c r="J131" s="694"/>
      <c r="K131" s="694"/>
      <c r="L131" s="694"/>
      <c r="M131" s="275"/>
    </row>
    <row r="132" spans="1:14" s="3" customFormat="1" x14ac:dyDescent="0.2">
      <c r="A132" s="144"/>
      <c r="B132" s="695" t="s">
        <v>0</v>
      </c>
      <c r="C132" s="696"/>
      <c r="D132" s="696"/>
      <c r="E132" s="277"/>
      <c r="F132" s="695" t="s">
        <v>1</v>
      </c>
      <c r="G132" s="696"/>
      <c r="H132" s="696"/>
      <c r="I132" s="280"/>
      <c r="J132" s="695" t="s">
        <v>2</v>
      </c>
      <c r="K132" s="696"/>
      <c r="L132" s="696"/>
      <c r="M132" s="280"/>
      <c r="N132" s="148"/>
    </row>
    <row r="133" spans="1:14" s="3" customFormat="1" x14ac:dyDescent="0.2">
      <c r="A133" s="140"/>
      <c r="B133" s="152" t="s">
        <v>412</v>
      </c>
      <c r="C133" s="152" t="s">
        <v>413</v>
      </c>
      <c r="D133" s="222" t="s">
        <v>3</v>
      </c>
      <c r="E133" s="281" t="s">
        <v>29</v>
      </c>
      <c r="F133" s="152" t="s">
        <v>412</v>
      </c>
      <c r="G133" s="152" t="s">
        <v>413</v>
      </c>
      <c r="H133" s="203" t="s">
        <v>3</v>
      </c>
      <c r="I133" s="162" t="s">
        <v>29</v>
      </c>
      <c r="J133" s="152" t="s">
        <v>412</v>
      </c>
      <c r="K133" s="152" t="s">
        <v>413</v>
      </c>
      <c r="L133" s="223" t="s">
        <v>3</v>
      </c>
      <c r="M133" s="162" t="s">
        <v>29</v>
      </c>
      <c r="N133" s="148"/>
    </row>
    <row r="134" spans="1:14" s="3" customFormat="1" x14ac:dyDescent="0.2">
      <c r="A134" s="662"/>
      <c r="B134" s="156"/>
      <c r="C134" s="156"/>
      <c r="D134" s="223" t="s">
        <v>4</v>
      </c>
      <c r="E134" s="156" t="s">
        <v>30</v>
      </c>
      <c r="F134" s="161"/>
      <c r="G134" s="161"/>
      <c r="H134" s="203" t="s">
        <v>4</v>
      </c>
      <c r="I134" s="156" t="s">
        <v>30</v>
      </c>
      <c r="J134" s="156"/>
      <c r="K134" s="156"/>
      <c r="L134" s="150" t="s">
        <v>4</v>
      </c>
      <c r="M134" s="156" t="s">
        <v>30</v>
      </c>
      <c r="N134" s="148"/>
    </row>
    <row r="135" spans="1:14" s="3" customFormat="1" ht="15.75" x14ac:dyDescent="0.2">
      <c r="A135" s="14" t="s">
        <v>365</v>
      </c>
      <c r="B135" s="213"/>
      <c r="C135" s="285"/>
      <c r="D135" s="326"/>
      <c r="E135" s="11"/>
      <c r="F135" s="292"/>
      <c r="G135" s="293"/>
      <c r="H135" s="405"/>
      <c r="I135" s="24"/>
      <c r="J135" s="294"/>
      <c r="K135" s="294"/>
      <c r="L135" s="401"/>
      <c r="M135" s="11"/>
      <c r="N135" s="148"/>
    </row>
    <row r="136" spans="1:14" s="3" customFormat="1" ht="15.75" x14ac:dyDescent="0.2">
      <c r="A136" s="13" t="s">
        <v>370</v>
      </c>
      <c r="B136" s="213"/>
      <c r="C136" s="285"/>
      <c r="D136" s="171"/>
      <c r="E136" s="11"/>
      <c r="F136" s="213"/>
      <c r="G136" s="285"/>
      <c r="H136" s="406"/>
      <c r="I136" s="24"/>
      <c r="J136" s="284"/>
      <c r="K136" s="284"/>
      <c r="L136" s="402"/>
      <c r="M136" s="11"/>
      <c r="N136" s="148"/>
    </row>
    <row r="137" spans="1:14" s="3" customFormat="1" ht="15.75" x14ac:dyDescent="0.2">
      <c r="A137" s="13" t="s">
        <v>367</v>
      </c>
      <c r="B137" s="213"/>
      <c r="C137" s="285"/>
      <c r="D137" s="171"/>
      <c r="E137" s="11"/>
      <c r="F137" s="213"/>
      <c r="G137" s="285"/>
      <c r="H137" s="406"/>
      <c r="I137" s="24"/>
      <c r="J137" s="284"/>
      <c r="K137" s="284"/>
      <c r="L137" s="402"/>
      <c r="M137" s="11"/>
      <c r="N137" s="148"/>
    </row>
    <row r="138" spans="1:14" s="3" customFormat="1" ht="15.75" x14ac:dyDescent="0.2">
      <c r="A138" s="41" t="s">
        <v>368</v>
      </c>
      <c r="B138" s="253"/>
      <c r="C138" s="291"/>
      <c r="D138" s="169"/>
      <c r="E138" s="9"/>
      <c r="F138" s="253"/>
      <c r="G138" s="291"/>
      <c r="H138" s="407"/>
      <c r="I138" s="36"/>
      <c r="J138" s="290"/>
      <c r="K138" s="290"/>
      <c r="L138" s="403"/>
      <c r="M138" s="36"/>
      <c r="N138" s="148"/>
    </row>
    <row r="139" spans="1:14" s="3" customFormat="1"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68"/>
      <c r="B141" s="33"/>
      <c r="C141" s="33"/>
      <c r="D141" s="159"/>
      <c r="E141" s="159"/>
      <c r="F141" s="33"/>
      <c r="G141" s="33"/>
      <c r="H141" s="159"/>
      <c r="I141" s="159"/>
      <c r="J141" s="33"/>
      <c r="K141" s="33"/>
      <c r="L141" s="159"/>
      <c r="M141" s="159"/>
      <c r="N141" s="148"/>
    </row>
    <row r="142" spans="1:14" x14ac:dyDescent="0.2">
      <c r="A142" s="146"/>
      <c r="B142" s="146"/>
      <c r="C142" s="146"/>
      <c r="D142" s="146"/>
      <c r="E142" s="146"/>
      <c r="F142" s="146"/>
      <c r="G142" s="146"/>
      <c r="H142" s="146"/>
      <c r="I142" s="146"/>
      <c r="J142" s="146"/>
      <c r="K142" s="146"/>
      <c r="L142" s="146"/>
      <c r="M142" s="146"/>
      <c r="N142" s="146"/>
    </row>
    <row r="143" spans="1:14" ht="15.75" x14ac:dyDescent="0.25">
      <c r="B143" s="142"/>
      <c r="C143" s="142"/>
      <c r="D143" s="142"/>
      <c r="E143" s="142"/>
      <c r="F143" s="142"/>
      <c r="G143" s="142"/>
      <c r="H143" s="142"/>
      <c r="I143" s="142"/>
      <c r="J143" s="142"/>
      <c r="K143" s="142"/>
      <c r="L143" s="142"/>
      <c r="M143" s="142"/>
      <c r="N143" s="142"/>
    </row>
    <row r="144" spans="1:14" ht="15.75" x14ac:dyDescent="0.25">
      <c r="B144" s="157"/>
      <c r="C144" s="157"/>
      <c r="D144" s="157"/>
      <c r="E144" s="157"/>
      <c r="F144" s="157"/>
      <c r="G144" s="157"/>
      <c r="H144" s="157"/>
      <c r="I144" s="157"/>
      <c r="J144" s="157"/>
      <c r="K144" s="157"/>
      <c r="L144" s="157"/>
      <c r="M144" s="157"/>
      <c r="N144" s="157"/>
    </row>
    <row r="145" spans="2:14" ht="15.75" x14ac:dyDescent="0.25">
      <c r="B145" s="157"/>
      <c r="C145" s="157"/>
      <c r="D145" s="157"/>
      <c r="E145" s="157"/>
      <c r="F145" s="157"/>
      <c r="G145" s="157"/>
      <c r="H145" s="157"/>
      <c r="I145" s="157"/>
      <c r="J145" s="157"/>
      <c r="K145" s="157"/>
      <c r="L145" s="157"/>
      <c r="M145" s="157"/>
      <c r="N145" s="157"/>
    </row>
  </sheetData>
  <mergeCells count="31">
    <mergeCell ref="B132:D132"/>
    <mergeCell ref="F132:H132"/>
    <mergeCell ref="J132:L132"/>
    <mergeCell ref="B63:D63"/>
    <mergeCell ref="F63:H63"/>
    <mergeCell ref="J63:L63"/>
    <mergeCell ref="B131:D131"/>
    <mergeCell ref="F131:H131"/>
    <mergeCell ref="J131:L131"/>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6">
    <cfRule type="expression" dxfId="472" priority="76">
      <formula>kvartal &lt; 4</formula>
    </cfRule>
  </conditionalFormatting>
  <conditionalFormatting sqref="C116">
    <cfRule type="expression" dxfId="471" priority="75">
      <formula>kvartal &lt; 4</formula>
    </cfRule>
  </conditionalFormatting>
  <conditionalFormatting sqref="B124">
    <cfRule type="expression" dxfId="470" priority="74">
      <formula>kvartal &lt; 4</formula>
    </cfRule>
  </conditionalFormatting>
  <conditionalFormatting sqref="C124">
    <cfRule type="expression" dxfId="469" priority="73">
      <formula>kvartal &lt; 4</formula>
    </cfRule>
  </conditionalFormatting>
  <conditionalFormatting sqref="F116">
    <cfRule type="expression" dxfId="468" priority="58">
      <formula>kvartal &lt; 4</formula>
    </cfRule>
  </conditionalFormatting>
  <conditionalFormatting sqref="G116">
    <cfRule type="expression" dxfId="467" priority="57">
      <formula>kvartal &lt; 4</formula>
    </cfRule>
  </conditionalFormatting>
  <conditionalFormatting sqref="F124:G124">
    <cfRule type="expression" dxfId="466" priority="56">
      <formula>kvartal &lt; 4</formula>
    </cfRule>
  </conditionalFormatting>
  <conditionalFormatting sqref="J116:K116">
    <cfRule type="expression" dxfId="465" priority="32">
      <formula>kvartal &lt; 4</formula>
    </cfRule>
  </conditionalFormatting>
  <conditionalFormatting sqref="J124:K124">
    <cfRule type="expression" dxfId="464" priority="31">
      <formula>kvartal &lt; 4</formula>
    </cfRule>
  </conditionalFormatting>
  <conditionalFormatting sqref="A50:A52">
    <cfRule type="expression" dxfId="463" priority="12">
      <formula>kvartal &lt; 4</formula>
    </cfRule>
  </conditionalFormatting>
  <conditionalFormatting sqref="A69:A74">
    <cfRule type="expression" dxfId="462" priority="10">
      <formula>kvartal &lt; 4</formula>
    </cfRule>
  </conditionalFormatting>
  <conditionalFormatting sqref="A80:A85">
    <cfRule type="expression" dxfId="461" priority="9">
      <formula>kvartal &lt; 4</formula>
    </cfRule>
  </conditionalFormatting>
  <conditionalFormatting sqref="A90:A95">
    <cfRule type="expression" dxfId="460" priority="6">
      <formula>kvartal &lt; 4</formula>
    </cfRule>
  </conditionalFormatting>
  <conditionalFormatting sqref="A102:A107">
    <cfRule type="expression" dxfId="459" priority="5">
      <formula>kvartal &lt; 4</formula>
    </cfRule>
  </conditionalFormatting>
  <conditionalFormatting sqref="A116">
    <cfRule type="expression" dxfId="458" priority="4">
      <formula>kvartal &lt; 4</formula>
    </cfRule>
  </conditionalFormatting>
  <conditionalFormatting sqref="A124">
    <cfRule type="expression" dxfId="457" priority="3">
      <formula>kvartal &lt; 4</formula>
    </cfRule>
  </conditionalFormatting>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24"/>
  <dimension ref="A1:N145"/>
  <sheetViews>
    <sheetView showGridLines="0" zoomScaleNormal="100" workbookViewId="0">
      <selection activeCell="A111" sqref="A111"/>
    </sheetView>
  </sheetViews>
  <sheetFormatPr baseColWidth="10" defaultColWidth="11.42578125" defaultRowHeight="12.75" x14ac:dyDescent="0.2"/>
  <cols>
    <col min="1" max="1" width="41.57031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134</v>
      </c>
      <c r="B1" s="663"/>
      <c r="C1" s="544" t="s">
        <v>383</v>
      </c>
      <c r="D1" s="26"/>
      <c r="E1" s="26"/>
      <c r="F1" s="26"/>
      <c r="G1" s="26"/>
      <c r="H1" s="26"/>
      <c r="I1" s="26"/>
      <c r="J1" s="26"/>
      <c r="K1" s="26"/>
      <c r="L1" s="26"/>
      <c r="M1" s="26"/>
    </row>
    <row r="2" spans="1:14" ht="15.75" x14ac:dyDescent="0.25">
      <c r="A2" s="165" t="s">
        <v>28</v>
      </c>
      <c r="B2" s="699"/>
      <c r="C2" s="699"/>
      <c r="D2" s="699"/>
      <c r="E2" s="275"/>
      <c r="F2" s="699"/>
      <c r="G2" s="699"/>
      <c r="H2" s="699"/>
      <c r="I2" s="275"/>
      <c r="J2" s="699"/>
      <c r="K2" s="699"/>
      <c r="L2" s="699"/>
      <c r="M2" s="275"/>
    </row>
    <row r="3" spans="1:14" ht="15.75" x14ac:dyDescent="0.25">
      <c r="A3" s="574"/>
      <c r="B3" s="567"/>
      <c r="C3" s="575"/>
      <c r="D3" s="567"/>
      <c r="E3" s="567"/>
      <c r="F3" s="275"/>
      <c r="G3" s="275"/>
      <c r="H3" s="275"/>
      <c r="I3" s="275"/>
      <c r="J3" s="275"/>
      <c r="K3" s="275"/>
      <c r="L3" s="275"/>
      <c r="M3" s="275"/>
    </row>
    <row r="4" spans="1:14" x14ac:dyDescent="0.2">
      <c r="A4" s="144"/>
      <c r="B4" s="695" t="s">
        <v>0</v>
      </c>
      <c r="C4" s="696"/>
      <c r="D4" s="696"/>
      <c r="E4" s="277"/>
      <c r="F4" s="695" t="s">
        <v>1</v>
      </c>
      <c r="G4" s="696"/>
      <c r="H4" s="696"/>
      <c r="I4" s="280"/>
      <c r="J4" s="695" t="s">
        <v>2</v>
      </c>
      <c r="K4" s="696"/>
      <c r="L4" s="696"/>
      <c r="M4" s="280"/>
    </row>
    <row r="5" spans="1:14" x14ac:dyDescent="0.2">
      <c r="A5" s="158"/>
      <c r="B5" s="152" t="s">
        <v>412</v>
      </c>
      <c r="C5" s="152" t="s">
        <v>413</v>
      </c>
      <c r="D5" s="222" t="s">
        <v>3</v>
      </c>
      <c r="E5" s="281" t="s">
        <v>29</v>
      </c>
      <c r="F5" s="152" t="s">
        <v>412</v>
      </c>
      <c r="G5" s="152" t="s">
        <v>413</v>
      </c>
      <c r="H5" s="222" t="s">
        <v>3</v>
      </c>
      <c r="I5" s="162" t="s">
        <v>29</v>
      </c>
      <c r="J5" s="152" t="s">
        <v>412</v>
      </c>
      <c r="K5" s="152" t="s">
        <v>413</v>
      </c>
      <c r="L5" s="222" t="s">
        <v>3</v>
      </c>
      <c r="M5" s="162" t="s">
        <v>29</v>
      </c>
    </row>
    <row r="6" spans="1:14" x14ac:dyDescent="0.2">
      <c r="A6" s="661"/>
      <c r="B6" s="156"/>
      <c r="C6" s="156"/>
      <c r="D6" s="223" t="s">
        <v>4</v>
      </c>
      <c r="E6" s="156" t="s">
        <v>30</v>
      </c>
      <c r="F6" s="161"/>
      <c r="G6" s="161"/>
      <c r="H6" s="222" t="s">
        <v>4</v>
      </c>
      <c r="I6" s="156" t="s">
        <v>30</v>
      </c>
      <c r="J6" s="161"/>
      <c r="K6" s="161"/>
      <c r="L6" s="222" t="s">
        <v>4</v>
      </c>
      <c r="M6" s="156" t="s">
        <v>30</v>
      </c>
    </row>
    <row r="7" spans="1:14" ht="15.75" x14ac:dyDescent="0.2">
      <c r="A7" s="14" t="s">
        <v>23</v>
      </c>
      <c r="B7" s="282">
        <v>2536.38</v>
      </c>
      <c r="C7" s="283">
        <v>8449</v>
      </c>
      <c r="D7" s="326">
        <f t="shared" ref="D7:D9" si="0">IF(B7=0, "    ---- ", IF(ABS(ROUND(100/B7*C7-100,1))&lt;999,ROUND(100/B7*C7-100,1),IF(ROUND(100/B7*C7-100,1)&gt;999,999,-999)))</f>
        <v>233.1</v>
      </c>
      <c r="E7" s="11">
        <f>IFERROR(100/'Skjema total MA'!C7*C7,0)</f>
        <v>0.50139517504144882</v>
      </c>
      <c r="F7" s="282"/>
      <c r="G7" s="283"/>
      <c r="H7" s="326"/>
      <c r="I7" s="160"/>
      <c r="J7" s="284">
        <f t="shared" ref="J7:K9" si="1">SUM(B7,F7)</f>
        <v>2536.38</v>
      </c>
      <c r="K7" s="285">
        <f t="shared" si="1"/>
        <v>8449</v>
      </c>
      <c r="L7" s="401">
        <f t="shared" ref="L7:L9" si="2">IF(J7=0, "    ---- ", IF(ABS(ROUND(100/J7*K7-100,1))&lt;999,ROUND(100/J7*K7-100,1),IF(ROUND(100/J7*K7-100,1)&gt;999,999,-999)))</f>
        <v>233.1</v>
      </c>
      <c r="M7" s="11">
        <f>IFERROR(100/'Skjema total MA'!I7*K7,0)</f>
        <v>0.15120833834328881</v>
      </c>
    </row>
    <row r="8" spans="1:14" ht="15.75" x14ac:dyDescent="0.2">
      <c r="A8" s="21" t="s">
        <v>25</v>
      </c>
      <c r="B8" s="258">
        <v>1639.338</v>
      </c>
      <c r="C8" s="259">
        <v>5308</v>
      </c>
      <c r="D8" s="166">
        <f t="shared" si="0"/>
        <v>223.8</v>
      </c>
      <c r="E8" s="27">
        <f>IFERROR(100/'Skjema total MA'!C8*C8,0)</f>
        <v>0.46551466073778308</v>
      </c>
      <c r="F8" s="262"/>
      <c r="G8" s="263"/>
      <c r="H8" s="166"/>
      <c r="I8" s="175"/>
      <c r="J8" s="211">
        <f t="shared" si="1"/>
        <v>1639.338</v>
      </c>
      <c r="K8" s="264">
        <f t="shared" si="1"/>
        <v>5308</v>
      </c>
      <c r="L8" s="166">
        <f t="shared" si="2"/>
        <v>223.8</v>
      </c>
      <c r="M8" s="27">
        <f>IFERROR(100/'Skjema total MA'!I8*K8,0)</f>
        <v>0.46551466073778308</v>
      </c>
    </row>
    <row r="9" spans="1:14" ht="15.75" x14ac:dyDescent="0.2">
      <c r="A9" s="21" t="s">
        <v>24</v>
      </c>
      <c r="B9" s="258">
        <v>897.04200000000003</v>
      </c>
      <c r="C9" s="259">
        <v>3141</v>
      </c>
      <c r="D9" s="166">
        <f t="shared" si="0"/>
        <v>250.2</v>
      </c>
      <c r="E9" s="27">
        <f>IFERROR(100/'Skjema total MA'!C9*C9,0)</f>
        <v>0.88065393515702273</v>
      </c>
      <c r="F9" s="262"/>
      <c r="G9" s="263"/>
      <c r="H9" s="166"/>
      <c r="I9" s="175"/>
      <c r="J9" s="211">
        <f t="shared" si="1"/>
        <v>897.04200000000003</v>
      </c>
      <c r="K9" s="264">
        <f t="shared" si="1"/>
        <v>3141</v>
      </c>
      <c r="L9" s="166">
        <f t="shared" si="2"/>
        <v>250.2</v>
      </c>
      <c r="M9" s="27">
        <f>IFERROR(100/'Skjema total MA'!I9*K9,0)</f>
        <v>0.88065393515702273</v>
      </c>
    </row>
    <row r="10" spans="1:14" ht="15.75" x14ac:dyDescent="0.2">
      <c r="A10" s="13" t="s">
        <v>341</v>
      </c>
      <c r="B10" s="286"/>
      <c r="C10" s="287"/>
      <c r="D10" s="171"/>
      <c r="E10" s="11"/>
      <c r="F10" s="286"/>
      <c r="G10" s="287"/>
      <c r="H10" s="171"/>
      <c r="I10" s="160"/>
      <c r="J10" s="284"/>
      <c r="K10" s="285"/>
      <c r="L10" s="402"/>
      <c r="M10" s="11"/>
    </row>
    <row r="11" spans="1:14" s="43" customFormat="1" ht="15.75" x14ac:dyDescent="0.2">
      <c r="A11" s="13" t="s">
        <v>342</v>
      </c>
      <c r="B11" s="286"/>
      <c r="C11" s="287"/>
      <c r="D11" s="171"/>
      <c r="E11" s="11"/>
      <c r="F11" s="286"/>
      <c r="G11" s="287"/>
      <c r="H11" s="171"/>
      <c r="I11" s="160"/>
      <c r="J11" s="284"/>
      <c r="K11" s="285"/>
      <c r="L11" s="402"/>
      <c r="M11" s="11"/>
      <c r="N11" s="143"/>
    </row>
    <row r="12" spans="1:14" s="43" customFormat="1" ht="15.75" x14ac:dyDescent="0.2">
      <c r="A12" s="41" t="s">
        <v>343</v>
      </c>
      <c r="B12" s="288"/>
      <c r="C12" s="289"/>
      <c r="D12" s="169"/>
      <c r="E12" s="36"/>
      <c r="F12" s="288"/>
      <c r="G12" s="289"/>
      <c r="H12" s="169"/>
      <c r="I12" s="169"/>
      <c r="J12" s="290"/>
      <c r="K12" s="291"/>
      <c r="L12" s="403"/>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251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248</v>
      </c>
      <c r="B17" s="157"/>
      <c r="C17" s="157"/>
      <c r="D17" s="151"/>
      <c r="E17" s="151"/>
      <c r="F17" s="157"/>
      <c r="G17" s="157"/>
      <c r="H17" s="157"/>
      <c r="I17" s="157"/>
      <c r="J17" s="157"/>
      <c r="K17" s="157"/>
      <c r="L17" s="157"/>
      <c r="M17" s="157"/>
    </row>
    <row r="18" spans="1:14" ht="15.75" x14ac:dyDescent="0.25">
      <c r="B18" s="694"/>
      <c r="C18" s="694"/>
      <c r="D18" s="694"/>
      <c r="E18" s="275"/>
      <c r="F18" s="694"/>
      <c r="G18" s="694"/>
      <c r="H18" s="694"/>
      <c r="I18" s="275"/>
      <c r="J18" s="694"/>
      <c r="K18" s="694"/>
      <c r="L18" s="694"/>
      <c r="M18" s="275"/>
    </row>
    <row r="19" spans="1:14" x14ac:dyDescent="0.2">
      <c r="A19" s="144"/>
      <c r="B19" s="695" t="s">
        <v>0</v>
      </c>
      <c r="C19" s="696"/>
      <c r="D19" s="696"/>
      <c r="E19" s="277"/>
      <c r="F19" s="695" t="s">
        <v>1</v>
      </c>
      <c r="G19" s="696"/>
      <c r="H19" s="696"/>
      <c r="I19" s="280"/>
      <c r="J19" s="695" t="s">
        <v>2</v>
      </c>
      <c r="K19" s="696"/>
      <c r="L19" s="696"/>
      <c r="M19" s="280"/>
    </row>
    <row r="20" spans="1:14" x14ac:dyDescent="0.2">
      <c r="A20" s="140" t="s">
        <v>5</v>
      </c>
      <c r="B20" s="152" t="s">
        <v>412</v>
      </c>
      <c r="C20" s="152" t="s">
        <v>413</v>
      </c>
      <c r="D20" s="162" t="s">
        <v>3</v>
      </c>
      <c r="E20" s="281" t="s">
        <v>29</v>
      </c>
      <c r="F20" s="152" t="s">
        <v>412</v>
      </c>
      <c r="G20" s="152" t="s">
        <v>413</v>
      </c>
      <c r="H20" s="162" t="s">
        <v>3</v>
      </c>
      <c r="I20" s="162" t="s">
        <v>29</v>
      </c>
      <c r="J20" s="152" t="s">
        <v>412</v>
      </c>
      <c r="K20" s="152" t="s">
        <v>413</v>
      </c>
      <c r="L20" s="162" t="s">
        <v>3</v>
      </c>
      <c r="M20" s="162" t="s">
        <v>29</v>
      </c>
    </row>
    <row r="21" spans="1:14" x14ac:dyDescent="0.2">
      <c r="A21" s="662"/>
      <c r="B21" s="156"/>
      <c r="C21" s="156"/>
      <c r="D21" s="223" t="s">
        <v>4</v>
      </c>
      <c r="E21" s="156" t="s">
        <v>30</v>
      </c>
      <c r="F21" s="161"/>
      <c r="G21" s="161"/>
      <c r="H21" s="222" t="s">
        <v>4</v>
      </c>
      <c r="I21" s="156" t="s">
        <v>30</v>
      </c>
      <c r="J21" s="161"/>
      <c r="K21" s="161"/>
      <c r="L21" s="156" t="s">
        <v>4</v>
      </c>
      <c r="M21" s="156" t="s">
        <v>30</v>
      </c>
    </row>
    <row r="22" spans="1:14" ht="15.75" x14ac:dyDescent="0.2">
      <c r="A22" s="14" t="s">
        <v>23</v>
      </c>
      <c r="B22" s="286"/>
      <c r="C22" s="286"/>
      <c r="D22" s="326"/>
      <c r="E22" s="11"/>
      <c r="F22" s="294"/>
      <c r="G22" s="294"/>
      <c r="H22" s="326"/>
      <c r="I22" s="11"/>
      <c r="J22" s="292"/>
      <c r="K22" s="292"/>
      <c r="L22" s="401"/>
      <c r="M22" s="24"/>
    </row>
    <row r="23" spans="1:14" ht="15.75" x14ac:dyDescent="0.2">
      <c r="A23" s="545" t="s">
        <v>344</v>
      </c>
      <c r="B23" s="258"/>
      <c r="C23" s="258"/>
      <c r="D23" s="166"/>
      <c r="E23" s="11"/>
      <c r="F23" s="267"/>
      <c r="G23" s="267"/>
      <c r="H23" s="166"/>
      <c r="I23" s="391"/>
      <c r="J23" s="267"/>
      <c r="K23" s="267"/>
      <c r="L23" s="166"/>
      <c r="M23" s="23"/>
    </row>
    <row r="24" spans="1:14" ht="15.75" x14ac:dyDescent="0.2">
      <c r="A24" s="545" t="s">
        <v>345</v>
      </c>
      <c r="B24" s="258"/>
      <c r="C24" s="258"/>
      <c r="D24" s="166"/>
      <c r="E24" s="11"/>
      <c r="F24" s="267"/>
      <c r="G24" s="267"/>
      <c r="H24" s="166"/>
      <c r="I24" s="391"/>
      <c r="J24" s="267"/>
      <c r="K24" s="267"/>
      <c r="L24" s="166"/>
      <c r="M24" s="23"/>
    </row>
    <row r="25" spans="1:14" ht="15.75" x14ac:dyDescent="0.2">
      <c r="A25" s="545" t="s">
        <v>346</v>
      </c>
      <c r="B25" s="258"/>
      <c r="C25" s="258"/>
      <c r="D25" s="166"/>
      <c r="E25" s="11"/>
      <c r="F25" s="267"/>
      <c r="G25" s="267"/>
      <c r="H25" s="166"/>
      <c r="I25" s="391"/>
      <c r="J25" s="267"/>
      <c r="K25" s="267"/>
      <c r="L25" s="166"/>
      <c r="M25" s="23"/>
    </row>
    <row r="26" spans="1:14" ht="15.75" x14ac:dyDescent="0.2">
      <c r="A26" s="545" t="s">
        <v>347</v>
      </c>
      <c r="B26" s="258"/>
      <c r="C26" s="258"/>
      <c r="D26" s="166"/>
      <c r="E26" s="11"/>
      <c r="F26" s="267"/>
      <c r="G26" s="267"/>
      <c r="H26" s="166"/>
      <c r="I26" s="391"/>
      <c r="J26" s="267"/>
      <c r="K26" s="267"/>
      <c r="L26" s="166"/>
      <c r="M26" s="23"/>
    </row>
    <row r="27" spans="1:14" x14ac:dyDescent="0.2">
      <c r="A27" s="545" t="s">
        <v>11</v>
      </c>
      <c r="B27" s="258"/>
      <c r="C27" s="258"/>
      <c r="D27" s="166"/>
      <c r="E27" s="11"/>
      <c r="F27" s="267"/>
      <c r="G27" s="267"/>
      <c r="H27" s="166"/>
      <c r="I27" s="391"/>
      <c r="J27" s="267"/>
      <c r="K27" s="267"/>
      <c r="L27" s="166"/>
      <c r="M27" s="23"/>
    </row>
    <row r="28" spans="1:14" ht="15.75" x14ac:dyDescent="0.2">
      <c r="A28" s="49" t="s">
        <v>252</v>
      </c>
      <c r="B28" s="44"/>
      <c r="C28" s="264"/>
      <c r="D28" s="166"/>
      <c r="E28" s="11"/>
      <c r="F28" s="211"/>
      <c r="G28" s="264"/>
      <c r="H28" s="166"/>
      <c r="I28" s="27"/>
      <c r="J28" s="44"/>
      <c r="K28" s="44"/>
      <c r="L28" s="231"/>
      <c r="M28" s="23"/>
    </row>
    <row r="29" spans="1:14" s="3" customFormat="1" ht="15.75" x14ac:dyDescent="0.2">
      <c r="A29" s="13" t="s">
        <v>341</v>
      </c>
      <c r="B29" s="213"/>
      <c r="C29" s="213"/>
      <c r="D29" s="171"/>
      <c r="E29" s="11"/>
      <c r="F29" s="284"/>
      <c r="G29" s="284"/>
      <c r="H29" s="171"/>
      <c r="I29" s="11"/>
      <c r="J29" s="213"/>
      <c r="K29" s="213"/>
      <c r="L29" s="402"/>
      <c r="M29" s="24"/>
      <c r="N29" s="148"/>
    </row>
    <row r="30" spans="1:14" s="3" customFormat="1" ht="15.75" x14ac:dyDescent="0.2">
      <c r="A30" s="545" t="s">
        <v>344</v>
      </c>
      <c r="B30" s="258"/>
      <c r="C30" s="258"/>
      <c r="D30" s="166"/>
      <c r="E30" s="11"/>
      <c r="F30" s="267"/>
      <c r="G30" s="267"/>
      <c r="H30" s="166"/>
      <c r="I30" s="391"/>
      <c r="J30" s="267"/>
      <c r="K30" s="267"/>
      <c r="L30" s="166"/>
      <c r="M30" s="23"/>
      <c r="N30" s="148"/>
    </row>
    <row r="31" spans="1:14" s="3" customFormat="1" ht="15.75" x14ac:dyDescent="0.2">
      <c r="A31" s="545" t="s">
        <v>345</v>
      </c>
      <c r="B31" s="258"/>
      <c r="C31" s="258"/>
      <c r="D31" s="166"/>
      <c r="E31" s="11"/>
      <c r="F31" s="267"/>
      <c r="G31" s="267"/>
      <c r="H31" s="166"/>
      <c r="I31" s="391"/>
      <c r="J31" s="267"/>
      <c r="K31" s="267"/>
      <c r="L31" s="166"/>
      <c r="M31" s="23"/>
      <c r="N31" s="148"/>
    </row>
    <row r="32" spans="1:14" ht="15.75" x14ac:dyDescent="0.2">
      <c r="A32" s="545" t="s">
        <v>346</v>
      </c>
      <c r="B32" s="258"/>
      <c r="C32" s="258"/>
      <c r="D32" s="166"/>
      <c r="E32" s="11"/>
      <c r="F32" s="267"/>
      <c r="G32" s="267"/>
      <c r="H32" s="166"/>
      <c r="I32" s="391"/>
      <c r="J32" s="267"/>
      <c r="K32" s="267"/>
      <c r="L32" s="166"/>
      <c r="M32" s="23"/>
    </row>
    <row r="33" spans="1:14" ht="15.75" x14ac:dyDescent="0.2">
      <c r="A33" s="545" t="s">
        <v>347</v>
      </c>
      <c r="B33" s="258"/>
      <c r="C33" s="258"/>
      <c r="D33" s="166"/>
      <c r="E33" s="11"/>
      <c r="F33" s="267"/>
      <c r="G33" s="267"/>
      <c r="H33" s="166"/>
      <c r="I33" s="391"/>
      <c r="J33" s="267"/>
      <c r="K33" s="267"/>
      <c r="L33" s="166"/>
      <c r="M33" s="23"/>
    </row>
    <row r="34" spans="1:14" ht="15.75" x14ac:dyDescent="0.2">
      <c r="A34" s="13" t="s">
        <v>342</v>
      </c>
      <c r="B34" s="213"/>
      <c r="C34" s="285"/>
      <c r="D34" s="171"/>
      <c r="E34" s="11"/>
      <c r="F34" s="284"/>
      <c r="G34" s="285"/>
      <c r="H34" s="171"/>
      <c r="I34" s="11"/>
      <c r="J34" s="213"/>
      <c r="K34" s="213"/>
      <c r="L34" s="402"/>
      <c r="M34" s="24"/>
    </row>
    <row r="35" spans="1:14" ht="15.75" x14ac:dyDescent="0.2">
      <c r="A35" s="13" t="s">
        <v>343</v>
      </c>
      <c r="B35" s="213"/>
      <c r="C35" s="285"/>
      <c r="D35" s="171"/>
      <c r="E35" s="11"/>
      <c r="F35" s="284"/>
      <c r="G35" s="285"/>
      <c r="H35" s="171"/>
      <c r="I35" s="11"/>
      <c r="J35" s="213"/>
      <c r="K35" s="213"/>
      <c r="L35" s="402"/>
      <c r="M35" s="24"/>
    </row>
    <row r="36" spans="1:14" ht="15.75" x14ac:dyDescent="0.2">
      <c r="A36" s="12" t="s">
        <v>260</v>
      </c>
      <c r="B36" s="213"/>
      <c r="C36" s="285"/>
      <c r="D36" s="171"/>
      <c r="E36" s="11"/>
      <c r="F36" s="295"/>
      <c r="G36" s="296"/>
      <c r="H36" s="171"/>
      <c r="I36" s="408"/>
      <c r="J36" s="213"/>
      <c r="K36" s="213"/>
      <c r="L36" s="402"/>
      <c r="M36" s="24"/>
    </row>
    <row r="37" spans="1:14" ht="15.75" x14ac:dyDescent="0.2">
      <c r="A37" s="12" t="s">
        <v>349</v>
      </c>
      <c r="B37" s="213"/>
      <c r="C37" s="285"/>
      <c r="D37" s="171"/>
      <c r="E37" s="11"/>
      <c r="F37" s="295"/>
      <c r="G37" s="297"/>
      <c r="H37" s="171"/>
      <c r="I37" s="408"/>
      <c r="J37" s="213"/>
      <c r="K37" s="213"/>
      <c r="L37" s="402"/>
      <c r="M37" s="24"/>
    </row>
    <row r="38" spans="1:14" ht="15.75" x14ac:dyDescent="0.2">
      <c r="A38" s="12" t="s">
        <v>350</v>
      </c>
      <c r="B38" s="213"/>
      <c r="C38" s="285"/>
      <c r="D38" s="171"/>
      <c r="E38" s="24"/>
      <c r="F38" s="295"/>
      <c r="G38" s="296"/>
      <c r="H38" s="171"/>
      <c r="I38" s="408"/>
      <c r="J38" s="213"/>
      <c r="K38" s="213"/>
      <c r="L38" s="402"/>
      <c r="M38" s="24"/>
    </row>
    <row r="39" spans="1:14" ht="15.75" x14ac:dyDescent="0.2">
      <c r="A39" s="18" t="s">
        <v>351</v>
      </c>
      <c r="B39" s="253"/>
      <c r="C39" s="291"/>
      <c r="D39" s="169"/>
      <c r="E39" s="36"/>
      <c r="F39" s="298"/>
      <c r="G39" s="299"/>
      <c r="H39" s="169"/>
      <c r="I39" s="36"/>
      <c r="J39" s="213"/>
      <c r="K39" s="213"/>
      <c r="L39" s="403"/>
      <c r="M39" s="36"/>
    </row>
    <row r="40" spans="1:14" ht="15.75" x14ac:dyDescent="0.25">
      <c r="A40" s="47"/>
      <c r="B40" s="230"/>
      <c r="C40" s="230"/>
      <c r="D40" s="698"/>
      <c r="E40" s="698"/>
      <c r="F40" s="698"/>
      <c r="G40" s="698"/>
      <c r="H40" s="698"/>
      <c r="I40" s="698"/>
      <c r="J40" s="698"/>
      <c r="K40" s="698"/>
      <c r="L40" s="698"/>
      <c r="M40" s="278"/>
    </row>
    <row r="41" spans="1:14" x14ac:dyDescent="0.2">
      <c r="A41" s="155"/>
    </row>
    <row r="42" spans="1:14" ht="15.75" x14ac:dyDescent="0.25">
      <c r="A42" s="147" t="s">
        <v>249</v>
      </c>
      <c r="B42" s="699"/>
      <c r="C42" s="699"/>
      <c r="D42" s="699"/>
      <c r="E42" s="275"/>
      <c r="F42" s="700"/>
      <c r="G42" s="700"/>
      <c r="H42" s="700"/>
      <c r="I42" s="278"/>
      <c r="J42" s="700"/>
      <c r="K42" s="700"/>
      <c r="L42" s="700"/>
      <c r="M42" s="278"/>
    </row>
    <row r="43" spans="1:14" ht="15.75" x14ac:dyDescent="0.25">
      <c r="A43" s="163"/>
      <c r="B43" s="279"/>
      <c r="C43" s="279"/>
      <c r="D43" s="279"/>
      <c r="E43" s="279"/>
      <c r="F43" s="278"/>
      <c r="G43" s="278"/>
      <c r="H43" s="278"/>
      <c r="I43" s="278"/>
      <c r="J43" s="278"/>
      <c r="K43" s="278"/>
      <c r="L43" s="278"/>
      <c r="M43" s="278"/>
    </row>
    <row r="44" spans="1:14" ht="15.75" x14ac:dyDescent="0.25">
      <c r="A44" s="224"/>
      <c r="B44" s="695" t="s">
        <v>0</v>
      </c>
      <c r="C44" s="696"/>
      <c r="D44" s="696"/>
      <c r="E44" s="220"/>
      <c r="F44" s="278"/>
      <c r="G44" s="278"/>
      <c r="H44" s="278"/>
      <c r="I44" s="278"/>
      <c r="J44" s="278"/>
      <c r="K44" s="278"/>
      <c r="L44" s="278"/>
      <c r="M44" s="278"/>
    </row>
    <row r="45" spans="1:14" s="3" customFormat="1" x14ac:dyDescent="0.2">
      <c r="A45" s="140"/>
      <c r="B45" s="152" t="s">
        <v>412</v>
      </c>
      <c r="C45" s="152" t="s">
        <v>413</v>
      </c>
      <c r="D45" s="162" t="s">
        <v>3</v>
      </c>
      <c r="E45" s="162" t="s">
        <v>29</v>
      </c>
      <c r="F45" s="174"/>
      <c r="G45" s="174"/>
      <c r="H45" s="173"/>
      <c r="I45" s="173"/>
      <c r="J45" s="174"/>
      <c r="K45" s="174"/>
      <c r="L45" s="173"/>
      <c r="M45" s="173"/>
      <c r="N45" s="148"/>
    </row>
    <row r="46" spans="1:14" s="3" customFormat="1" x14ac:dyDescent="0.2">
      <c r="A46" s="662"/>
      <c r="B46" s="221"/>
      <c r="C46" s="221"/>
      <c r="D46" s="222" t="s">
        <v>4</v>
      </c>
      <c r="E46" s="156" t="s">
        <v>30</v>
      </c>
      <c r="F46" s="173"/>
      <c r="G46" s="173"/>
      <c r="H46" s="173"/>
      <c r="I46" s="173"/>
      <c r="J46" s="173"/>
      <c r="K46" s="173"/>
      <c r="L46" s="173"/>
      <c r="M46" s="173"/>
      <c r="N46" s="148"/>
    </row>
    <row r="47" spans="1:14" s="3" customFormat="1" ht="15.75" x14ac:dyDescent="0.2">
      <c r="A47" s="14" t="s">
        <v>23</v>
      </c>
      <c r="B47" s="286">
        <v>959.56799999999998</v>
      </c>
      <c r="C47" s="287">
        <v>916</v>
      </c>
      <c r="D47" s="401">
        <f t="shared" ref="D47:D57" si="3">IF(B47=0, "    ---- ", IF(ABS(ROUND(100/B47*C47-100,1))&lt;999,ROUND(100/B47*C47-100,1),IF(ROUND(100/B47*C47-100,1)&gt;999,999,-999)))</f>
        <v>-4.5</v>
      </c>
      <c r="E47" s="11">
        <f>IFERROR(100/'Skjema total MA'!C47*C47,0)</f>
        <v>2.8954632406529252E-2</v>
      </c>
      <c r="F47" s="145"/>
      <c r="G47" s="33"/>
      <c r="H47" s="159"/>
      <c r="I47" s="159"/>
      <c r="J47" s="37"/>
      <c r="K47" s="37"/>
      <c r="L47" s="159"/>
      <c r="M47" s="159"/>
      <c r="N47" s="148"/>
    </row>
    <row r="48" spans="1:14" s="3" customFormat="1" ht="15.75" x14ac:dyDescent="0.2">
      <c r="A48" s="38" t="s">
        <v>352</v>
      </c>
      <c r="B48" s="258">
        <v>959.56799999999998</v>
      </c>
      <c r="C48" s="259">
        <v>916</v>
      </c>
      <c r="D48" s="231">
        <f t="shared" si="3"/>
        <v>-4.5</v>
      </c>
      <c r="E48" s="27">
        <f>IFERROR(100/'Skjema total MA'!C48*C48,0)</f>
        <v>5.3402643909319716E-2</v>
      </c>
      <c r="F48" s="145"/>
      <c r="G48" s="33"/>
      <c r="H48" s="145"/>
      <c r="I48" s="145"/>
      <c r="J48" s="33"/>
      <c r="K48" s="33"/>
      <c r="L48" s="159"/>
      <c r="M48" s="159"/>
      <c r="N48" s="148"/>
    </row>
    <row r="49" spans="1:14" s="3" customFormat="1" ht="15.75" x14ac:dyDescent="0.2">
      <c r="A49" s="38" t="s">
        <v>353</v>
      </c>
      <c r="B49" s="44"/>
      <c r="C49" s="264"/>
      <c r="D49" s="231"/>
      <c r="E49" s="27"/>
      <c r="F49" s="145"/>
      <c r="G49" s="33"/>
      <c r="H49" s="145"/>
      <c r="I49" s="145"/>
      <c r="J49" s="37"/>
      <c r="K49" s="37"/>
      <c r="L49" s="159"/>
      <c r="M49" s="159"/>
      <c r="N49" s="148"/>
    </row>
    <row r="50" spans="1:14" s="3" customFormat="1" x14ac:dyDescent="0.2">
      <c r="A50" s="272" t="s">
        <v>6</v>
      </c>
      <c r="B50" s="295"/>
      <c r="C50" s="295"/>
      <c r="D50" s="231"/>
      <c r="E50" s="23"/>
      <c r="F50" s="145"/>
      <c r="G50" s="33"/>
      <c r="H50" s="145"/>
      <c r="I50" s="145"/>
      <c r="J50" s="33"/>
      <c r="K50" s="33"/>
      <c r="L50" s="159"/>
      <c r="M50" s="159"/>
      <c r="N50" s="148"/>
    </row>
    <row r="51" spans="1:14" s="3" customFormat="1" x14ac:dyDescent="0.2">
      <c r="A51" s="272" t="s">
        <v>7</v>
      </c>
      <c r="B51" s="295"/>
      <c r="C51" s="295"/>
      <c r="D51" s="231"/>
      <c r="E51" s="23"/>
      <c r="F51" s="145"/>
      <c r="G51" s="33"/>
      <c r="H51" s="145"/>
      <c r="I51" s="145"/>
      <c r="J51" s="33"/>
      <c r="K51" s="33"/>
      <c r="L51" s="159"/>
      <c r="M51" s="159"/>
      <c r="N51" s="148"/>
    </row>
    <row r="52" spans="1:14" s="3" customFormat="1" x14ac:dyDescent="0.2">
      <c r="A52" s="272" t="s">
        <v>8</v>
      </c>
      <c r="B52" s="295"/>
      <c r="C52" s="295"/>
      <c r="D52" s="231"/>
      <c r="E52" s="23"/>
      <c r="F52" s="145"/>
      <c r="G52" s="33"/>
      <c r="H52" s="145"/>
      <c r="I52" s="145"/>
      <c r="J52" s="33"/>
      <c r="K52" s="33"/>
      <c r="L52" s="159"/>
      <c r="M52" s="159"/>
      <c r="N52" s="148"/>
    </row>
    <row r="53" spans="1:14" s="3" customFormat="1" ht="15.75" x14ac:dyDescent="0.2">
      <c r="A53" s="39" t="s">
        <v>354</v>
      </c>
      <c r="B53" s="286">
        <v>7.2220000000000004</v>
      </c>
      <c r="C53" s="287">
        <v>0</v>
      </c>
      <c r="D53" s="402">
        <f t="shared" si="3"/>
        <v>-100</v>
      </c>
      <c r="E53" s="11">
        <f>IFERROR(100/'Skjema total MA'!C53*C53,0)</f>
        <v>0</v>
      </c>
      <c r="F53" s="145"/>
      <c r="G53" s="33"/>
      <c r="H53" s="145"/>
      <c r="I53" s="145"/>
      <c r="J53" s="33"/>
      <c r="K53" s="33"/>
      <c r="L53" s="159"/>
      <c r="M53" s="159"/>
      <c r="N53" s="148"/>
    </row>
    <row r="54" spans="1:14" s="3" customFormat="1" ht="15.75" x14ac:dyDescent="0.2">
      <c r="A54" s="38" t="s">
        <v>352</v>
      </c>
      <c r="B54" s="258">
        <v>7.2220000000000004</v>
      </c>
      <c r="C54" s="259">
        <v>0</v>
      </c>
      <c r="D54" s="231">
        <f t="shared" si="3"/>
        <v>-100</v>
      </c>
      <c r="E54" s="27">
        <f>IFERROR(100/'Skjema total MA'!C54*C54,0)</f>
        <v>0</v>
      </c>
      <c r="F54" s="145"/>
      <c r="G54" s="33"/>
      <c r="H54" s="145"/>
      <c r="I54" s="145"/>
      <c r="J54" s="33"/>
      <c r="K54" s="33"/>
      <c r="L54" s="159"/>
      <c r="M54" s="159"/>
      <c r="N54" s="148"/>
    </row>
    <row r="55" spans="1:14" s="3" customFormat="1" ht="15.75" x14ac:dyDescent="0.2">
      <c r="A55" s="38" t="s">
        <v>353</v>
      </c>
      <c r="B55" s="258"/>
      <c r="C55" s="259"/>
      <c r="D55" s="231"/>
      <c r="E55" s="27"/>
      <c r="F55" s="145"/>
      <c r="G55" s="33"/>
      <c r="H55" s="145"/>
      <c r="I55" s="145"/>
      <c r="J55" s="33"/>
      <c r="K55" s="33"/>
      <c r="L55" s="159"/>
      <c r="M55" s="159"/>
      <c r="N55" s="148"/>
    </row>
    <row r="56" spans="1:14" s="3" customFormat="1" ht="15.75" x14ac:dyDescent="0.2">
      <c r="A56" s="39" t="s">
        <v>355</v>
      </c>
      <c r="B56" s="286">
        <v>127.651</v>
      </c>
      <c r="C56" s="287">
        <v>0</v>
      </c>
      <c r="D56" s="402">
        <f t="shared" si="3"/>
        <v>-100</v>
      </c>
      <c r="E56" s="11">
        <f>IFERROR(100/'Skjema total MA'!C56*C56,0)</f>
        <v>0</v>
      </c>
      <c r="F56" s="145"/>
      <c r="G56" s="33"/>
      <c r="H56" s="145"/>
      <c r="I56" s="145"/>
      <c r="J56" s="33"/>
      <c r="K56" s="33"/>
      <c r="L56" s="159"/>
      <c r="M56" s="159"/>
      <c r="N56" s="148"/>
    </row>
    <row r="57" spans="1:14" s="3" customFormat="1" ht="15.75" x14ac:dyDescent="0.2">
      <c r="A57" s="38" t="s">
        <v>352</v>
      </c>
      <c r="B57" s="258">
        <v>127.651</v>
      </c>
      <c r="C57" s="259">
        <v>0</v>
      </c>
      <c r="D57" s="231">
        <f t="shared" si="3"/>
        <v>-100</v>
      </c>
      <c r="E57" s="27">
        <f>IFERROR(100/'Skjema total MA'!C57*C57,0)</f>
        <v>0</v>
      </c>
      <c r="F57" s="145"/>
      <c r="G57" s="33"/>
      <c r="H57" s="145"/>
      <c r="I57" s="145"/>
      <c r="J57" s="33"/>
      <c r="K57" s="33"/>
      <c r="L57" s="159"/>
      <c r="M57" s="159"/>
      <c r="N57" s="148"/>
    </row>
    <row r="58" spans="1:14" s="3" customFormat="1" ht="15.75" x14ac:dyDescent="0.2">
      <c r="A58" s="46" t="s">
        <v>353</v>
      </c>
      <c r="B58" s="260"/>
      <c r="C58" s="261"/>
      <c r="D58" s="232"/>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250</v>
      </c>
      <c r="C61" s="26"/>
      <c r="D61" s="26"/>
      <c r="E61" s="26"/>
      <c r="F61" s="26"/>
      <c r="G61" s="26"/>
      <c r="H61" s="26"/>
      <c r="I61" s="26"/>
      <c r="J61" s="26"/>
      <c r="K61" s="26"/>
      <c r="L61" s="26"/>
      <c r="M61" s="26"/>
    </row>
    <row r="62" spans="1:14" ht="15.75" x14ac:dyDescent="0.25">
      <c r="B62" s="694"/>
      <c r="C62" s="694"/>
      <c r="D62" s="694"/>
      <c r="E62" s="275"/>
      <c r="F62" s="694"/>
      <c r="G62" s="694"/>
      <c r="H62" s="694"/>
      <c r="I62" s="275"/>
      <c r="J62" s="694"/>
      <c r="K62" s="694"/>
      <c r="L62" s="694"/>
      <c r="M62" s="275"/>
    </row>
    <row r="63" spans="1:14" x14ac:dyDescent="0.2">
      <c r="A63" s="144"/>
      <c r="B63" s="695" t="s">
        <v>0</v>
      </c>
      <c r="C63" s="696"/>
      <c r="D63" s="697"/>
      <c r="E63" s="276"/>
      <c r="F63" s="696" t="s">
        <v>1</v>
      </c>
      <c r="G63" s="696"/>
      <c r="H63" s="696"/>
      <c r="I63" s="280"/>
      <c r="J63" s="695" t="s">
        <v>2</v>
      </c>
      <c r="K63" s="696"/>
      <c r="L63" s="696"/>
      <c r="M63" s="280"/>
    </row>
    <row r="64" spans="1:14" x14ac:dyDescent="0.2">
      <c r="A64" s="140"/>
      <c r="B64" s="152" t="s">
        <v>412</v>
      </c>
      <c r="C64" s="152" t="s">
        <v>413</v>
      </c>
      <c r="D64" s="222" t="s">
        <v>3</v>
      </c>
      <c r="E64" s="281" t="s">
        <v>29</v>
      </c>
      <c r="F64" s="152" t="s">
        <v>412</v>
      </c>
      <c r="G64" s="152" t="s">
        <v>413</v>
      </c>
      <c r="H64" s="222" t="s">
        <v>3</v>
      </c>
      <c r="I64" s="281" t="s">
        <v>29</v>
      </c>
      <c r="J64" s="152" t="s">
        <v>412</v>
      </c>
      <c r="K64" s="152" t="s">
        <v>413</v>
      </c>
      <c r="L64" s="222" t="s">
        <v>3</v>
      </c>
      <c r="M64" s="162" t="s">
        <v>29</v>
      </c>
    </row>
    <row r="65" spans="1:14" x14ac:dyDescent="0.2">
      <c r="A65" s="662"/>
      <c r="B65" s="156"/>
      <c r="C65" s="156"/>
      <c r="D65" s="223" t="s">
        <v>4</v>
      </c>
      <c r="E65" s="156" t="s">
        <v>30</v>
      </c>
      <c r="F65" s="161"/>
      <c r="G65" s="161"/>
      <c r="H65" s="222" t="s">
        <v>4</v>
      </c>
      <c r="I65" s="156" t="s">
        <v>30</v>
      </c>
      <c r="J65" s="161"/>
      <c r="K65" s="203"/>
      <c r="L65" s="156" t="s">
        <v>4</v>
      </c>
      <c r="M65" s="156" t="s">
        <v>30</v>
      </c>
    </row>
    <row r="66" spans="1:14" ht="15.75" x14ac:dyDescent="0.2">
      <c r="A66" s="14" t="s">
        <v>23</v>
      </c>
      <c r="B66" s="329"/>
      <c r="C66" s="329"/>
      <c r="D66" s="326"/>
      <c r="E66" s="11"/>
      <c r="F66" s="328"/>
      <c r="G66" s="328"/>
      <c r="H66" s="326"/>
      <c r="I66" s="24"/>
      <c r="J66" s="159"/>
      <c r="K66" s="292"/>
      <c r="L66" s="402"/>
      <c r="M66" s="11"/>
    </row>
    <row r="67" spans="1:14" x14ac:dyDescent="0.2">
      <c r="A67" s="393" t="s">
        <v>9</v>
      </c>
      <c r="B67" s="44"/>
      <c r="C67" s="145"/>
      <c r="D67" s="166"/>
      <c r="E67" s="23"/>
      <c r="F67" s="211"/>
      <c r="G67" s="145"/>
      <c r="H67" s="166"/>
      <c r="I67" s="23"/>
      <c r="J67" s="145"/>
      <c r="K67" s="44"/>
      <c r="L67" s="231"/>
      <c r="M67" s="27"/>
    </row>
    <row r="68" spans="1:14" x14ac:dyDescent="0.2">
      <c r="A68" s="21" t="s">
        <v>10</v>
      </c>
      <c r="B68" s="268"/>
      <c r="C68" s="269"/>
      <c r="D68" s="166"/>
      <c r="E68" s="23"/>
      <c r="F68" s="268"/>
      <c r="G68" s="269"/>
      <c r="H68" s="166"/>
      <c r="I68" s="23"/>
      <c r="J68" s="145"/>
      <c r="K68" s="44"/>
      <c r="L68" s="231"/>
      <c r="M68" s="27"/>
    </row>
    <row r="69" spans="1:14" ht="15.75" x14ac:dyDescent="0.2">
      <c r="A69" s="272" t="s">
        <v>356</v>
      </c>
      <c r="B69" s="295"/>
      <c r="C69" s="295"/>
      <c r="D69" s="166"/>
      <c r="E69" s="23"/>
      <c r="F69" s="295"/>
      <c r="G69" s="295"/>
      <c r="H69" s="166"/>
      <c r="I69" s="23"/>
      <c r="J69" s="295"/>
      <c r="K69" s="295"/>
      <c r="L69" s="166"/>
      <c r="M69" s="23"/>
    </row>
    <row r="70" spans="1:14" x14ac:dyDescent="0.2">
      <c r="A70" s="272" t="s">
        <v>12</v>
      </c>
      <c r="B70" s="270"/>
      <c r="C70" s="271"/>
      <c r="D70" s="166"/>
      <c r="E70" s="23"/>
      <c r="F70" s="270"/>
      <c r="G70" s="271"/>
      <c r="H70" s="166"/>
      <c r="I70" s="23"/>
      <c r="J70" s="270"/>
      <c r="K70" s="271"/>
      <c r="L70" s="166"/>
      <c r="M70" s="23"/>
    </row>
    <row r="71" spans="1:14" x14ac:dyDescent="0.2">
      <c r="A71" s="272" t="s">
        <v>13</v>
      </c>
      <c r="B71" s="212"/>
      <c r="C71" s="266"/>
      <c r="D71" s="166"/>
      <c r="E71" s="23"/>
      <c r="F71" s="212"/>
      <c r="G71" s="266"/>
      <c r="H71" s="166"/>
      <c r="I71" s="23"/>
      <c r="J71" s="212"/>
      <c r="K71" s="266"/>
      <c r="L71" s="166"/>
      <c r="M71" s="23"/>
    </row>
    <row r="72" spans="1:14" ht="15.75" x14ac:dyDescent="0.2">
      <c r="A72" s="272" t="s">
        <v>357</v>
      </c>
      <c r="B72" s="295"/>
      <c r="C72" s="295"/>
      <c r="D72" s="166"/>
      <c r="E72" s="23"/>
      <c r="F72" s="295"/>
      <c r="G72" s="295"/>
      <c r="H72" s="166"/>
      <c r="I72" s="23"/>
      <c r="J72" s="295"/>
      <c r="K72" s="295"/>
      <c r="L72" s="166"/>
      <c r="M72" s="23"/>
    </row>
    <row r="73" spans="1:14" x14ac:dyDescent="0.2">
      <c r="A73" s="272" t="s">
        <v>12</v>
      </c>
      <c r="B73" s="212"/>
      <c r="C73" s="266"/>
      <c r="D73" s="166"/>
      <c r="E73" s="23"/>
      <c r="F73" s="212"/>
      <c r="G73" s="266"/>
      <c r="H73" s="166"/>
      <c r="I73" s="23"/>
      <c r="J73" s="212"/>
      <c r="K73" s="266"/>
      <c r="L73" s="166"/>
      <c r="M73" s="23"/>
    </row>
    <row r="74" spans="1:14" s="3" customFormat="1" x14ac:dyDescent="0.2">
      <c r="A74" s="272" t="s">
        <v>13</v>
      </c>
      <c r="B74" s="212"/>
      <c r="C74" s="266"/>
      <c r="D74" s="166"/>
      <c r="E74" s="23"/>
      <c r="F74" s="212"/>
      <c r="G74" s="266"/>
      <c r="H74" s="166"/>
      <c r="I74" s="23"/>
      <c r="J74" s="212"/>
      <c r="K74" s="266"/>
      <c r="L74" s="166"/>
      <c r="M74" s="23"/>
      <c r="N74" s="148"/>
    </row>
    <row r="75" spans="1:14" s="3" customFormat="1" x14ac:dyDescent="0.2">
      <c r="A75" s="21" t="s">
        <v>326</v>
      </c>
      <c r="B75" s="211"/>
      <c r="C75" s="145"/>
      <c r="D75" s="166"/>
      <c r="E75" s="23"/>
      <c r="F75" s="211"/>
      <c r="G75" s="145"/>
      <c r="H75" s="166"/>
      <c r="I75" s="23"/>
      <c r="J75" s="145"/>
      <c r="K75" s="44"/>
      <c r="L75" s="231"/>
      <c r="M75" s="27"/>
      <c r="N75" s="148"/>
    </row>
    <row r="76" spans="1:14" s="3" customFormat="1" x14ac:dyDescent="0.2">
      <c r="A76" s="21" t="s">
        <v>325</v>
      </c>
      <c r="B76" s="211"/>
      <c r="C76" s="145"/>
      <c r="D76" s="166"/>
      <c r="E76" s="23"/>
      <c r="F76" s="211"/>
      <c r="G76" s="145"/>
      <c r="H76" s="166"/>
      <c r="I76" s="23"/>
      <c r="J76" s="145"/>
      <c r="K76" s="44"/>
      <c r="L76" s="231"/>
      <c r="M76" s="27"/>
      <c r="N76" s="148"/>
    </row>
    <row r="77" spans="1:14" ht="15.75" x14ac:dyDescent="0.2">
      <c r="A77" s="21" t="s">
        <v>358</v>
      </c>
      <c r="B77" s="211"/>
      <c r="C77" s="211"/>
      <c r="D77" s="166"/>
      <c r="E77" s="23"/>
      <c r="F77" s="211"/>
      <c r="G77" s="145"/>
      <c r="H77" s="166"/>
      <c r="I77" s="23"/>
      <c r="J77" s="145"/>
      <c r="K77" s="44"/>
      <c r="L77" s="231"/>
      <c r="M77" s="27"/>
    </row>
    <row r="78" spans="1:14" x14ac:dyDescent="0.2">
      <c r="A78" s="21" t="s">
        <v>9</v>
      </c>
      <c r="B78" s="211"/>
      <c r="C78" s="145"/>
      <c r="D78" s="166"/>
      <c r="E78" s="23"/>
      <c r="F78" s="211"/>
      <c r="G78" s="145"/>
      <c r="H78" s="166"/>
      <c r="I78" s="23"/>
      <c r="J78" s="145"/>
      <c r="K78" s="44"/>
      <c r="L78" s="231"/>
      <c r="M78" s="27"/>
    </row>
    <row r="79" spans="1:14" x14ac:dyDescent="0.2">
      <c r="A79" s="38" t="s">
        <v>398</v>
      </c>
      <c r="B79" s="268"/>
      <c r="C79" s="269"/>
      <c r="D79" s="166"/>
      <c r="E79" s="23"/>
      <c r="F79" s="268"/>
      <c r="G79" s="269"/>
      <c r="H79" s="166"/>
      <c r="I79" s="23"/>
      <c r="J79" s="145"/>
      <c r="K79" s="44"/>
      <c r="L79" s="231"/>
      <c r="M79" s="27"/>
    </row>
    <row r="80" spans="1:14" ht="15.75" x14ac:dyDescent="0.2">
      <c r="A80" s="272" t="s">
        <v>356</v>
      </c>
      <c r="B80" s="295"/>
      <c r="C80" s="295"/>
      <c r="D80" s="166"/>
      <c r="E80" s="23"/>
      <c r="F80" s="295"/>
      <c r="G80" s="295"/>
      <c r="H80" s="166"/>
      <c r="I80" s="23"/>
      <c r="J80" s="295"/>
      <c r="K80" s="295"/>
      <c r="L80" s="166"/>
      <c r="M80" s="23"/>
    </row>
    <row r="81" spans="1:13" x14ac:dyDescent="0.2">
      <c r="A81" s="272" t="s">
        <v>12</v>
      </c>
      <c r="B81" s="295"/>
      <c r="C81" s="295"/>
      <c r="D81" s="166"/>
      <c r="E81" s="23"/>
      <c r="F81" s="270"/>
      <c r="G81" s="271"/>
      <c r="H81" s="166"/>
      <c r="I81" s="23"/>
      <c r="J81" s="270"/>
      <c r="K81" s="271"/>
      <c r="L81" s="166"/>
      <c r="M81" s="23"/>
    </row>
    <row r="82" spans="1:13" x14ac:dyDescent="0.2">
      <c r="A82" s="272" t="s">
        <v>13</v>
      </c>
      <c r="B82" s="295"/>
      <c r="C82" s="295"/>
      <c r="D82" s="166"/>
      <c r="E82" s="23"/>
      <c r="F82" s="212"/>
      <c r="G82" s="266"/>
      <c r="H82" s="166"/>
      <c r="I82" s="23"/>
      <c r="J82" s="212"/>
      <c r="K82" s="266"/>
      <c r="L82" s="166"/>
      <c r="M82" s="23"/>
    </row>
    <row r="83" spans="1:13" ht="15.75" x14ac:dyDescent="0.2">
      <c r="A83" s="272" t="s">
        <v>357</v>
      </c>
      <c r="B83" s="295"/>
      <c r="C83" s="295"/>
      <c r="D83" s="166"/>
      <c r="E83" s="23"/>
      <c r="F83" s="295"/>
      <c r="G83" s="295"/>
      <c r="H83" s="166"/>
      <c r="I83" s="23"/>
      <c r="J83" s="295"/>
      <c r="K83" s="295"/>
      <c r="L83" s="166"/>
      <c r="M83" s="23"/>
    </row>
    <row r="84" spans="1:13" x14ac:dyDescent="0.2">
      <c r="A84" s="272" t="s">
        <v>12</v>
      </c>
      <c r="B84" s="212"/>
      <c r="C84" s="266"/>
      <c r="D84" s="166"/>
      <c r="E84" s="23"/>
      <c r="F84" s="212"/>
      <c r="G84" s="266"/>
      <c r="H84" s="166"/>
      <c r="I84" s="23"/>
      <c r="J84" s="212"/>
      <c r="K84" s="266"/>
      <c r="L84" s="166"/>
      <c r="M84" s="23"/>
    </row>
    <row r="85" spans="1:13" x14ac:dyDescent="0.2">
      <c r="A85" s="272" t="s">
        <v>13</v>
      </c>
      <c r="B85" s="212"/>
      <c r="C85" s="266"/>
      <c r="D85" s="166"/>
      <c r="E85" s="23"/>
      <c r="F85" s="212"/>
      <c r="G85" s="266"/>
      <c r="H85" s="166"/>
      <c r="I85" s="23"/>
      <c r="J85" s="212"/>
      <c r="K85" s="266"/>
      <c r="L85" s="166"/>
      <c r="M85" s="23"/>
    </row>
    <row r="86" spans="1:13" ht="15.75" x14ac:dyDescent="0.2">
      <c r="A86" s="21" t="s">
        <v>359</v>
      </c>
      <c r="B86" s="211"/>
      <c r="C86" s="145"/>
      <c r="D86" s="166"/>
      <c r="E86" s="23"/>
      <c r="F86" s="211"/>
      <c r="G86" s="145"/>
      <c r="H86" s="166"/>
      <c r="I86" s="23"/>
      <c r="J86" s="145"/>
      <c r="K86" s="44"/>
      <c r="L86" s="231"/>
      <c r="M86" s="27"/>
    </row>
    <row r="87" spans="1:13" ht="15.75" x14ac:dyDescent="0.2">
      <c r="A87" s="13" t="s">
        <v>341</v>
      </c>
      <c r="B87" s="329"/>
      <c r="C87" s="329"/>
      <c r="D87" s="171"/>
      <c r="E87" s="24"/>
      <c r="F87" s="328"/>
      <c r="G87" s="328"/>
      <c r="H87" s="171"/>
      <c r="I87" s="24"/>
      <c r="J87" s="159"/>
      <c r="K87" s="213"/>
      <c r="L87" s="402"/>
      <c r="M87" s="11"/>
    </row>
    <row r="88" spans="1:13" x14ac:dyDescent="0.2">
      <c r="A88" s="21" t="s">
        <v>9</v>
      </c>
      <c r="B88" s="211"/>
      <c r="C88" s="145"/>
      <c r="D88" s="166"/>
      <c r="E88" s="23"/>
      <c r="F88" s="211"/>
      <c r="G88" s="145"/>
      <c r="H88" s="166"/>
      <c r="I88" s="23"/>
      <c r="J88" s="145"/>
      <c r="K88" s="44"/>
      <c r="L88" s="231"/>
      <c r="M88" s="27"/>
    </row>
    <row r="89" spans="1:13" x14ac:dyDescent="0.2">
      <c r="A89" s="21" t="s">
        <v>10</v>
      </c>
      <c r="B89" s="211"/>
      <c r="C89" s="145"/>
      <c r="D89" s="166"/>
      <c r="E89" s="23"/>
      <c r="F89" s="211"/>
      <c r="G89" s="145"/>
      <c r="H89" s="166"/>
      <c r="I89" s="23"/>
      <c r="J89" s="145"/>
      <c r="K89" s="44"/>
      <c r="L89" s="231"/>
      <c r="M89" s="27"/>
    </row>
    <row r="90" spans="1:13" ht="15.75" x14ac:dyDescent="0.2">
      <c r="A90" s="272" t="s">
        <v>356</v>
      </c>
      <c r="B90" s="295"/>
      <c r="C90" s="295"/>
      <c r="D90" s="166"/>
      <c r="E90" s="23"/>
      <c r="F90" s="295"/>
      <c r="G90" s="295"/>
      <c r="H90" s="166"/>
      <c r="I90" s="23"/>
      <c r="J90" s="295"/>
      <c r="K90" s="295"/>
      <c r="L90" s="166"/>
      <c r="M90" s="23"/>
    </row>
    <row r="91" spans="1:13" x14ac:dyDescent="0.2">
      <c r="A91" s="272" t="s">
        <v>12</v>
      </c>
      <c r="B91" s="295"/>
      <c r="C91" s="295"/>
      <c r="D91" s="166"/>
      <c r="E91" s="23"/>
      <c r="F91" s="270"/>
      <c r="G91" s="271"/>
      <c r="H91" s="166"/>
      <c r="I91" s="23"/>
      <c r="J91" s="270"/>
      <c r="K91" s="271"/>
      <c r="L91" s="166"/>
      <c r="M91" s="23"/>
    </row>
    <row r="92" spans="1:13" x14ac:dyDescent="0.2">
      <c r="A92" s="272" t="s">
        <v>13</v>
      </c>
      <c r="B92" s="295"/>
      <c r="C92" s="295"/>
      <c r="D92" s="166"/>
      <c r="E92" s="23"/>
      <c r="F92" s="212"/>
      <c r="G92" s="266"/>
      <c r="H92" s="166"/>
      <c r="I92" s="23"/>
      <c r="J92" s="212"/>
      <c r="K92" s="266"/>
      <c r="L92" s="166"/>
      <c r="M92" s="23"/>
    </row>
    <row r="93" spans="1:13" ht="15.75" x14ac:dyDescent="0.2">
      <c r="A93" s="272" t="s">
        <v>357</v>
      </c>
      <c r="B93" s="295"/>
      <c r="C93" s="295"/>
      <c r="D93" s="166"/>
      <c r="E93" s="23"/>
      <c r="F93" s="295"/>
      <c r="G93" s="295"/>
      <c r="H93" s="166"/>
      <c r="I93" s="23"/>
      <c r="J93" s="295"/>
      <c r="K93" s="295"/>
      <c r="L93" s="166"/>
      <c r="M93" s="23"/>
    </row>
    <row r="94" spans="1:13" x14ac:dyDescent="0.2">
      <c r="A94" s="272" t="s">
        <v>12</v>
      </c>
      <c r="B94" s="212"/>
      <c r="C94" s="266"/>
      <c r="D94" s="166"/>
      <c r="E94" s="23"/>
      <c r="F94" s="212"/>
      <c r="G94" s="266"/>
      <c r="H94" s="166"/>
      <c r="I94" s="23"/>
      <c r="J94" s="212"/>
      <c r="K94" s="266"/>
      <c r="L94" s="166"/>
      <c r="M94" s="23"/>
    </row>
    <row r="95" spans="1:13" x14ac:dyDescent="0.2">
      <c r="A95" s="272" t="s">
        <v>13</v>
      </c>
      <c r="B95" s="212"/>
      <c r="C95" s="266"/>
      <c r="D95" s="166"/>
      <c r="E95" s="23"/>
      <c r="F95" s="212"/>
      <c r="G95" s="266"/>
      <c r="H95" s="166"/>
      <c r="I95" s="23"/>
      <c r="J95" s="212"/>
      <c r="K95" s="266"/>
      <c r="L95" s="166"/>
      <c r="M95" s="23"/>
    </row>
    <row r="96" spans="1:13" x14ac:dyDescent="0.2">
      <c r="A96" s="21" t="s">
        <v>324</v>
      </c>
      <c r="B96" s="211"/>
      <c r="C96" s="145"/>
      <c r="D96" s="166"/>
      <c r="E96" s="23"/>
      <c r="F96" s="211"/>
      <c r="G96" s="145"/>
      <c r="H96" s="166"/>
      <c r="I96" s="23"/>
      <c r="J96" s="145"/>
      <c r="K96" s="44"/>
      <c r="L96" s="231"/>
      <c r="M96" s="27"/>
    </row>
    <row r="97" spans="1:13" x14ac:dyDescent="0.2">
      <c r="A97" s="21" t="s">
        <v>323</v>
      </c>
      <c r="B97" s="211"/>
      <c r="C97" s="145"/>
      <c r="D97" s="166"/>
      <c r="E97" s="23"/>
      <c r="F97" s="211"/>
      <c r="G97" s="145"/>
      <c r="H97" s="166"/>
      <c r="I97" s="23"/>
      <c r="J97" s="145"/>
      <c r="K97" s="44"/>
      <c r="L97" s="231"/>
      <c r="M97" s="27"/>
    </row>
    <row r="98" spans="1:13" ht="15.75" x14ac:dyDescent="0.2">
      <c r="A98" s="21" t="s">
        <v>358</v>
      </c>
      <c r="B98" s="211"/>
      <c r="C98" s="211"/>
      <c r="D98" s="166"/>
      <c r="E98" s="23"/>
      <c r="F98" s="268"/>
      <c r="G98" s="268"/>
      <c r="H98" s="166"/>
      <c r="I98" s="23"/>
      <c r="J98" s="145"/>
      <c r="K98" s="44"/>
      <c r="L98" s="231"/>
      <c r="M98" s="27"/>
    </row>
    <row r="99" spans="1:13" x14ac:dyDescent="0.2">
      <c r="A99" s="21" t="s">
        <v>9</v>
      </c>
      <c r="B99" s="268"/>
      <c r="C99" s="269"/>
      <c r="D99" s="166"/>
      <c r="E99" s="23"/>
      <c r="F99" s="211"/>
      <c r="G99" s="145"/>
      <c r="H99" s="166"/>
      <c r="I99" s="23"/>
      <c r="J99" s="145"/>
      <c r="K99" s="44"/>
      <c r="L99" s="231"/>
      <c r="M99" s="27"/>
    </row>
    <row r="100" spans="1:13" ht="15.75" x14ac:dyDescent="0.2">
      <c r="A100" s="38" t="s">
        <v>399</v>
      </c>
      <c r="B100" s="268"/>
      <c r="C100" s="269"/>
      <c r="D100" s="166"/>
      <c r="E100" s="23"/>
      <c r="F100" s="211"/>
      <c r="G100" s="211"/>
      <c r="H100" s="166"/>
      <c r="I100" s="23"/>
      <c r="J100" s="145"/>
      <c r="K100" s="44"/>
      <c r="L100" s="231"/>
      <c r="M100" s="27"/>
    </row>
    <row r="101" spans="1:13" ht="15.75" x14ac:dyDescent="0.2">
      <c r="A101" s="38" t="s">
        <v>400</v>
      </c>
      <c r="B101" s="268"/>
      <c r="C101" s="268"/>
      <c r="D101" s="166"/>
      <c r="E101" s="23"/>
      <c r="F101" s="268"/>
      <c r="G101" s="268"/>
      <c r="H101" s="166"/>
      <c r="I101" s="23"/>
      <c r="J101" s="145"/>
      <c r="K101" s="44"/>
      <c r="L101" s="231"/>
      <c r="M101" s="27"/>
    </row>
    <row r="102" spans="1:13" ht="15.75" x14ac:dyDescent="0.2">
      <c r="A102" s="272" t="s">
        <v>356</v>
      </c>
      <c r="B102" s="295"/>
      <c r="C102" s="295"/>
      <c r="D102" s="166"/>
      <c r="E102" s="23"/>
      <c r="F102" s="295"/>
      <c r="G102" s="295"/>
      <c r="H102" s="166"/>
      <c r="I102" s="23"/>
      <c r="J102" s="295"/>
      <c r="K102" s="295"/>
      <c r="L102" s="166"/>
      <c r="M102" s="23"/>
    </row>
    <row r="103" spans="1:13" x14ac:dyDescent="0.2">
      <c r="A103" s="272" t="s">
        <v>12</v>
      </c>
      <c r="B103" s="295"/>
      <c r="C103" s="295"/>
      <c r="D103" s="166"/>
      <c r="E103" s="23"/>
      <c r="F103" s="270"/>
      <c r="G103" s="271"/>
      <c r="H103" s="166"/>
      <c r="I103" s="23"/>
      <c r="J103" s="270"/>
      <c r="K103" s="271"/>
      <c r="L103" s="166"/>
      <c r="M103" s="23"/>
    </row>
    <row r="104" spans="1:13" x14ac:dyDescent="0.2">
      <c r="A104" s="272" t="s">
        <v>13</v>
      </c>
      <c r="B104" s="295"/>
      <c r="C104" s="295"/>
      <c r="D104" s="166"/>
      <c r="E104" s="23"/>
      <c r="F104" s="212"/>
      <c r="G104" s="266"/>
      <c r="H104" s="166"/>
      <c r="I104" s="23"/>
      <c r="J104" s="212"/>
      <c r="K104" s="266"/>
      <c r="L104" s="166"/>
      <c r="M104" s="23"/>
    </row>
    <row r="105" spans="1:13" ht="15.75" x14ac:dyDescent="0.2">
      <c r="A105" s="272" t="s">
        <v>357</v>
      </c>
      <c r="B105" s="295"/>
      <c r="C105" s="295"/>
      <c r="D105" s="166"/>
      <c r="E105" s="23"/>
      <c r="F105" s="295"/>
      <c r="G105" s="295"/>
      <c r="H105" s="166"/>
      <c r="I105" s="23"/>
      <c r="J105" s="295"/>
      <c r="K105" s="295"/>
      <c r="L105" s="166"/>
      <c r="M105" s="23"/>
    </row>
    <row r="106" spans="1:13" x14ac:dyDescent="0.2">
      <c r="A106" s="272" t="s">
        <v>12</v>
      </c>
      <c r="B106" s="212"/>
      <c r="C106" s="266"/>
      <c r="D106" s="166"/>
      <c r="E106" s="23"/>
      <c r="F106" s="212"/>
      <c r="G106" s="266"/>
      <c r="H106" s="166"/>
      <c r="I106" s="23"/>
      <c r="J106" s="212"/>
      <c r="K106" s="266"/>
      <c r="L106" s="166"/>
      <c r="M106" s="23"/>
    </row>
    <row r="107" spans="1:13" x14ac:dyDescent="0.2">
      <c r="A107" s="272" t="s">
        <v>13</v>
      </c>
      <c r="B107" s="212"/>
      <c r="C107" s="266"/>
      <c r="D107" s="166"/>
      <c r="E107" s="23"/>
      <c r="F107" s="212"/>
      <c r="G107" s="266"/>
      <c r="H107" s="166"/>
      <c r="I107" s="23"/>
      <c r="J107" s="212"/>
      <c r="K107" s="266"/>
      <c r="L107" s="166"/>
      <c r="M107" s="23"/>
    </row>
    <row r="108" spans="1:13" ht="15.75" x14ac:dyDescent="0.2">
      <c r="A108" s="21" t="s">
        <v>359</v>
      </c>
      <c r="B108" s="211"/>
      <c r="C108" s="145"/>
      <c r="D108" s="166"/>
      <c r="E108" s="23"/>
      <c r="F108" s="211"/>
      <c r="G108" s="145"/>
      <c r="H108" s="166"/>
      <c r="I108" s="23"/>
      <c r="J108" s="145"/>
      <c r="K108" s="44"/>
      <c r="L108" s="231"/>
      <c r="M108" s="27"/>
    </row>
    <row r="109" spans="1:13" ht="15.75" x14ac:dyDescent="0.2">
      <c r="A109" s="21" t="s">
        <v>360</v>
      </c>
      <c r="B109" s="211"/>
      <c r="C109" s="211"/>
      <c r="D109" s="166"/>
      <c r="E109" s="23"/>
      <c r="F109" s="211"/>
      <c r="G109" s="211"/>
      <c r="H109" s="166"/>
      <c r="I109" s="23"/>
      <c r="J109" s="145"/>
      <c r="K109" s="44"/>
      <c r="L109" s="231"/>
      <c r="M109" s="27"/>
    </row>
    <row r="110" spans="1:13" ht="15.75" x14ac:dyDescent="0.2">
      <c r="A110" s="38" t="s">
        <v>416</v>
      </c>
      <c r="B110" s="211"/>
      <c r="C110" s="211"/>
      <c r="D110" s="166"/>
      <c r="E110" s="23"/>
      <c r="F110" s="211"/>
      <c r="G110" s="211"/>
      <c r="H110" s="166"/>
      <c r="I110" s="23"/>
      <c r="J110" s="145"/>
      <c r="K110" s="44"/>
      <c r="L110" s="231"/>
      <c r="M110" s="27"/>
    </row>
    <row r="111" spans="1:13" ht="15.75" x14ac:dyDescent="0.2">
      <c r="A111" s="21" t="s">
        <v>362</v>
      </c>
      <c r="B111" s="211"/>
      <c r="C111" s="211"/>
      <c r="D111" s="166"/>
      <c r="E111" s="23"/>
      <c r="F111" s="211"/>
      <c r="G111" s="211"/>
      <c r="H111" s="166"/>
      <c r="I111" s="23"/>
      <c r="J111" s="145"/>
      <c r="K111" s="44"/>
      <c r="L111" s="231"/>
      <c r="M111" s="27"/>
    </row>
    <row r="112" spans="1:13" ht="15.75" x14ac:dyDescent="0.2">
      <c r="A112" s="13" t="s">
        <v>342</v>
      </c>
      <c r="B112" s="284"/>
      <c r="C112" s="159"/>
      <c r="D112" s="171"/>
      <c r="E112" s="24"/>
      <c r="F112" s="284"/>
      <c r="G112" s="159"/>
      <c r="H112" s="171"/>
      <c r="I112" s="24"/>
      <c r="J112" s="159"/>
      <c r="K112" s="213"/>
      <c r="L112" s="402"/>
      <c r="M112" s="11"/>
    </row>
    <row r="113" spans="1:14" x14ac:dyDescent="0.2">
      <c r="A113" s="21" t="s">
        <v>9</v>
      </c>
      <c r="B113" s="211"/>
      <c r="C113" s="145"/>
      <c r="D113" s="166"/>
      <c r="E113" s="23"/>
      <c r="F113" s="211"/>
      <c r="G113" s="145"/>
      <c r="H113" s="166"/>
      <c r="I113" s="23"/>
      <c r="J113" s="145"/>
      <c r="K113" s="44"/>
      <c r="L113" s="231"/>
      <c r="M113" s="27"/>
    </row>
    <row r="114" spans="1:14" x14ac:dyDescent="0.2">
      <c r="A114" s="21" t="s">
        <v>10</v>
      </c>
      <c r="B114" s="211"/>
      <c r="C114" s="145"/>
      <c r="D114" s="166"/>
      <c r="E114" s="23"/>
      <c r="F114" s="211"/>
      <c r="G114" s="145"/>
      <c r="H114" s="166"/>
      <c r="I114" s="23"/>
      <c r="J114" s="145"/>
      <c r="K114" s="44"/>
      <c r="L114" s="231"/>
      <c r="M114" s="27"/>
    </row>
    <row r="115" spans="1:14" x14ac:dyDescent="0.2">
      <c r="A115" s="21" t="s">
        <v>26</v>
      </c>
      <c r="B115" s="211"/>
      <c r="C115" s="145"/>
      <c r="D115" s="166"/>
      <c r="E115" s="23"/>
      <c r="F115" s="211"/>
      <c r="G115" s="145"/>
      <c r="H115" s="166"/>
      <c r="I115" s="23"/>
      <c r="J115" s="145"/>
      <c r="K115" s="44"/>
      <c r="L115" s="231"/>
      <c r="M115" s="27"/>
    </row>
    <row r="116" spans="1:14" x14ac:dyDescent="0.2">
      <c r="A116" s="272" t="s">
        <v>15</v>
      </c>
      <c r="B116" s="258"/>
      <c r="C116" s="258"/>
      <c r="D116" s="166"/>
      <c r="E116" s="23"/>
      <c r="F116" s="665"/>
      <c r="G116" s="258"/>
      <c r="H116" s="166"/>
      <c r="I116" s="23"/>
      <c r="J116" s="667"/>
      <c r="K116" s="267"/>
      <c r="L116" s="166"/>
      <c r="M116" s="23"/>
    </row>
    <row r="117" spans="1:14" ht="15.75" x14ac:dyDescent="0.2">
      <c r="A117" s="21" t="s">
        <v>363</v>
      </c>
      <c r="B117" s="211"/>
      <c r="C117" s="211"/>
      <c r="D117" s="166"/>
      <c r="E117" s="23"/>
      <c r="F117" s="211"/>
      <c r="G117" s="211"/>
      <c r="H117" s="166"/>
      <c r="I117" s="23"/>
      <c r="J117" s="145"/>
      <c r="K117" s="44"/>
      <c r="L117" s="231"/>
      <c r="M117" s="27"/>
    </row>
    <row r="118" spans="1:14" ht="15.75" x14ac:dyDescent="0.2">
      <c r="A118" s="21" t="s">
        <v>364</v>
      </c>
      <c r="B118" s="211"/>
      <c r="C118" s="211"/>
      <c r="D118" s="166"/>
      <c r="E118" s="23"/>
      <c r="F118" s="211"/>
      <c r="G118" s="211"/>
      <c r="H118" s="166"/>
      <c r="I118" s="23"/>
      <c r="J118" s="145"/>
      <c r="K118" s="44"/>
      <c r="L118" s="231"/>
      <c r="M118" s="27"/>
    </row>
    <row r="119" spans="1:14" ht="15.75" x14ac:dyDescent="0.2">
      <c r="A119" s="21" t="s">
        <v>362</v>
      </c>
      <c r="B119" s="211"/>
      <c r="C119" s="211"/>
      <c r="D119" s="166"/>
      <c r="E119" s="23"/>
      <c r="F119" s="211"/>
      <c r="G119" s="211"/>
      <c r="H119" s="166"/>
      <c r="I119" s="23"/>
      <c r="J119" s="145"/>
      <c r="K119" s="44"/>
      <c r="L119" s="231"/>
      <c r="M119" s="27"/>
    </row>
    <row r="120" spans="1:14" ht="15.75" x14ac:dyDescent="0.2">
      <c r="A120" s="13" t="s">
        <v>343</v>
      </c>
      <c r="B120" s="284"/>
      <c r="C120" s="159"/>
      <c r="D120" s="171"/>
      <c r="E120" s="24"/>
      <c r="F120" s="284"/>
      <c r="G120" s="159"/>
      <c r="H120" s="171"/>
      <c r="I120" s="24"/>
      <c r="J120" s="159"/>
      <c r="K120" s="213"/>
      <c r="L120" s="402"/>
      <c r="M120" s="11"/>
    </row>
    <row r="121" spans="1:14" x14ac:dyDescent="0.2">
      <c r="A121" s="21" t="s">
        <v>9</v>
      </c>
      <c r="B121" s="211"/>
      <c r="C121" s="145"/>
      <c r="D121" s="166"/>
      <c r="E121" s="23"/>
      <c r="F121" s="211"/>
      <c r="G121" s="145"/>
      <c r="H121" s="166"/>
      <c r="I121" s="23"/>
      <c r="J121" s="145"/>
      <c r="K121" s="44"/>
      <c r="L121" s="231"/>
      <c r="M121" s="27"/>
    </row>
    <row r="122" spans="1:14" x14ac:dyDescent="0.2">
      <c r="A122" s="21" t="s">
        <v>10</v>
      </c>
      <c r="B122" s="211"/>
      <c r="C122" s="145"/>
      <c r="D122" s="166"/>
      <c r="E122" s="23"/>
      <c r="F122" s="211"/>
      <c r="G122" s="145"/>
      <c r="H122" s="166"/>
      <c r="I122" s="23"/>
      <c r="J122" s="145"/>
      <c r="K122" s="44"/>
      <c r="L122" s="231"/>
      <c r="M122" s="27"/>
    </row>
    <row r="123" spans="1:14" x14ac:dyDescent="0.2">
      <c r="A123" s="21" t="s">
        <v>26</v>
      </c>
      <c r="B123" s="211"/>
      <c r="C123" s="145"/>
      <c r="D123" s="166"/>
      <c r="E123" s="23"/>
      <c r="F123" s="211"/>
      <c r="G123" s="145"/>
      <c r="H123" s="166"/>
      <c r="I123" s="23"/>
      <c r="J123" s="145"/>
      <c r="K123" s="44"/>
      <c r="L123" s="231"/>
      <c r="M123" s="27"/>
    </row>
    <row r="124" spans="1:14" x14ac:dyDescent="0.2">
      <c r="A124" s="272" t="s">
        <v>14</v>
      </c>
      <c r="B124" s="258"/>
      <c r="C124" s="258"/>
      <c r="D124" s="166"/>
      <c r="E124" s="23"/>
      <c r="F124" s="665"/>
      <c r="G124" s="258"/>
      <c r="H124" s="166"/>
      <c r="I124" s="23"/>
      <c r="J124" s="667"/>
      <c r="K124" s="267"/>
      <c r="L124" s="166"/>
      <c r="M124" s="23"/>
    </row>
    <row r="125" spans="1:14" ht="15.75" x14ac:dyDescent="0.2">
      <c r="A125" s="21" t="s">
        <v>369</v>
      </c>
      <c r="B125" s="211"/>
      <c r="C125" s="211"/>
      <c r="D125" s="166"/>
      <c r="E125" s="23"/>
      <c r="F125" s="211"/>
      <c r="G125" s="211"/>
      <c r="H125" s="166"/>
      <c r="I125" s="23"/>
      <c r="J125" s="145"/>
      <c r="K125" s="44"/>
      <c r="L125" s="231"/>
      <c r="M125" s="27"/>
    </row>
    <row r="126" spans="1:14" ht="15.75" x14ac:dyDescent="0.2">
      <c r="A126" s="21" t="s">
        <v>361</v>
      </c>
      <c r="B126" s="211"/>
      <c r="C126" s="211"/>
      <c r="D126" s="166"/>
      <c r="E126" s="23"/>
      <c r="F126" s="211"/>
      <c r="G126" s="211"/>
      <c r="H126" s="166"/>
      <c r="I126" s="23"/>
      <c r="J126" s="145"/>
      <c r="K126" s="44"/>
      <c r="L126" s="231"/>
      <c r="M126" s="27"/>
    </row>
    <row r="127" spans="1:14" ht="15.75" x14ac:dyDescent="0.2">
      <c r="A127" s="10" t="s">
        <v>362</v>
      </c>
      <c r="B127" s="45"/>
      <c r="C127" s="45"/>
      <c r="D127" s="167"/>
      <c r="E127" s="22"/>
      <c r="F127" s="666"/>
      <c r="G127" s="45"/>
      <c r="H127" s="167"/>
      <c r="I127" s="22"/>
      <c r="J127" s="668"/>
      <c r="K127" s="45"/>
      <c r="L127" s="232"/>
      <c r="M127" s="22"/>
    </row>
    <row r="128" spans="1:14" x14ac:dyDescent="0.2">
      <c r="A128" s="155"/>
      <c r="L128" s="26"/>
      <c r="M128" s="26"/>
      <c r="N128" s="26"/>
    </row>
    <row r="129" spans="1:14" x14ac:dyDescent="0.2">
      <c r="L129" s="26"/>
      <c r="M129" s="26"/>
      <c r="N129" s="26"/>
    </row>
    <row r="130" spans="1:14" ht="15.75" x14ac:dyDescent="0.25">
      <c r="A130" s="165" t="s">
        <v>27</v>
      </c>
    </row>
    <row r="131" spans="1:14" ht="15.75" x14ac:dyDescent="0.25">
      <c r="B131" s="694"/>
      <c r="C131" s="694"/>
      <c r="D131" s="694"/>
      <c r="E131" s="275"/>
      <c r="F131" s="694"/>
      <c r="G131" s="694"/>
      <c r="H131" s="694"/>
      <c r="I131" s="275"/>
      <c r="J131" s="694"/>
      <c r="K131" s="694"/>
      <c r="L131" s="694"/>
      <c r="M131" s="275"/>
    </row>
    <row r="132" spans="1:14" s="3" customFormat="1" x14ac:dyDescent="0.2">
      <c r="A132" s="144"/>
      <c r="B132" s="695" t="s">
        <v>0</v>
      </c>
      <c r="C132" s="696"/>
      <c r="D132" s="696"/>
      <c r="E132" s="277"/>
      <c r="F132" s="695" t="s">
        <v>1</v>
      </c>
      <c r="G132" s="696"/>
      <c r="H132" s="696"/>
      <c r="I132" s="280"/>
      <c r="J132" s="695" t="s">
        <v>2</v>
      </c>
      <c r="K132" s="696"/>
      <c r="L132" s="696"/>
      <c r="M132" s="280"/>
      <c r="N132" s="148"/>
    </row>
    <row r="133" spans="1:14" s="3" customFormat="1" x14ac:dyDescent="0.2">
      <c r="A133" s="140"/>
      <c r="B133" s="152" t="s">
        <v>412</v>
      </c>
      <c r="C133" s="152" t="s">
        <v>413</v>
      </c>
      <c r="D133" s="222" t="s">
        <v>3</v>
      </c>
      <c r="E133" s="281" t="s">
        <v>29</v>
      </c>
      <c r="F133" s="152" t="s">
        <v>412</v>
      </c>
      <c r="G133" s="152" t="s">
        <v>413</v>
      </c>
      <c r="H133" s="203" t="s">
        <v>3</v>
      </c>
      <c r="I133" s="162" t="s">
        <v>29</v>
      </c>
      <c r="J133" s="152" t="s">
        <v>412</v>
      </c>
      <c r="K133" s="152" t="s">
        <v>413</v>
      </c>
      <c r="L133" s="223" t="s">
        <v>3</v>
      </c>
      <c r="M133" s="162" t="s">
        <v>29</v>
      </c>
      <c r="N133" s="148"/>
    </row>
    <row r="134" spans="1:14" s="3" customFormat="1" x14ac:dyDescent="0.2">
      <c r="A134" s="662"/>
      <c r="B134" s="156"/>
      <c r="C134" s="156"/>
      <c r="D134" s="223" t="s">
        <v>4</v>
      </c>
      <c r="E134" s="156" t="s">
        <v>30</v>
      </c>
      <c r="F134" s="161"/>
      <c r="G134" s="161"/>
      <c r="H134" s="203" t="s">
        <v>4</v>
      </c>
      <c r="I134" s="156" t="s">
        <v>30</v>
      </c>
      <c r="J134" s="156"/>
      <c r="K134" s="156"/>
      <c r="L134" s="150" t="s">
        <v>4</v>
      </c>
      <c r="M134" s="156" t="s">
        <v>30</v>
      </c>
      <c r="N134" s="148"/>
    </row>
    <row r="135" spans="1:14" s="3" customFormat="1" ht="15.75" x14ac:dyDescent="0.2">
      <c r="A135" s="14" t="s">
        <v>365</v>
      </c>
      <c r="B135" s="213"/>
      <c r="C135" s="285"/>
      <c r="D135" s="326"/>
      <c r="E135" s="11"/>
      <c r="F135" s="292"/>
      <c r="G135" s="293"/>
      <c r="H135" s="405"/>
      <c r="I135" s="24"/>
      <c r="J135" s="294"/>
      <c r="K135" s="294"/>
      <c r="L135" s="401"/>
      <c r="M135" s="11"/>
      <c r="N135" s="148"/>
    </row>
    <row r="136" spans="1:14" s="3" customFormat="1" ht="15.75" x14ac:dyDescent="0.2">
      <c r="A136" s="13" t="s">
        <v>370</v>
      </c>
      <c r="B136" s="213"/>
      <c r="C136" s="285"/>
      <c r="D136" s="171"/>
      <c r="E136" s="11"/>
      <c r="F136" s="213"/>
      <c r="G136" s="285"/>
      <c r="H136" s="406"/>
      <c r="I136" s="24"/>
      <c r="J136" s="284"/>
      <c r="K136" s="284"/>
      <c r="L136" s="402"/>
      <c r="M136" s="11"/>
      <c r="N136" s="148"/>
    </row>
    <row r="137" spans="1:14" s="3" customFormat="1" ht="15.75" x14ac:dyDescent="0.2">
      <c r="A137" s="13" t="s">
        <v>367</v>
      </c>
      <c r="B137" s="213"/>
      <c r="C137" s="285"/>
      <c r="D137" s="171"/>
      <c r="E137" s="11"/>
      <c r="F137" s="213"/>
      <c r="G137" s="285"/>
      <c r="H137" s="406"/>
      <c r="I137" s="24"/>
      <c r="J137" s="284"/>
      <c r="K137" s="284"/>
      <c r="L137" s="402"/>
      <c r="M137" s="11"/>
      <c r="N137" s="148"/>
    </row>
    <row r="138" spans="1:14" s="3" customFormat="1" ht="15.75" x14ac:dyDescent="0.2">
      <c r="A138" s="41" t="s">
        <v>368</v>
      </c>
      <c r="B138" s="253"/>
      <c r="C138" s="291"/>
      <c r="D138" s="169"/>
      <c r="E138" s="9"/>
      <c r="F138" s="253"/>
      <c r="G138" s="291"/>
      <c r="H138" s="407"/>
      <c r="I138" s="36"/>
      <c r="J138" s="290"/>
      <c r="K138" s="290"/>
      <c r="L138" s="403"/>
      <c r="M138" s="36"/>
      <c r="N138" s="148"/>
    </row>
    <row r="139" spans="1:14" s="3" customFormat="1"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68"/>
      <c r="B141" s="33"/>
      <c r="C141" s="33"/>
      <c r="D141" s="159"/>
      <c r="E141" s="159"/>
      <c r="F141" s="33"/>
      <c r="G141" s="33"/>
      <c r="H141" s="159"/>
      <c r="I141" s="159"/>
      <c r="J141" s="33"/>
      <c r="K141" s="33"/>
      <c r="L141" s="159"/>
      <c r="M141" s="159"/>
      <c r="N141" s="148"/>
    </row>
    <row r="142" spans="1:14" x14ac:dyDescent="0.2">
      <c r="A142" s="146"/>
      <c r="B142" s="146"/>
      <c r="C142" s="146"/>
      <c r="D142" s="146"/>
      <c r="E142" s="146"/>
      <c r="F142" s="146"/>
      <c r="G142" s="146"/>
      <c r="H142" s="146"/>
      <c r="I142" s="146"/>
      <c r="J142" s="146"/>
      <c r="K142" s="146"/>
      <c r="L142" s="146"/>
      <c r="M142" s="146"/>
      <c r="N142" s="146"/>
    </row>
    <row r="143" spans="1:14" ht="15.75" x14ac:dyDescent="0.25">
      <c r="B143" s="142"/>
      <c r="C143" s="142"/>
      <c r="D143" s="142"/>
      <c r="E143" s="142"/>
      <c r="F143" s="142"/>
      <c r="G143" s="142"/>
      <c r="H143" s="142"/>
      <c r="I143" s="142"/>
      <c r="J143" s="142"/>
      <c r="K143" s="142"/>
      <c r="L143" s="142"/>
      <c r="M143" s="142"/>
      <c r="N143" s="142"/>
    </row>
    <row r="144" spans="1:14" ht="15.75" x14ac:dyDescent="0.25">
      <c r="B144" s="157"/>
      <c r="C144" s="157"/>
      <c r="D144" s="157"/>
      <c r="E144" s="157"/>
      <c r="F144" s="157"/>
      <c r="G144" s="157"/>
      <c r="H144" s="157"/>
      <c r="I144" s="157"/>
      <c r="J144" s="157"/>
      <c r="K144" s="157"/>
      <c r="L144" s="157"/>
      <c r="M144" s="157"/>
      <c r="N144" s="157"/>
    </row>
    <row r="145" spans="2:14" ht="15.75" x14ac:dyDescent="0.25">
      <c r="B145" s="157"/>
      <c r="C145" s="157"/>
      <c r="D145" s="157"/>
      <c r="E145" s="157"/>
      <c r="F145" s="157"/>
      <c r="G145" s="157"/>
      <c r="H145" s="157"/>
      <c r="I145" s="157"/>
      <c r="J145" s="157"/>
      <c r="K145" s="157"/>
      <c r="L145" s="157"/>
      <c r="M145" s="157"/>
      <c r="N145" s="157"/>
    </row>
  </sheetData>
  <mergeCells count="31">
    <mergeCell ref="B132:D132"/>
    <mergeCell ref="F132:H132"/>
    <mergeCell ref="J132:L132"/>
    <mergeCell ref="B63:D63"/>
    <mergeCell ref="F63:H63"/>
    <mergeCell ref="J63:L63"/>
    <mergeCell ref="B131:D131"/>
    <mergeCell ref="F131:H131"/>
    <mergeCell ref="J131:L131"/>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6">
    <cfRule type="expression" dxfId="456" priority="76">
      <formula>kvartal &lt; 4</formula>
    </cfRule>
  </conditionalFormatting>
  <conditionalFormatting sqref="C116">
    <cfRule type="expression" dxfId="455" priority="75">
      <formula>kvartal &lt; 4</formula>
    </cfRule>
  </conditionalFormatting>
  <conditionalFormatting sqref="B124">
    <cfRule type="expression" dxfId="454" priority="74">
      <formula>kvartal &lt; 4</formula>
    </cfRule>
  </conditionalFormatting>
  <conditionalFormatting sqref="C124">
    <cfRule type="expression" dxfId="453" priority="73">
      <formula>kvartal &lt; 4</formula>
    </cfRule>
  </conditionalFormatting>
  <conditionalFormatting sqref="F116">
    <cfRule type="expression" dxfId="452" priority="58">
      <formula>kvartal &lt; 4</formula>
    </cfRule>
  </conditionalFormatting>
  <conditionalFormatting sqref="G116">
    <cfRule type="expression" dxfId="451" priority="57">
      <formula>kvartal &lt; 4</formula>
    </cfRule>
  </conditionalFormatting>
  <conditionalFormatting sqref="F124:G124">
    <cfRule type="expression" dxfId="450" priority="56">
      <formula>kvartal &lt; 4</formula>
    </cfRule>
  </conditionalFormatting>
  <conditionalFormatting sqref="J116:K116">
    <cfRule type="expression" dxfId="449" priority="32">
      <formula>kvartal &lt; 4</formula>
    </cfRule>
  </conditionalFormatting>
  <conditionalFormatting sqref="J124:K124">
    <cfRule type="expression" dxfId="448" priority="31">
      <formula>kvartal &lt; 4</formula>
    </cfRule>
  </conditionalFormatting>
  <conditionalFormatting sqref="A50:A52">
    <cfRule type="expression" dxfId="447" priority="12">
      <formula>kvartal &lt; 4</formula>
    </cfRule>
  </conditionalFormatting>
  <conditionalFormatting sqref="A69:A74">
    <cfRule type="expression" dxfId="446" priority="10">
      <formula>kvartal &lt; 4</formula>
    </cfRule>
  </conditionalFormatting>
  <conditionalFormatting sqref="A80:A85">
    <cfRule type="expression" dxfId="445" priority="9">
      <formula>kvartal &lt; 4</formula>
    </cfRule>
  </conditionalFormatting>
  <conditionalFormatting sqref="A90:A95">
    <cfRule type="expression" dxfId="444" priority="6">
      <formula>kvartal &lt; 4</formula>
    </cfRule>
  </conditionalFormatting>
  <conditionalFormatting sqref="A102:A107">
    <cfRule type="expression" dxfId="443" priority="5">
      <formula>kvartal &lt; 4</formula>
    </cfRule>
  </conditionalFormatting>
  <conditionalFormatting sqref="A116">
    <cfRule type="expression" dxfId="442" priority="4">
      <formula>kvartal &lt; 4</formula>
    </cfRule>
  </conditionalFormatting>
  <conditionalFormatting sqref="A124">
    <cfRule type="expression" dxfId="441" priority="3">
      <formula>kvartal &lt; 4</formula>
    </cfRule>
  </conditionalFormatting>
  <pageMargins left="0.70866141732283472" right="0.70866141732283472" top="0.74803149606299213" bottom="0.74803149606299213" header="0.31496062992125984" footer="0.31496062992125984"/>
  <pageSetup paperSize="9" scale="5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20"/>
  <dimension ref="A1:N145"/>
  <sheetViews>
    <sheetView showGridLines="0" zoomScaleNormal="100" workbookViewId="0">
      <selection activeCell="A111" sqref="A111"/>
    </sheetView>
  </sheetViews>
  <sheetFormatPr baseColWidth="10" defaultColWidth="11.42578125" defaultRowHeight="12.75" x14ac:dyDescent="0.2"/>
  <cols>
    <col min="1" max="1" width="41.57031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134</v>
      </c>
      <c r="B1" s="663"/>
      <c r="C1" s="225" t="s">
        <v>63</v>
      </c>
      <c r="D1" s="26"/>
      <c r="E1" s="26"/>
      <c r="F1" s="26"/>
      <c r="G1" s="26"/>
      <c r="H1" s="26"/>
      <c r="I1" s="26"/>
      <c r="J1" s="26"/>
      <c r="K1" s="26"/>
      <c r="L1" s="26"/>
      <c r="M1" s="26"/>
    </row>
    <row r="2" spans="1:14" ht="15.75" x14ac:dyDescent="0.25">
      <c r="A2" s="165" t="s">
        <v>28</v>
      </c>
      <c r="B2" s="699"/>
      <c r="C2" s="699"/>
      <c r="D2" s="699"/>
      <c r="E2" s="275"/>
      <c r="F2" s="699"/>
      <c r="G2" s="699"/>
      <c r="H2" s="699"/>
      <c r="I2" s="275"/>
      <c r="J2" s="699"/>
      <c r="K2" s="699"/>
      <c r="L2" s="699"/>
      <c r="M2" s="275"/>
    </row>
    <row r="3" spans="1:14" ht="15.75" x14ac:dyDescent="0.25">
      <c r="A3" s="163"/>
      <c r="B3" s="275"/>
      <c r="C3" s="275"/>
      <c r="D3" s="275"/>
      <c r="E3" s="275"/>
      <c r="F3" s="275"/>
      <c r="G3" s="275"/>
      <c r="H3" s="275"/>
      <c r="I3" s="275"/>
      <c r="J3" s="275"/>
      <c r="K3" s="275"/>
      <c r="L3" s="275"/>
      <c r="M3" s="275"/>
    </row>
    <row r="4" spans="1:14" x14ac:dyDescent="0.2">
      <c r="A4" s="144"/>
      <c r="B4" s="695" t="s">
        <v>0</v>
      </c>
      <c r="C4" s="696"/>
      <c r="D4" s="696"/>
      <c r="E4" s="277"/>
      <c r="F4" s="695" t="s">
        <v>1</v>
      </c>
      <c r="G4" s="696"/>
      <c r="H4" s="696"/>
      <c r="I4" s="280"/>
      <c r="J4" s="695" t="s">
        <v>2</v>
      </c>
      <c r="K4" s="696"/>
      <c r="L4" s="696"/>
      <c r="M4" s="280"/>
    </row>
    <row r="5" spans="1:14" x14ac:dyDescent="0.2">
      <c r="A5" s="158"/>
      <c r="B5" s="152" t="s">
        <v>412</v>
      </c>
      <c r="C5" s="152" t="s">
        <v>413</v>
      </c>
      <c r="D5" s="222" t="s">
        <v>3</v>
      </c>
      <c r="E5" s="281" t="s">
        <v>29</v>
      </c>
      <c r="F5" s="152" t="s">
        <v>412</v>
      </c>
      <c r="G5" s="152" t="s">
        <v>413</v>
      </c>
      <c r="H5" s="222" t="s">
        <v>3</v>
      </c>
      <c r="I5" s="162" t="s">
        <v>29</v>
      </c>
      <c r="J5" s="152" t="s">
        <v>412</v>
      </c>
      <c r="K5" s="152" t="s">
        <v>413</v>
      </c>
      <c r="L5" s="222" t="s">
        <v>3</v>
      </c>
      <c r="M5" s="162" t="s">
        <v>29</v>
      </c>
    </row>
    <row r="6" spans="1:14" x14ac:dyDescent="0.2">
      <c r="A6" s="661"/>
      <c r="B6" s="156"/>
      <c r="C6" s="156"/>
      <c r="D6" s="223" t="s">
        <v>4</v>
      </c>
      <c r="E6" s="156" t="s">
        <v>30</v>
      </c>
      <c r="F6" s="161"/>
      <c r="G6" s="161"/>
      <c r="H6" s="222" t="s">
        <v>4</v>
      </c>
      <c r="I6" s="156" t="s">
        <v>30</v>
      </c>
      <c r="J6" s="161"/>
      <c r="K6" s="161"/>
      <c r="L6" s="222" t="s">
        <v>4</v>
      </c>
      <c r="M6" s="156" t="s">
        <v>30</v>
      </c>
    </row>
    <row r="7" spans="1:14" ht="15.75" x14ac:dyDescent="0.2">
      <c r="A7" s="14" t="s">
        <v>23</v>
      </c>
      <c r="B7" s="282"/>
      <c r="C7" s="283"/>
      <c r="D7" s="326"/>
      <c r="E7" s="11"/>
      <c r="F7" s="282"/>
      <c r="G7" s="283"/>
      <c r="H7" s="326"/>
      <c r="I7" s="160"/>
      <c r="J7" s="284"/>
      <c r="K7" s="285"/>
      <c r="L7" s="401"/>
      <c r="M7" s="11"/>
    </row>
    <row r="8" spans="1:14" ht="15.75" x14ac:dyDescent="0.2">
      <c r="A8" s="21" t="s">
        <v>25</v>
      </c>
      <c r="B8" s="258"/>
      <c r="C8" s="259"/>
      <c r="D8" s="166"/>
      <c r="E8" s="27"/>
      <c r="F8" s="262"/>
      <c r="G8" s="263"/>
      <c r="H8" s="166"/>
      <c r="I8" s="175"/>
      <c r="J8" s="211"/>
      <c r="K8" s="264"/>
      <c r="L8" s="166"/>
      <c r="M8" s="27"/>
    </row>
    <row r="9" spans="1:14" ht="15.75" x14ac:dyDescent="0.2">
      <c r="A9" s="21" t="s">
        <v>24</v>
      </c>
      <c r="B9" s="258"/>
      <c r="C9" s="259"/>
      <c r="D9" s="166"/>
      <c r="E9" s="27"/>
      <c r="F9" s="262"/>
      <c r="G9" s="263"/>
      <c r="H9" s="166"/>
      <c r="I9" s="175"/>
      <c r="J9" s="211"/>
      <c r="K9" s="264"/>
      <c r="L9" s="166"/>
      <c r="M9" s="27"/>
    </row>
    <row r="10" spans="1:14" ht="15.75" x14ac:dyDescent="0.2">
      <c r="A10" s="13" t="s">
        <v>341</v>
      </c>
      <c r="B10" s="286"/>
      <c r="C10" s="287"/>
      <c r="D10" s="171"/>
      <c r="E10" s="11"/>
      <c r="F10" s="286"/>
      <c r="G10" s="287"/>
      <c r="H10" s="171"/>
      <c r="I10" s="160"/>
      <c r="J10" s="284"/>
      <c r="K10" s="285"/>
      <c r="L10" s="402"/>
      <c r="M10" s="11"/>
    </row>
    <row r="11" spans="1:14" s="43" customFormat="1" ht="15.75" x14ac:dyDescent="0.2">
      <c r="A11" s="13" t="s">
        <v>342</v>
      </c>
      <c r="B11" s="286"/>
      <c r="C11" s="287"/>
      <c r="D11" s="171"/>
      <c r="E11" s="11"/>
      <c r="F11" s="286"/>
      <c r="G11" s="287"/>
      <c r="H11" s="171"/>
      <c r="I11" s="160"/>
      <c r="J11" s="284"/>
      <c r="K11" s="285"/>
      <c r="L11" s="402"/>
      <c r="M11" s="11"/>
      <c r="N11" s="143"/>
    </row>
    <row r="12" spans="1:14" s="43" customFormat="1" ht="15.75" x14ac:dyDescent="0.2">
      <c r="A12" s="41" t="s">
        <v>343</v>
      </c>
      <c r="B12" s="288"/>
      <c r="C12" s="289"/>
      <c r="D12" s="169"/>
      <c r="E12" s="36"/>
      <c r="F12" s="288"/>
      <c r="G12" s="289"/>
      <c r="H12" s="169"/>
      <c r="I12" s="169"/>
      <c r="J12" s="290"/>
      <c r="K12" s="291"/>
      <c r="L12" s="403"/>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251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248</v>
      </c>
      <c r="B17" s="157"/>
      <c r="C17" s="157"/>
      <c r="D17" s="151"/>
      <c r="E17" s="151"/>
      <c r="F17" s="157"/>
      <c r="G17" s="157"/>
      <c r="H17" s="157"/>
      <c r="I17" s="157"/>
      <c r="J17" s="157"/>
      <c r="K17" s="157"/>
      <c r="L17" s="157"/>
      <c r="M17" s="157"/>
    </row>
    <row r="18" spans="1:14" ht="15.75" x14ac:dyDescent="0.25">
      <c r="B18" s="694"/>
      <c r="C18" s="694"/>
      <c r="D18" s="694"/>
      <c r="E18" s="275"/>
      <c r="F18" s="694"/>
      <c r="G18" s="694"/>
      <c r="H18" s="694"/>
      <c r="I18" s="275"/>
      <c r="J18" s="694"/>
      <c r="K18" s="694"/>
      <c r="L18" s="694"/>
      <c r="M18" s="275"/>
    </row>
    <row r="19" spans="1:14" x14ac:dyDescent="0.2">
      <c r="A19" s="144"/>
      <c r="B19" s="695" t="s">
        <v>0</v>
      </c>
      <c r="C19" s="696"/>
      <c r="D19" s="696"/>
      <c r="E19" s="277"/>
      <c r="F19" s="695" t="s">
        <v>1</v>
      </c>
      <c r="G19" s="696"/>
      <c r="H19" s="696"/>
      <c r="I19" s="280"/>
      <c r="J19" s="695" t="s">
        <v>2</v>
      </c>
      <c r="K19" s="696"/>
      <c r="L19" s="696"/>
      <c r="M19" s="280"/>
    </row>
    <row r="20" spans="1:14" x14ac:dyDescent="0.2">
      <c r="A20" s="140" t="s">
        <v>5</v>
      </c>
      <c r="B20" s="152" t="s">
        <v>412</v>
      </c>
      <c r="C20" s="152" t="s">
        <v>413</v>
      </c>
      <c r="D20" s="162" t="s">
        <v>3</v>
      </c>
      <c r="E20" s="281" t="s">
        <v>29</v>
      </c>
      <c r="F20" s="152" t="s">
        <v>412</v>
      </c>
      <c r="G20" s="152" t="s">
        <v>413</v>
      </c>
      <c r="H20" s="162" t="s">
        <v>3</v>
      </c>
      <c r="I20" s="162" t="s">
        <v>29</v>
      </c>
      <c r="J20" s="152" t="s">
        <v>412</v>
      </c>
      <c r="K20" s="152" t="s">
        <v>413</v>
      </c>
      <c r="L20" s="162" t="s">
        <v>3</v>
      </c>
      <c r="M20" s="162" t="s">
        <v>29</v>
      </c>
    </row>
    <row r="21" spans="1:14" x14ac:dyDescent="0.2">
      <c r="A21" s="662"/>
      <c r="B21" s="156"/>
      <c r="C21" s="156"/>
      <c r="D21" s="223" t="s">
        <v>4</v>
      </c>
      <c r="E21" s="156" t="s">
        <v>30</v>
      </c>
      <c r="F21" s="161"/>
      <c r="G21" s="161"/>
      <c r="H21" s="222" t="s">
        <v>4</v>
      </c>
      <c r="I21" s="156" t="s">
        <v>30</v>
      </c>
      <c r="J21" s="161"/>
      <c r="K21" s="161"/>
      <c r="L21" s="156" t="s">
        <v>4</v>
      </c>
      <c r="M21" s="156" t="s">
        <v>30</v>
      </c>
    </row>
    <row r="22" spans="1:14" ht="15.75" x14ac:dyDescent="0.2">
      <c r="A22" s="14" t="s">
        <v>23</v>
      </c>
      <c r="B22" s="286"/>
      <c r="C22" s="286"/>
      <c r="D22" s="326"/>
      <c r="E22" s="11"/>
      <c r="F22" s="294"/>
      <c r="G22" s="294"/>
      <c r="H22" s="326"/>
      <c r="I22" s="11"/>
      <c r="J22" s="292"/>
      <c r="K22" s="292"/>
      <c r="L22" s="401"/>
      <c r="M22" s="24"/>
    </row>
    <row r="23" spans="1:14" ht="15.75" x14ac:dyDescent="0.2">
      <c r="A23" s="545" t="s">
        <v>344</v>
      </c>
      <c r="B23" s="258"/>
      <c r="C23" s="258"/>
      <c r="D23" s="166"/>
      <c r="E23" s="11"/>
      <c r="F23" s="267"/>
      <c r="G23" s="267"/>
      <c r="H23" s="166"/>
      <c r="I23" s="391"/>
      <c r="J23" s="267"/>
      <c r="K23" s="267"/>
      <c r="L23" s="166"/>
      <c r="M23" s="23"/>
    </row>
    <row r="24" spans="1:14" ht="15.75" x14ac:dyDescent="0.2">
      <c r="A24" s="545" t="s">
        <v>345</v>
      </c>
      <c r="B24" s="258"/>
      <c r="C24" s="258"/>
      <c r="D24" s="166"/>
      <c r="E24" s="11"/>
      <c r="F24" s="267"/>
      <c r="G24" s="267"/>
      <c r="H24" s="166"/>
      <c r="I24" s="391"/>
      <c r="J24" s="267"/>
      <c r="K24" s="267"/>
      <c r="L24" s="166"/>
      <c r="M24" s="23"/>
    </row>
    <row r="25" spans="1:14" ht="15.75" x14ac:dyDescent="0.2">
      <c r="A25" s="545" t="s">
        <v>346</v>
      </c>
      <c r="B25" s="258"/>
      <c r="C25" s="258"/>
      <c r="D25" s="166"/>
      <c r="E25" s="11"/>
      <c r="F25" s="267"/>
      <c r="G25" s="267"/>
      <c r="H25" s="166"/>
      <c r="I25" s="391"/>
      <c r="J25" s="267"/>
      <c r="K25" s="267"/>
      <c r="L25" s="166"/>
      <c r="M25" s="23"/>
    </row>
    <row r="26" spans="1:14" ht="15.75" x14ac:dyDescent="0.2">
      <c r="A26" s="545" t="s">
        <v>347</v>
      </c>
      <c r="B26" s="258"/>
      <c r="C26" s="258"/>
      <c r="D26" s="166"/>
      <c r="E26" s="11"/>
      <c r="F26" s="267"/>
      <c r="G26" s="267"/>
      <c r="H26" s="166"/>
      <c r="I26" s="391"/>
      <c r="J26" s="267"/>
      <c r="K26" s="267"/>
      <c r="L26" s="166"/>
      <c r="M26" s="23"/>
    </row>
    <row r="27" spans="1:14" x14ac:dyDescent="0.2">
      <c r="A27" s="545" t="s">
        <v>11</v>
      </c>
      <c r="B27" s="258"/>
      <c r="C27" s="258"/>
      <c r="D27" s="166"/>
      <c r="E27" s="11"/>
      <c r="F27" s="267"/>
      <c r="G27" s="267"/>
      <c r="H27" s="166"/>
      <c r="I27" s="391"/>
      <c r="J27" s="267"/>
      <c r="K27" s="267"/>
      <c r="L27" s="166"/>
      <c r="M27" s="23"/>
    </row>
    <row r="28" spans="1:14" ht="15.75" x14ac:dyDescent="0.2">
      <c r="A28" s="49" t="s">
        <v>252</v>
      </c>
      <c r="B28" s="44"/>
      <c r="C28" s="264"/>
      <c r="D28" s="166"/>
      <c r="E28" s="11"/>
      <c r="F28" s="211"/>
      <c r="G28" s="264"/>
      <c r="H28" s="166"/>
      <c r="I28" s="27"/>
      <c r="J28" s="44"/>
      <c r="K28" s="44"/>
      <c r="L28" s="231"/>
      <c r="M28" s="23"/>
    </row>
    <row r="29" spans="1:14" s="3" customFormat="1" ht="15.75" x14ac:dyDescent="0.2">
      <c r="A29" s="13" t="s">
        <v>341</v>
      </c>
      <c r="B29" s="213"/>
      <c r="C29" s="213"/>
      <c r="D29" s="171"/>
      <c r="E29" s="11"/>
      <c r="F29" s="284"/>
      <c r="G29" s="284"/>
      <c r="H29" s="171"/>
      <c r="I29" s="11"/>
      <c r="J29" s="213"/>
      <c r="K29" s="213"/>
      <c r="L29" s="402"/>
      <c r="M29" s="24"/>
      <c r="N29" s="148"/>
    </row>
    <row r="30" spans="1:14" s="3" customFormat="1" ht="15.75" x14ac:dyDescent="0.2">
      <c r="A30" s="545" t="s">
        <v>344</v>
      </c>
      <c r="B30" s="258"/>
      <c r="C30" s="258"/>
      <c r="D30" s="166"/>
      <c r="E30" s="11"/>
      <c r="F30" s="267"/>
      <c r="G30" s="267"/>
      <c r="H30" s="166"/>
      <c r="I30" s="391"/>
      <c r="J30" s="267"/>
      <c r="K30" s="267"/>
      <c r="L30" s="166"/>
      <c r="M30" s="23"/>
      <c r="N30" s="148"/>
    </row>
    <row r="31" spans="1:14" s="3" customFormat="1" ht="15.75" x14ac:dyDescent="0.2">
      <c r="A31" s="545" t="s">
        <v>345</v>
      </c>
      <c r="B31" s="258"/>
      <c r="C31" s="258"/>
      <c r="D31" s="166"/>
      <c r="E31" s="11"/>
      <c r="F31" s="267"/>
      <c r="G31" s="267"/>
      <c r="H31" s="166"/>
      <c r="I31" s="391"/>
      <c r="J31" s="267"/>
      <c r="K31" s="267"/>
      <c r="L31" s="166"/>
      <c r="M31" s="23"/>
      <c r="N31" s="148"/>
    </row>
    <row r="32" spans="1:14" ht="15.75" x14ac:dyDescent="0.2">
      <c r="A32" s="545" t="s">
        <v>346</v>
      </c>
      <c r="B32" s="258"/>
      <c r="C32" s="258"/>
      <c r="D32" s="166"/>
      <c r="E32" s="11"/>
      <c r="F32" s="267"/>
      <c r="G32" s="267"/>
      <c r="H32" s="166"/>
      <c r="I32" s="391"/>
      <c r="J32" s="267"/>
      <c r="K32" s="267"/>
      <c r="L32" s="166"/>
      <c r="M32" s="23"/>
    </row>
    <row r="33" spans="1:14" ht="15.75" x14ac:dyDescent="0.2">
      <c r="A33" s="545" t="s">
        <v>347</v>
      </c>
      <c r="B33" s="258"/>
      <c r="C33" s="258"/>
      <c r="D33" s="166"/>
      <c r="E33" s="11"/>
      <c r="F33" s="267"/>
      <c r="G33" s="267"/>
      <c r="H33" s="166"/>
      <c r="I33" s="391"/>
      <c r="J33" s="267"/>
      <c r="K33" s="267"/>
      <c r="L33" s="166"/>
      <c r="M33" s="23"/>
    </row>
    <row r="34" spans="1:14" ht="15.75" x14ac:dyDescent="0.2">
      <c r="A34" s="13" t="s">
        <v>342</v>
      </c>
      <c r="B34" s="213"/>
      <c r="C34" s="285"/>
      <c r="D34" s="171"/>
      <c r="E34" s="11"/>
      <c r="F34" s="284"/>
      <c r="G34" s="285"/>
      <c r="H34" s="171"/>
      <c r="I34" s="11"/>
      <c r="J34" s="213"/>
      <c r="K34" s="213"/>
      <c r="L34" s="402"/>
      <c r="M34" s="24"/>
    </row>
    <row r="35" spans="1:14" ht="15.75" x14ac:dyDescent="0.2">
      <c r="A35" s="13" t="s">
        <v>343</v>
      </c>
      <c r="B35" s="213"/>
      <c r="C35" s="285"/>
      <c r="D35" s="171"/>
      <c r="E35" s="11"/>
      <c r="F35" s="284"/>
      <c r="G35" s="285"/>
      <c r="H35" s="171"/>
      <c r="I35" s="11"/>
      <c r="J35" s="213"/>
      <c r="K35" s="213"/>
      <c r="L35" s="402"/>
      <c r="M35" s="24"/>
    </row>
    <row r="36" spans="1:14" ht="15.75" x14ac:dyDescent="0.2">
      <c r="A36" s="12" t="s">
        <v>260</v>
      </c>
      <c r="B36" s="213"/>
      <c r="C36" s="285"/>
      <c r="D36" s="171"/>
      <c r="E36" s="11"/>
      <c r="F36" s="295"/>
      <c r="G36" s="296"/>
      <c r="H36" s="171"/>
      <c r="I36" s="408"/>
      <c r="J36" s="213"/>
      <c r="K36" s="213"/>
      <c r="L36" s="402"/>
      <c r="M36" s="24"/>
    </row>
    <row r="37" spans="1:14" ht="15.75" x14ac:dyDescent="0.2">
      <c r="A37" s="12" t="s">
        <v>349</v>
      </c>
      <c r="B37" s="213"/>
      <c r="C37" s="285"/>
      <c r="D37" s="171"/>
      <c r="E37" s="11"/>
      <c r="F37" s="295"/>
      <c r="G37" s="297"/>
      <c r="H37" s="171"/>
      <c r="I37" s="408"/>
      <c r="J37" s="213"/>
      <c r="K37" s="213"/>
      <c r="L37" s="402"/>
      <c r="M37" s="24"/>
    </row>
    <row r="38" spans="1:14" ht="15.75" x14ac:dyDescent="0.2">
      <c r="A38" s="12" t="s">
        <v>350</v>
      </c>
      <c r="B38" s="213"/>
      <c r="C38" s="285"/>
      <c r="D38" s="171"/>
      <c r="E38" s="24"/>
      <c r="F38" s="295"/>
      <c r="G38" s="296"/>
      <c r="H38" s="171"/>
      <c r="I38" s="408"/>
      <c r="J38" s="213"/>
      <c r="K38" s="213"/>
      <c r="L38" s="402"/>
      <c r="M38" s="24"/>
    </row>
    <row r="39" spans="1:14" ht="15.75" x14ac:dyDescent="0.2">
      <c r="A39" s="18" t="s">
        <v>351</v>
      </c>
      <c r="B39" s="253"/>
      <c r="C39" s="291"/>
      <c r="D39" s="169"/>
      <c r="E39" s="36"/>
      <c r="F39" s="298"/>
      <c r="G39" s="299"/>
      <c r="H39" s="169"/>
      <c r="I39" s="36"/>
      <c r="J39" s="213"/>
      <c r="K39" s="213"/>
      <c r="L39" s="403"/>
      <c r="M39" s="36"/>
    </row>
    <row r="40" spans="1:14" ht="15.75" x14ac:dyDescent="0.25">
      <c r="A40" s="47"/>
      <c r="B40" s="230"/>
      <c r="C40" s="230"/>
      <c r="D40" s="698"/>
      <c r="E40" s="698"/>
      <c r="F40" s="698"/>
      <c r="G40" s="698"/>
      <c r="H40" s="698"/>
      <c r="I40" s="698"/>
      <c r="J40" s="698"/>
      <c r="K40" s="698"/>
      <c r="L40" s="698"/>
      <c r="M40" s="278"/>
    </row>
    <row r="41" spans="1:14" x14ac:dyDescent="0.2">
      <c r="A41" s="155"/>
    </row>
    <row r="42" spans="1:14" ht="15.75" x14ac:dyDescent="0.25">
      <c r="A42" s="147" t="s">
        <v>249</v>
      </c>
      <c r="B42" s="699"/>
      <c r="C42" s="699"/>
      <c r="D42" s="699"/>
      <c r="E42" s="275"/>
      <c r="F42" s="700"/>
      <c r="G42" s="700"/>
      <c r="H42" s="700"/>
      <c r="I42" s="278"/>
      <c r="J42" s="700"/>
      <c r="K42" s="700"/>
      <c r="L42" s="700"/>
      <c r="M42" s="278"/>
    </row>
    <row r="43" spans="1:14" ht="15.75" x14ac:dyDescent="0.25">
      <c r="A43" s="163"/>
      <c r="B43" s="279"/>
      <c r="C43" s="279"/>
      <c r="D43" s="279"/>
      <c r="E43" s="279"/>
      <c r="F43" s="278"/>
      <c r="G43" s="278"/>
      <c r="H43" s="278"/>
      <c r="I43" s="278"/>
      <c r="J43" s="278"/>
      <c r="K43" s="278"/>
      <c r="L43" s="278"/>
      <c r="M43" s="278"/>
    </row>
    <row r="44" spans="1:14" ht="15.75" x14ac:dyDescent="0.25">
      <c r="A44" s="224"/>
      <c r="B44" s="695" t="s">
        <v>0</v>
      </c>
      <c r="C44" s="696"/>
      <c r="D44" s="696"/>
      <c r="E44" s="220"/>
      <c r="F44" s="278"/>
      <c r="G44" s="278"/>
      <c r="H44" s="278"/>
      <c r="I44" s="278"/>
      <c r="J44" s="278"/>
      <c r="K44" s="278"/>
      <c r="L44" s="278"/>
      <c r="M44" s="278"/>
    </row>
    <row r="45" spans="1:14" s="3" customFormat="1" x14ac:dyDescent="0.2">
      <c r="A45" s="140"/>
      <c r="B45" s="152" t="s">
        <v>412</v>
      </c>
      <c r="C45" s="152" t="s">
        <v>413</v>
      </c>
      <c r="D45" s="162" t="s">
        <v>3</v>
      </c>
      <c r="E45" s="162" t="s">
        <v>29</v>
      </c>
      <c r="F45" s="174"/>
      <c r="G45" s="174"/>
      <c r="H45" s="173"/>
      <c r="I45" s="173"/>
      <c r="J45" s="174"/>
      <c r="K45" s="174"/>
      <c r="L45" s="173"/>
      <c r="M45" s="173"/>
      <c r="N45" s="148"/>
    </row>
    <row r="46" spans="1:14" s="3" customFormat="1" x14ac:dyDescent="0.2">
      <c r="A46" s="662"/>
      <c r="B46" s="221"/>
      <c r="C46" s="221"/>
      <c r="D46" s="222" t="s">
        <v>4</v>
      </c>
      <c r="E46" s="156" t="s">
        <v>30</v>
      </c>
      <c r="F46" s="173"/>
      <c r="G46" s="173"/>
      <c r="H46" s="173"/>
      <c r="I46" s="173"/>
      <c r="J46" s="173"/>
      <c r="K46" s="173"/>
      <c r="L46" s="173"/>
      <c r="M46" s="173"/>
      <c r="N46" s="148"/>
    </row>
    <row r="47" spans="1:14" s="3" customFormat="1" ht="15.75" x14ac:dyDescent="0.2">
      <c r="A47" s="14" t="s">
        <v>23</v>
      </c>
      <c r="B47" s="286">
        <v>2496.8431500000002</v>
      </c>
      <c r="C47" s="287">
        <v>2497</v>
      </c>
      <c r="D47" s="401">
        <f t="shared" ref="D47:D48" si="0">IF(B47=0, "    ---- ", IF(ABS(ROUND(100/B47*C47-100,1))&lt;999,ROUND(100/B47*C47-100,1),IF(ROUND(100/B47*C47-100,1)&gt;999,999,-999)))</f>
        <v>0</v>
      </c>
      <c r="E47" s="11">
        <f>IFERROR(100/'Skjema total MA'!C47*C47,0)</f>
        <v>7.8929822182427445E-2</v>
      </c>
      <c r="F47" s="145"/>
      <c r="G47" s="33"/>
      <c r="H47" s="159"/>
      <c r="I47" s="159"/>
      <c r="J47" s="37"/>
      <c r="K47" s="37"/>
      <c r="L47" s="159"/>
      <c r="M47" s="159"/>
      <c r="N47" s="148"/>
    </row>
    <row r="48" spans="1:14" s="3" customFormat="1" ht="15.75" x14ac:dyDescent="0.2">
      <c r="A48" s="38" t="s">
        <v>352</v>
      </c>
      <c r="B48" s="258">
        <v>924.69836999999995</v>
      </c>
      <c r="C48" s="259">
        <v>925</v>
      </c>
      <c r="D48" s="231">
        <f t="shared" si="0"/>
        <v>0</v>
      </c>
      <c r="E48" s="27">
        <f>IFERROR(100/'Skjema total MA'!C48*C48,0)</f>
        <v>5.3927342375677659E-2</v>
      </c>
      <c r="F48" s="145"/>
      <c r="G48" s="33"/>
      <c r="H48" s="145"/>
      <c r="I48" s="145"/>
      <c r="J48" s="33"/>
      <c r="K48" s="33"/>
      <c r="L48" s="159"/>
      <c r="M48" s="159"/>
      <c r="N48" s="148"/>
    </row>
    <row r="49" spans="1:14" s="3" customFormat="1" ht="15.75" x14ac:dyDescent="0.2">
      <c r="A49" s="38" t="s">
        <v>353</v>
      </c>
      <c r="B49" s="44">
        <v>1572.1447800000001</v>
      </c>
      <c r="C49" s="264">
        <v>1572</v>
      </c>
      <c r="D49" s="231">
        <f>IF(B49=0, "    ---- ", IF(ABS(ROUND(100/B49*C49-100,1))&lt;999,ROUND(100/B49*C49-100,1),IF(ROUND(100/B49*C49-100,1)&gt;999,999,-999)))</f>
        <v>0</v>
      </c>
      <c r="E49" s="27">
        <f>IFERROR(100/'Skjema total MA'!C49*C49,0)</f>
        <v>0.10854113073296055</v>
      </c>
      <c r="F49" s="145"/>
      <c r="G49" s="33"/>
      <c r="H49" s="145"/>
      <c r="I49" s="145"/>
      <c r="J49" s="37"/>
      <c r="K49" s="37"/>
      <c r="L49" s="159"/>
      <c r="M49" s="159"/>
      <c r="N49" s="148"/>
    </row>
    <row r="50" spans="1:14" s="3" customFormat="1" x14ac:dyDescent="0.2">
      <c r="A50" s="272" t="s">
        <v>6</v>
      </c>
      <c r="B50" s="295"/>
      <c r="C50" s="295"/>
      <c r="D50" s="231"/>
      <c r="E50" s="23"/>
      <c r="F50" s="145"/>
      <c r="G50" s="33"/>
      <c r="H50" s="145"/>
      <c r="I50" s="145"/>
      <c r="J50" s="33"/>
      <c r="K50" s="33"/>
      <c r="L50" s="159"/>
      <c r="M50" s="159"/>
      <c r="N50" s="148"/>
    </row>
    <row r="51" spans="1:14" s="3" customFormat="1" x14ac:dyDescent="0.2">
      <c r="A51" s="272" t="s">
        <v>7</v>
      </c>
      <c r="B51" s="295"/>
      <c r="C51" s="295"/>
      <c r="D51" s="231"/>
      <c r="E51" s="23"/>
      <c r="F51" s="145"/>
      <c r="G51" s="33"/>
      <c r="H51" s="145"/>
      <c r="I51" s="145"/>
      <c r="J51" s="33"/>
      <c r="K51" s="33"/>
      <c r="L51" s="159"/>
      <c r="M51" s="159"/>
      <c r="N51" s="148"/>
    </row>
    <row r="52" spans="1:14" s="3" customFormat="1" x14ac:dyDescent="0.2">
      <c r="A52" s="272" t="s">
        <v>8</v>
      </c>
      <c r="B52" s="295"/>
      <c r="C52" s="295"/>
      <c r="D52" s="231"/>
      <c r="E52" s="23"/>
      <c r="F52" s="145"/>
      <c r="G52" s="33"/>
      <c r="H52" s="145"/>
      <c r="I52" s="145"/>
      <c r="J52" s="33"/>
      <c r="K52" s="33"/>
      <c r="L52" s="159"/>
      <c r="M52" s="159"/>
      <c r="N52" s="148"/>
    </row>
    <row r="53" spans="1:14" s="3" customFormat="1" ht="15.75" x14ac:dyDescent="0.2">
      <c r="A53" s="39" t="s">
        <v>354</v>
      </c>
      <c r="B53" s="286"/>
      <c r="C53" s="287"/>
      <c r="D53" s="402"/>
      <c r="E53" s="11"/>
      <c r="F53" s="145"/>
      <c r="G53" s="33"/>
      <c r="H53" s="145"/>
      <c r="I53" s="145"/>
      <c r="J53" s="33"/>
      <c r="K53" s="33"/>
      <c r="L53" s="159"/>
      <c r="M53" s="159"/>
      <c r="N53" s="148"/>
    </row>
    <row r="54" spans="1:14" s="3" customFormat="1" ht="15.75" x14ac:dyDescent="0.2">
      <c r="A54" s="38" t="s">
        <v>352</v>
      </c>
      <c r="B54" s="258"/>
      <c r="C54" s="259"/>
      <c r="D54" s="231"/>
      <c r="E54" s="27"/>
      <c r="F54" s="145"/>
      <c r="G54" s="33"/>
      <c r="H54" s="145"/>
      <c r="I54" s="145"/>
      <c r="J54" s="33"/>
      <c r="K54" s="33"/>
      <c r="L54" s="159"/>
      <c r="M54" s="159"/>
      <c r="N54" s="148"/>
    </row>
    <row r="55" spans="1:14" s="3" customFormat="1" ht="15.75" x14ac:dyDescent="0.2">
      <c r="A55" s="38" t="s">
        <v>353</v>
      </c>
      <c r="B55" s="258"/>
      <c r="C55" s="259"/>
      <c r="D55" s="231"/>
      <c r="E55" s="27"/>
      <c r="F55" s="145"/>
      <c r="G55" s="33"/>
      <c r="H55" s="145"/>
      <c r="I55" s="145"/>
      <c r="J55" s="33"/>
      <c r="K55" s="33"/>
      <c r="L55" s="159"/>
      <c r="M55" s="159"/>
      <c r="N55" s="148"/>
    </row>
    <row r="56" spans="1:14" s="3" customFormat="1" ht="15.75" x14ac:dyDescent="0.2">
      <c r="A56" s="39" t="s">
        <v>355</v>
      </c>
      <c r="B56" s="286"/>
      <c r="C56" s="287"/>
      <c r="D56" s="402"/>
      <c r="E56" s="11"/>
      <c r="F56" s="145"/>
      <c r="G56" s="33"/>
      <c r="H56" s="145"/>
      <c r="I56" s="145"/>
      <c r="J56" s="33"/>
      <c r="K56" s="33"/>
      <c r="L56" s="159"/>
      <c r="M56" s="159"/>
      <c r="N56" s="148"/>
    </row>
    <row r="57" spans="1:14" s="3" customFormat="1" ht="15.75" x14ac:dyDescent="0.2">
      <c r="A57" s="38" t="s">
        <v>352</v>
      </c>
      <c r="B57" s="258"/>
      <c r="C57" s="259"/>
      <c r="D57" s="231"/>
      <c r="E57" s="27"/>
      <c r="F57" s="145"/>
      <c r="G57" s="33"/>
      <c r="H57" s="145"/>
      <c r="I57" s="145"/>
      <c r="J57" s="33"/>
      <c r="K57" s="33"/>
      <c r="L57" s="159"/>
      <c r="M57" s="159"/>
      <c r="N57" s="148"/>
    </row>
    <row r="58" spans="1:14" s="3" customFormat="1" ht="15.75" x14ac:dyDescent="0.2">
      <c r="A58" s="46" t="s">
        <v>353</v>
      </c>
      <c r="B58" s="260"/>
      <c r="C58" s="261"/>
      <c r="D58" s="232"/>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250</v>
      </c>
      <c r="C61" s="26"/>
      <c r="D61" s="26"/>
      <c r="E61" s="26"/>
      <c r="F61" s="26"/>
      <c r="G61" s="26"/>
      <c r="H61" s="26"/>
      <c r="I61" s="26"/>
      <c r="J61" s="26"/>
      <c r="K61" s="26"/>
      <c r="L61" s="26"/>
      <c r="M61" s="26"/>
    </row>
    <row r="62" spans="1:14" ht="15.75" x14ac:dyDescent="0.25">
      <c r="B62" s="694"/>
      <c r="C62" s="694"/>
      <c r="D62" s="694"/>
      <c r="E62" s="275"/>
      <c r="F62" s="694"/>
      <c r="G62" s="694"/>
      <c r="H62" s="694"/>
      <c r="I62" s="275"/>
      <c r="J62" s="694"/>
      <c r="K62" s="694"/>
      <c r="L62" s="694"/>
      <c r="M62" s="275"/>
    </row>
    <row r="63" spans="1:14" x14ac:dyDescent="0.2">
      <c r="A63" s="144"/>
      <c r="B63" s="695" t="s">
        <v>0</v>
      </c>
      <c r="C63" s="696"/>
      <c r="D63" s="697"/>
      <c r="E63" s="276"/>
      <c r="F63" s="696" t="s">
        <v>1</v>
      </c>
      <c r="G63" s="696"/>
      <c r="H63" s="696"/>
      <c r="I63" s="280"/>
      <c r="J63" s="695" t="s">
        <v>2</v>
      </c>
      <c r="K63" s="696"/>
      <c r="L63" s="696"/>
      <c r="M63" s="280"/>
    </row>
    <row r="64" spans="1:14" x14ac:dyDescent="0.2">
      <c r="A64" s="140"/>
      <c r="B64" s="152" t="s">
        <v>412</v>
      </c>
      <c r="C64" s="152" t="s">
        <v>413</v>
      </c>
      <c r="D64" s="222" t="s">
        <v>3</v>
      </c>
      <c r="E64" s="281" t="s">
        <v>29</v>
      </c>
      <c r="F64" s="152" t="s">
        <v>412</v>
      </c>
      <c r="G64" s="152" t="s">
        <v>413</v>
      </c>
      <c r="H64" s="222" t="s">
        <v>3</v>
      </c>
      <c r="I64" s="281" t="s">
        <v>29</v>
      </c>
      <c r="J64" s="152" t="s">
        <v>412</v>
      </c>
      <c r="K64" s="152" t="s">
        <v>413</v>
      </c>
      <c r="L64" s="222" t="s">
        <v>3</v>
      </c>
      <c r="M64" s="162" t="s">
        <v>29</v>
      </c>
    </row>
    <row r="65" spans="1:14" x14ac:dyDescent="0.2">
      <c r="A65" s="662"/>
      <c r="B65" s="156"/>
      <c r="C65" s="156"/>
      <c r="D65" s="223" t="s">
        <v>4</v>
      </c>
      <c r="E65" s="156" t="s">
        <v>30</v>
      </c>
      <c r="F65" s="161"/>
      <c r="G65" s="161"/>
      <c r="H65" s="222" t="s">
        <v>4</v>
      </c>
      <c r="I65" s="156" t="s">
        <v>30</v>
      </c>
      <c r="J65" s="161"/>
      <c r="K65" s="203"/>
      <c r="L65" s="156" t="s">
        <v>4</v>
      </c>
      <c r="M65" s="156" t="s">
        <v>30</v>
      </c>
    </row>
    <row r="66" spans="1:14" ht="15.75" x14ac:dyDescent="0.2">
      <c r="A66" s="14" t="s">
        <v>23</v>
      </c>
      <c r="B66" s="329"/>
      <c r="C66" s="329"/>
      <c r="D66" s="326"/>
      <c r="E66" s="11"/>
      <c r="F66" s="328"/>
      <c r="G66" s="328"/>
      <c r="H66" s="326"/>
      <c r="I66" s="24"/>
      <c r="J66" s="159"/>
      <c r="K66" s="292"/>
      <c r="L66" s="402"/>
      <c r="M66" s="11"/>
    </row>
    <row r="67" spans="1:14" x14ac:dyDescent="0.2">
      <c r="A67" s="393" t="s">
        <v>9</v>
      </c>
      <c r="B67" s="44"/>
      <c r="C67" s="145"/>
      <c r="D67" s="166"/>
      <c r="E67" s="23"/>
      <c r="F67" s="211"/>
      <c r="G67" s="145"/>
      <c r="H67" s="166"/>
      <c r="I67" s="23"/>
      <c r="J67" s="145"/>
      <c r="K67" s="44"/>
      <c r="L67" s="231"/>
      <c r="M67" s="27"/>
    </row>
    <row r="68" spans="1:14" x14ac:dyDescent="0.2">
      <c r="A68" s="21" t="s">
        <v>10</v>
      </c>
      <c r="B68" s="268"/>
      <c r="C68" s="269"/>
      <c r="D68" s="166"/>
      <c r="E68" s="23"/>
      <c r="F68" s="268"/>
      <c r="G68" s="269"/>
      <c r="H68" s="166"/>
      <c r="I68" s="23"/>
      <c r="J68" s="145"/>
      <c r="K68" s="44"/>
      <c r="L68" s="231"/>
      <c r="M68" s="27"/>
    </row>
    <row r="69" spans="1:14" ht="15.75" x14ac:dyDescent="0.2">
      <c r="A69" s="272" t="s">
        <v>356</v>
      </c>
      <c r="B69" s="295"/>
      <c r="C69" s="295"/>
      <c r="D69" s="166"/>
      <c r="E69" s="23"/>
      <c r="F69" s="295"/>
      <c r="G69" s="295"/>
      <c r="H69" s="166"/>
      <c r="I69" s="23"/>
      <c r="J69" s="295"/>
      <c r="K69" s="295"/>
      <c r="L69" s="166"/>
      <c r="M69" s="23"/>
    </row>
    <row r="70" spans="1:14" x14ac:dyDescent="0.2">
      <c r="A70" s="272" t="s">
        <v>12</v>
      </c>
      <c r="B70" s="270"/>
      <c r="C70" s="271"/>
      <c r="D70" s="166"/>
      <c r="E70" s="23"/>
      <c r="F70" s="270"/>
      <c r="G70" s="271"/>
      <c r="H70" s="166"/>
      <c r="I70" s="23"/>
      <c r="J70" s="270"/>
      <c r="K70" s="271"/>
      <c r="L70" s="166"/>
      <c r="M70" s="23"/>
    </row>
    <row r="71" spans="1:14" x14ac:dyDescent="0.2">
      <c r="A71" s="272" t="s">
        <v>13</v>
      </c>
      <c r="B71" s="212"/>
      <c r="C71" s="266"/>
      <c r="D71" s="166"/>
      <c r="E71" s="23"/>
      <c r="F71" s="212"/>
      <c r="G71" s="266"/>
      <c r="H71" s="166"/>
      <c r="I71" s="23"/>
      <c r="J71" s="212"/>
      <c r="K71" s="266"/>
      <c r="L71" s="166"/>
      <c r="M71" s="23"/>
    </row>
    <row r="72" spans="1:14" ht="15.75" x14ac:dyDescent="0.2">
      <c r="A72" s="272" t="s">
        <v>357</v>
      </c>
      <c r="B72" s="295"/>
      <c r="C72" s="295"/>
      <c r="D72" s="166"/>
      <c r="E72" s="23"/>
      <c r="F72" s="295"/>
      <c r="G72" s="295"/>
      <c r="H72" s="166"/>
      <c r="I72" s="23"/>
      <c r="J72" s="295"/>
      <c r="K72" s="295"/>
      <c r="L72" s="166"/>
      <c r="M72" s="23"/>
    </row>
    <row r="73" spans="1:14" x14ac:dyDescent="0.2">
      <c r="A73" s="272" t="s">
        <v>12</v>
      </c>
      <c r="B73" s="212"/>
      <c r="C73" s="266"/>
      <c r="D73" s="166"/>
      <c r="E73" s="23"/>
      <c r="F73" s="212"/>
      <c r="G73" s="266"/>
      <c r="H73" s="166"/>
      <c r="I73" s="23"/>
      <c r="J73" s="212"/>
      <c r="K73" s="266"/>
      <c r="L73" s="166"/>
      <c r="M73" s="23"/>
    </row>
    <row r="74" spans="1:14" s="3" customFormat="1" x14ac:dyDescent="0.2">
      <c r="A74" s="272" t="s">
        <v>13</v>
      </c>
      <c r="B74" s="212"/>
      <c r="C74" s="266"/>
      <c r="D74" s="166"/>
      <c r="E74" s="23"/>
      <c r="F74" s="212"/>
      <c r="G74" s="266"/>
      <c r="H74" s="166"/>
      <c r="I74" s="23"/>
      <c r="J74" s="212"/>
      <c r="K74" s="266"/>
      <c r="L74" s="166"/>
      <c r="M74" s="23"/>
      <c r="N74" s="148"/>
    </row>
    <row r="75" spans="1:14" s="3" customFormat="1" x14ac:dyDescent="0.2">
      <c r="A75" s="21" t="s">
        <v>326</v>
      </c>
      <c r="B75" s="211"/>
      <c r="C75" s="145"/>
      <c r="D75" s="166"/>
      <c r="E75" s="23"/>
      <c r="F75" s="211"/>
      <c r="G75" s="145"/>
      <c r="H75" s="166"/>
      <c r="I75" s="23"/>
      <c r="J75" s="145"/>
      <c r="K75" s="44"/>
      <c r="L75" s="231"/>
      <c r="M75" s="27"/>
      <c r="N75" s="148"/>
    </row>
    <row r="76" spans="1:14" s="3" customFormat="1" x14ac:dyDescent="0.2">
      <c r="A76" s="21" t="s">
        <v>325</v>
      </c>
      <c r="B76" s="211"/>
      <c r="C76" s="145"/>
      <c r="D76" s="166"/>
      <c r="E76" s="23"/>
      <c r="F76" s="211"/>
      <c r="G76" s="145"/>
      <c r="H76" s="166"/>
      <c r="I76" s="23"/>
      <c r="J76" s="145"/>
      <c r="K76" s="44"/>
      <c r="L76" s="231"/>
      <c r="M76" s="27"/>
      <c r="N76" s="148"/>
    </row>
    <row r="77" spans="1:14" ht="15.75" x14ac:dyDescent="0.2">
      <c r="A77" s="21" t="s">
        <v>358</v>
      </c>
      <c r="B77" s="211"/>
      <c r="C77" s="211"/>
      <c r="D77" s="166"/>
      <c r="E77" s="23"/>
      <c r="F77" s="211"/>
      <c r="G77" s="145"/>
      <c r="H77" s="166"/>
      <c r="I77" s="23"/>
      <c r="J77" s="145"/>
      <c r="K77" s="44"/>
      <c r="L77" s="231"/>
      <c r="M77" s="27"/>
    </row>
    <row r="78" spans="1:14" x14ac:dyDescent="0.2">
      <c r="A78" s="21" t="s">
        <v>9</v>
      </c>
      <c r="B78" s="211"/>
      <c r="C78" s="145"/>
      <c r="D78" s="166"/>
      <c r="E78" s="23"/>
      <c r="F78" s="211"/>
      <c r="G78" s="145"/>
      <c r="H78" s="166"/>
      <c r="I78" s="23"/>
      <c r="J78" s="145"/>
      <c r="K78" s="44"/>
      <c r="L78" s="231"/>
      <c r="M78" s="27"/>
    </row>
    <row r="79" spans="1:14" x14ac:dyDescent="0.2">
      <c r="A79" s="38" t="s">
        <v>398</v>
      </c>
      <c r="B79" s="268"/>
      <c r="C79" s="269"/>
      <c r="D79" s="166"/>
      <c r="E79" s="23"/>
      <c r="F79" s="268"/>
      <c r="G79" s="269"/>
      <c r="H79" s="166"/>
      <c r="I79" s="23"/>
      <c r="J79" s="145"/>
      <c r="K79" s="44"/>
      <c r="L79" s="231"/>
      <c r="M79" s="27"/>
    </row>
    <row r="80" spans="1:14" ht="15.75" x14ac:dyDescent="0.2">
      <c r="A80" s="272" t="s">
        <v>356</v>
      </c>
      <c r="B80" s="295"/>
      <c r="C80" s="295"/>
      <c r="D80" s="166"/>
      <c r="E80" s="23"/>
      <c r="F80" s="295"/>
      <c r="G80" s="295"/>
      <c r="H80" s="166"/>
      <c r="I80" s="23"/>
      <c r="J80" s="295"/>
      <c r="K80" s="295"/>
      <c r="L80" s="166"/>
      <c r="M80" s="23"/>
    </row>
    <row r="81" spans="1:13" x14ac:dyDescent="0.2">
      <c r="A81" s="272" t="s">
        <v>12</v>
      </c>
      <c r="B81" s="295"/>
      <c r="C81" s="295"/>
      <c r="D81" s="166"/>
      <c r="E81" s="23"/>
      <c r="F81" s="270"/>
      <c r="G81" s="271"/>
      <c r="H81" s="166"/>
      <c r="I81" s="23"/>
      <c r="J81" s="270"/>
      <c r="K81" s="271"/>
      <c r="L81" s="166"/>
      <c r="M81" s="23"/>
    </row>
    <row r="82" spans="1:13" x14ac:dyDescent="0.2">
      <c r="A82" s="272" t="s">
        <v>13</v>
      </c>
      <c r="B82" s="295"/>
      <c r="C82" s="295"/>
      <c r="D82" s="166"/>
      <c r="E82" s="23"/>
      <c r="F82" s="212"/>
      <c r="G82" s="266"/>
      <c r="H82" s="166"/>
      <c r="I82" s="23"/>
      <c r="J82" s="212"/>
      <c r="K82" s="266"/>
      <c r="L82" s="166"/>
      <c r="M82" s="23"/>
    </row>
    <row r="83" spans="1:13" ht="15.75" x14ac:dyDescent="0.2">
      <c r="A83" s="272" t="s">
        <v>357</v>
      </c>
      <c r="B83" s="295"/>
      <c r="C83" s="295"/>
      <c r="D83" s="166"/>
      <c r="E83" s="23"/>
      <c r="F83" s="295"/>
      <c r="G83" s="295"/>
      <c r="H83" s="166"/>
      <c r="I83" s="23"/>
      <c r="J83" s="295"/>
      <c r="K83" s="295"/>
      <c r="L83" s="166"/>
      <c r="M83" s="23"/>
    </row>
    <row r="84" spans="1:13" x14ac:dyDescent="0.2">
      <c r="A84" s="272" t="s">
        <v>12</v>
      </c>
      <c r="B84" s="212"/>
      <c r="C84" s="266"/>
      <c r="D84" s="166"/>
      <c r="E84" s="23"/>
      <c r="F84" s="212"/>
      <c r="G84" s="266"/>
      <c r="H84" s="166"/>
      <c r="I84" s="23"/>
      <c r="J84" s="212"/>
      <c r="K84" s="266"/>
      <c r="L84" s="166"/>
      <c r="M84" s="23"/>
    </row>
    <row r="85" spans="1:13" x14ac:dyDescent="0.2">
      <c r="A85" s="272" t="s">
        <v>13</v>
      </c>
      <c r="B85" s="212"/>
      <c r="C85" s="266"/>
      <c r="D85" s="166"/>
      <c r="E85" s="23"/>
      <c r="F85" s="212"/>
      <c r="G85" s="266"/>
      <c r="H85" s="166"/>
      <c r="I85" s="23"/>
      <c r="J85" s="212"/>
      <c r="K85" s="266"/>
      <c r="L85" s="166"/>
      <c r="M85" s="23"/>
    </row>
    <row r="86" spans="1:13" ht="15.75" x14ac:dyDescent="0.2">
      <c r="A86" s="21" t="s">
        <v>359</v>
      </c>
      <c r="B86" s="211"/>
      <c r="C86" s="145"/>
      <c r="D86" s="166"/>
      <c r="E86" s="23"/>
      <c r="F86" s="211"/>
      <c r="G86" s="145"/>
      <c r="H86" s="166"/>
      <c r="I86" s="23"/>
      <c r="J86" s="145"/>
      <c r="K86" s="44"/>
      <c r="L86" s="231"/>
      <c r="M86" s="27"/>
    </row>
    <row r="87" spans="1:13" ht="15.75" x14ac:dyDescent="0.2">
      <c r="A87" s="13" t="s">
        <v>341</v>
      </c>
      <c r="B87" s="329"/>
      <c r="C87" s="329"/>
      <c r="D87" s="171"/>
      <c r="E87" s="24"/>
      <c r="F87" s="328"/>
      <c r="G87" s="328"/>
      <c r="H87" s="171"/>
      <c r="I87" s="24"/>
      <c r="J87" s="159"/>
      <c r="K87" s="213"/>
      <c r="L87" s="402"/>
      <c r="M87" s="11"/>
    </row>
    <row r="88" spans="1:13" x14ac:dyDescent="0.2">
      <c r="A88" s="21" t="s">
        <v>9</v>
      </c>
      <c r="B88" s="211"/>
      <c r="C88" s="145"/>
      <c r="D88" s="166"/>
      <c r="E88" s="23"/>
      <c r="F88" s="211"/>
      <c r="G88" s="145"/>
      <c r="H88" s="166"/>
      <c r="I88" s="23"/>
      <c r="J88" s="145"/>
      <c r="K88" s="44"/>
      <c r="L88" s="231"/>
      <c r="M88" s="27"/>
    </row>
    <row r="89" spans="1:13" x14ac:dyDescent="0.2">
      <c r="A89" s="21" t="s">
        <v>10</v>
      </c>
      <c r="B89" s="211"/>
      <c r="C89" s="145"/>
      <c r="D89" s="166"/>
      <c r="E89" s="23"/>
      <c r="F89" s="211"/>
      <c r="G89" s="145"/>
      <c r="H89" s="166"/>
      <c r="I89" s="23"/>
      <c r="J89" s="145"/>
      <c r="K89" s="44"/>
      <c r="L89" s="231"/>
      <c r="M89" s="27"/>
    </row>
    <row r="90" spans="1:13" ht="15.75" x14ac:dyDescent="0.2">
      <c r="A90" s="272" t="s">
        <v>356</v>
      </c>
      <c r="B90" s="295"/>
      <c r="C90" s="295"/>
      <c r="D90" s="166"/>
      <c r="E90" s="23"/>
      <c r="F90" s="295"/>
      <c r="G90" s="295"/>
      <c r="H90" s="166"/>
      <c r="I90" s="23"/>
      <c r="J90" s="295"/>
      <c r="K90" s="295"/>
      <c r="L90" s="166"/>
      <c r="M90" s="23"/>
    </row>
    <row r="91" spans="1:13" x14ac:dyDescent="0.2">
      <c r="A91" s="272" t="s">
        <v>12</v>
      </c>
      <c r="B91" s="295"/>
      <c r="C91" s="295"/>
      <c r="D91" s="166"/>
      <c r="E91" s="23"/>
      <c r="F91" s="270"/>
      <c r="G91" s="271"/>
      <c r="H91" s="166"/>
      <c r="I91" s="23"/>
      <c r="J91" s="270"/>
      <c r="K91" s="271"/>
      <c r="L91" s="166"/>
      <c r="M91" s="23"/>
    </row>
    <row r="92" spans="1:13" x14ac:dyDescent="0.2">
      <c r="A92" s="272" t="s">
        <v>13</v>
      </c>
      <c r="B92" s="295"/>
      <c r="C92" s="295"/>
      <c r="D92" s="166"/>
      <c r="E92" s="23"/>
      <c r="F92" s="212"/>
      <c r="G92" s="266"/>
      <c r="H92" s="166"/>
      <c r="I92" s="23"/>
      <c r="J92" s="212"/>
      <c r="K92" s="266"/>
      <c r="L92" s="166"/>
      <c r="M92" s="23"/>
    </row>
    <row r="93" spans="1:13" ht="15.75" x14ac:dyDescent="0.2">
      <c r="A93" s="272" t="s">
        <v>357</v>
      </c>
      <c r="B93" s="295"/>
      <c r="C93" s="295"/>
      <c r="D93" s="166"/>
      <c r="E93" s="23"/>
      <c r="F93" s="295"/>
      <c r="G93" s="295"/>
      <c r="H93" s="166"/>
      <c r="I93" s="23"/>
      <c r="J93" s="295"/>
      <c r="K93" s="295"/>
      <c r="L93" s="166"/>
      <c r="M93" s="23"/>
    </row>
    <row r="94" spans="1:13" x14ac:dyDescent="0.2">
      <c r="A94" s="272" t="s">
        <v>12</v>
      </c>
      <c r="B94" s="212"/>
      <c r="C94" s="266"/>
      <c r="D94" s="166"/>
      <c r="E94" s="23"/>
      <c r="F94" s="212"/>
      <c r="G94" s="266"/>
      <c r="H94" s="166"/>
      <c r="I94" s="23"/>
      <c r="J94" s="212"/>
      <c r="K94" s="266"/>
      <c r="L94" s="166"/>
      <c r="M94" s="23"/>
    </row>
    <row r="95" spans="1:13" x14ac:dyDescent="0.2">
      <c r="A95" s="272" t="s">
        <v>13</v>
      </c>
      <c r="B95" s="212"/>
      <c r="C95" s="266"/>
      <c r="D95" s="166"/>
      <c r="E95" s="23"/>
      <c r="F95" s="212"/>
      <c r="G95" s="266"/>
      <c r="H95" s="166"/>
      <c r="I95" s="23"/>
      <c r="J95" s="212"/>
      <c r="K95" s="266"/>
      <c r="L95" s="166"/>
      <c r="M95" s="23"/>
    </row>
    <row r="96" spans="1:13" x14ac:dyDescent="0.2">
      <c r="A96" s="21" t="s">
        <v>324</v>
      </c>
      <c r="B96" s="211"/>
      <c r="C96" s="145"/>
      <c r="D96" s="166"/>
      <c r="E96" s="23"/>
      <c r="F96" s="211"/>
      <c r="G96" s="145"/>
      <c r="H96" s="166"/>
      <c r="I96" s="23"/>
      <c r="J96" s="145"/>
      <c r="K96" s="44"/>
      <c r="L96" s="231"/>
      <c r="M96" s="27"/>
    </row>
    <row r="97" spans="1:13" x14ac:dyDescent="0.2">
      <c r="A97" s="21" t="s">
        <v>323</v>
      </c>
      <c r="B97" s="211"/>
      <c r="C97" s="145"/>
      <c r="D97" s="166"/>
      <c r="E97" s="23"/>
      <c r="F97" s="211"/>
      <c r="G97" s="145"/>
      <c r="H97" s="166"/>
      <c r="I97" s="23"/>
      <c r="J97" s="145"/>
      <c r="K97" s="44"/>
      <c r="L97" s="231"/>
      <c r="M97" s="27"/>
    </row>
    <row r="98" spans="1:13" ht="15.75" x14ac:dyDescent="0.2">
      <c r="A98" s="21" t="s">
        <v>358</v>
      </c>
      <c r="B98" s="211"/>
      <c r="C98" s="211"/>
      <c r="D98" s="166"/>
      <c r="E98" s="23"/>
      <c r="F98" s="268"/>
      <c r="G98" s="268"/>
      <c r="H98" s="166"/>
      <c r="I98" s="23"/>
      <c r="J98" s="145"/>
      <c r="K98" s="44"/>
      <c r="L98" s="231"/>
      <c r="M98" s="27"/>
    </row>
    <row r="99" spans="1:13" x14ac:dyDescent="0.2">
      <c r="A99" s="21" t="s">
        <v>9</v>
      </c>
      <c r="B99" s="268"/>
      <c r="C99" s="269"/>
      <c r="D99" s="166"/>
      <c r="E99" s="23"/>
      <c r="F99" s="211"/>
      <c r="G99" s="145"/>
      <c r="H99" s="166"/>
      <c r="I99" s="23"/>
      <c r="J99" s="145"/>
      <c r="K99" s="44"/>
      <c r="L99" s="231"/>
      <c r="M99" s="27"/>
    </row>
    <row r="100" spans="1:13" ht="15.75" x14ac:dyDescent="0.2">
      <c r="A100" s="38" t="s">
        <v>399</v>
      </c>
      <c r="B100" s="268"/>
      <c r="C100" s="269"/>
      <c r="D100" s="166"/>
      <c r="E100" s="23"/>
      <c r="F100" s="211"/>
      <c r="G100" s="211"/>
      <c r="H100" s="166"/>
      <c r="I100" s="23"/>
      <c r="J100" s="145"/>
      <c r="K100" s="44"/>
      <c r="L100" s="231"/>
      <c r="M100" s="27"/>
    </row>
    <row r="101" spans="1:13" ht="15.75" x14ac:dyDescent="0.2">
      <c r="A101" s="38" t="s">
        <v>400</v>
      </c>
      <c r="B101" s="268"/>
      <c r="C101" s="268"/>
      <c r="D101" s="166"/>
      <c r="E101" s="23"/>
      <c r="F101" s="268"/>
      <c r="G101" s="268"/>
      <c r="H101" s="166"/>
      <c r="I101" s="23"/>
      <c r="J101" s="145"/>
      <c r="K101" s="44"/>
      <c r="L101" s="231"/>
      <c r="M101" s="27"/>
    </row>
    <row r="102" spans="1:13" ht="15.75" x14ac:dyDescent="0.2">
      <c r="A102" s="272" t="s">
        <v>356</v>
      </c>
      <c r="B102" s="295"/>
      <c r="C102" s="295"/>
      <c r="D102" s="166"/>
      <c r="E102" s="23"/>
      <c r="F102" s="295"/>
      <c r="G102" s="295"/>
      <c r="H102" s="166"/>
      <c r="I102" s="23"/>
      <c r="J102" s="295"/>
      <c r="K102" s="295"/>
      <c r="L102" s="166"/>
      <c r="M102" s="23"/>
    </row>
    <row r="103" spans="1:13" x14ac:dyDescent="0.2">
      <c r="A103" s="272" t="s">
        <v>12</v>
      </c>
      <c r="B103" s="295"/>
      <c r="C103" s="295"/>
      <c r="D103" s="166"/>
      <c r="E103" s="23"/>
      <c r="F103" s="270"/>
      <c r="G103" s="271"/>
      <c r="H103" s="166"/>
      <c r="I103" s="23"/>
      <c r="J103" s="270"/>
      <c r="K103" s="271"/>
      <c r="L103" s="166"/>
      <c r="M103" s="23"/>
    </row>
    <row r="104" spans="1:13" x14ac:dyDescent="0.2">
      <c r="A104" s="272" t="s">
        <v>13</v>
      </c>
      <c r="B104" s="295"/>
      <c r="C104" s="295"/>
      <c r="D104" s="166"/>
      <c r="E104" s="23"/>
      <c r="F104" s="212"/>
      <c r="G104" s="266"/>
      <c r="H104" s="166"/>
      <c r="I104" s="23"/>
      <c r="J104" s="212"/>
      <c r="K104" s="266"/>
      <c r="L104" s="166"/>
      <c r="M104" s="23"/>
    </row>
    <row r="105" spans="1:13" ht="15.75" x14ac:dyDescent="0.2">
      <c r="A105" s="272" t="s">
        <v>357</v>
      </c>
      <c r="B105" s="295"/>
      <c r="C105" s="295"/>
      <c r="D105" s="166"/>
      <c r="E105" s="23"/>
      <c r="F105" s="295"/>
      <c r="G105" s="295"/>
      <c r="H105" s="166"/>
      <c r="I105" s="23"/>
      <c r="J105" s="295"/>
      <c r="K105" s="295"/>
      <c r="L105" s="166"/>
      <c r="M105" s="23"/>
    </row>
    <row r="106" spans="1:13" x14ac:dyDescent="0.2">
      <c r="A106" s="272" t="s">
        <v>12</v>
      </c>
      <c r="B106" s="212"/>
      <c r="C106" s="266"/>
      <c r="D106" s="166"/>
      <c r="E106" s="23"/>
      <c r="F106" s="212"/>
      <c r="G106" s="266"/>
      <c r="H106" s="166"/>
      <c r="I106" s="23"/>
      <c r="J106" s="212"/>
      <c r="K106" s="266"/>
      <c r="L106" s="166"/>
      <c r="M106" s="23"/>
    </row>
    <row r="107" spans="1:13" x14ac:dyDescent="0.2">
      <c r="A107" s="272" t="s">
        <v>13</v>
      </c>
      <c r="B107" s="212"/>
      <c r="C107" s="266"/>
      <c r="D107" s="166"/>
      <c r="E107" s="23"/>
      <c r="F107" s="212"/>
      <c r="G107" s="266"/>
      <c r="H107" s="166"/>
      <c r="I107" s="23"/>
      <c r="J107" s="212"/>
      <c r="K107" s="266"/>
      <c r="L107" s="166"/>
      <c r="M107" s="23"/>
    </row>
    <row r="108" spans="1:13" ht="15.75" x14ac:dyDescent="0.2">
      <c r="A108" s="21" t="s">
        <v>359</v>
      </c>
      <c r="B108" s="211"/>
      <c r="C108" s="145"/>
      <c r="D108" s="166"/>
      <c r="E108" s="23"/>
      <c r="F108" s="211"/>
      <c r="G108" s="145"/>
      <c r="H108" s="166"/>
      <c r="I108" s="23"/>
      <c r="J108" s="145"/>
      <c r="K108" s="44"/>
      <c r="L108" s="231"/>
      <c r="M108" s="27"/>
    </row>
    <row r="109" spans="1:13" ht="15.75" x14ac:dyDescent="0.2">
      <c r="A109" s="21" t="s">
        <v>360</v>
      </c>
      <c r="B109" s="211"/>
      <c r="C109" s="211"/>
      <c r="D109" s="166"/>
      <c r="E109" s="23"/>
      <c r="F109" s="211"/>
      <c r="G109" s="211"/>
      <c r="H109" s="166"/>
      <c r="I109" s="23"/>
      <c r="J109" s="145"/>
      <c r="K109" s="44"/>
      <c r="L109" s="231"/>
      <c r="M109" s="27"/>
    </row>
    <row r="110" spans="1:13" ht="15.75" x14ac:dyDescent="0.2">
      <c r="A110" s="38" t="s">
        <v>416</v>
      </c>
      <c r="B110" s="211"/>
      <c r="C110" s="211"/>
      <c r="D110" s="166"/>
      <c r="E110" s="23"/>
      <c r="F110" s="211"/>
      <c r="G110" s="211"/>
      <c r="H110" s="166"/>
      <c r="I110" s="23"/>
      <c r="J110" s="145"/>
      <c r="K110" s="44"/>
      <c r="L110" s="231"/>
      <c r="M110" s="27"/>
    </row>
    <row r="111" spans="1:13" ht="15.75" x14ac:dyDescent="0.2">
      <c r="A111" s="21" t="s">
        <v>362</v>
      </c>
      <c r="B111" s="211"/>
      <c r="C111" s="211"/>
      <c r="D111" s="166"/>
      <c r="E111" s="23"/>
      <c r="F111" s="211"/>
      <c r="G111" s="211"/>
      <c r="H111" s="166"/>
      <c r="I111" s="23"/>
      <c r="J111" s="145"/>
      <c r="K111" s="44"/>
      <c r="L111" s="231"/>
      <c r="M111" s="27"/>
    </row>
    <row r="112" spans="1:13" ht="15.75" x14ac:dyDescent="0.2">
      <c r="A112" s="13" t="s">
        <v>342</v>
      </c>
      <c r="B112" s="284"/>
      <c r="C112" s="159"/>
      <c r="D112" s="171"/>
      <c r="E112" s="24"/>
      <c r="F112" s="284"/>
      <c r="G112" s="159"/>
      <c r="H112" s="171"/>
      <c r="I112" s="24"/>
      <c r="J112" s="159"/>
      <c r="K112" s="213"/>
      <c r="L112" s="402"/>
      <c r="M112" s="11"/>
    </row>
    <row r="113" spans="1:14" x14ac:dyDescent="0.2">
      <c r="A113" s="21" t="s">
        <v>9</v>
      </c>
      <c r="B113" s="211"/>
      <c r="C113" s="145"/>
      <c r="D113" s="166"/>
      <c r="E113" s="23"/>
      <c r="F113" s="211"/>
      <c r="G113" s="145"/>
      <c r="H113" s="166"/>
      <c r="I113" s="23"/>
      <c r="J113" s="145"/>
      <c r="K113" s="44"/>
      <c r="L113" s="231"/>
      <c r="M113" s="27"/>
    </row>
    <row r="114" spans="1:14" x14ac:dyDescent="0.2">
      <c r="A114" s="21" t="s">
        <v>10</v>
      </c>
      <c r="B114" s="211"/>
      <c r="C114" s="145"/>
      <c r="D114" s="166"/>
      <c r="E114" s="23"/>
      <c r="F114" s="211"/>
      <c r="G114" s="145"/>
      <c r="H114" s="166"/>
      <c r="I114" s="23"/>
      <c r="J114" s="145"/>
      <c r="K114" s="44"/>
      <c r="L114" s="231"/>
      <c r="M114" s="27"/>
    </row>
    <row r="115" spans="1:14" x14ac:dyDescent="0.2">
      <c r="A115" s="21" t="s">
        <v>26</v>
      </c>
      <c r="B115" s="211"/>
      <c r="C115" s="145"/>
      <c r="D115" s="166"/>
      <c r="E115" s="23"/>
      <c r="F115" s="211"/>
      <c r="G115" s="145"/>
      <c r="H115" s="166"/>
      <c r="I115" s="23"/>
      <c r="J115" s="145"/>
      <c r="K115" s="44"/>
      <c r="L115" s="231"/>
      <c r="M115" s="27"/>
    </row>
    <row r="116" spans="1:14" x14ac:dyDescent="0.2">
      <c r="A116" s="272" t="s">
        <v>15</v>
      </c>
      <c r="B116" s="258"/>
      <c r="C116" s="258"/>
      <c r="D116" s="166"/>
      <c r="E116" s="23"/>
      <c r="F116" s="665"/>
      <c r="G116" s="258"/>
      <c r="H116" s="166"/>
      <c r="I116" s="23"/>
      <c r="J116" s="667"/>
      <c r="K116" s="267"/>
      <c r="L116" s="166"/>
      <c r="M116" s="23"/>
    </row>
    <row r="117" spans="1:14" ht="15.75" x14ac:dyDescent="0.2">
      <c r="A117" s="21" t="s">
        <v>363</v>
      </c>
      <c r="B117" s="211"/>
      <c r="C117" s="211"/>
      <c r="D117" s="166"/>
      <c r="E117" s="23"/>
      <c r="F117" s="211"/>
      <c r="G117" s="211"/>
      <c r="H117" s="166"/>
      <c r="I117" s="23"/>
      <c r="J117" s="145"/>
      <c r="K117" s="44"/>
      <c r="L117" s="231"/>
      <c r="M117" s="27"/>
    </row>
    <row r="118" spans="1:14" ht="15.75" x14ac:dyDescent="0.2">
      <c r="A118" s="21" t="s">
        <v>364</v>
      </c>
      <c r="B118" s="211"/>
      <c r="C118" s="211"/>
      <c r="D118" s="166"/>
      <c r="E118" s="23"/>
      <c r="F118" s="211"/>
      <c r="G118" s="211"/>
      <c r="H118" s="166"/>
      <c r="I118" s="23"/>
      <c r="J118" s="145"/>
      <c r="K118" s="44"/>
      <c r="L118" s="231"/>
      <c r="M118" s="27"/>
    </row>
    <row r="119" spans="1:14" ht="15.75" x14ac:dyDescent="0.2">
      <c r="A119" s="21" t="s">
        <v>362</v>
      </c>
      <c r="B119" s="211"/>
      <c r="C119" s="211"/>
      <c r="D119" s="166"/>
      <c r="E119" s="23"/>
      <c r="F119" s="211"/>
      <c r="G119" s="211"/>
      <c r="H119" s="166"/>
      <c r="I119" s="23"/>
      <c r="J119" s="145"/>
      <c r="K119" s="44"/>
      <c r="L119" s="231"/>
      <c r="M119" s="27"/>
    </row>
    <row r="120" spans="1:14" ht="15.75" x14ac:dyDescent="0.2">
      <c r="A120" s="13" t="s">
        <v>343</v>
      </c>
      <c r="B120" s="284"/>
      <c r="C120" s="159"/>
      <c r="D120" s="171"/>
      <c r="E120" s="24"/>
      <c r="F120" s="284"/>
      <c r="G120" s="159"/>
      <c r="H120" s="171"/>
      <c r="I120" s="24"/>
      <c r="J120" s="159"/>
      <c r="K120" s="213"/>
      <c r="L120" s="402"/>
      <c r="M120" s="11"/>
    </row>
    <row r="121" spans="1:14" x14ac:dyDescent="0.2">
      <c r="A121" s="21" t="s">
        <v>9</v>
      </c>
      <c r="B121" s="211"/>
      <c r="C121" s="145"/>
      <c r="D121" s="166"/>
      <c r="E121" s="23"/>
      <c r="F121" s="211"/>
      <c r="G121" s="145"/>
      <c r="H121" s="166"/>
      <c r="I121" s="23"/>
      <c r="J121" s="145"/>
      <c r="K121" s="44"/>
      <c r="L121" s="231"/>
      <c r="M121" s="27"/>
    </row>
    <row r="122" spans="1:14" x14ac:dyDescent="0.2">
      <c r="A122" s="21" t="s">
        <v>10</v>
      </c>
      <c r="B122" s="211"/>
      <c r="C122" s="145"/>
      <c r="D122" s="166"/>
      <c r="E122" s="23"/>
      <c r="F122" s="211"/>
      <c r="G122" s="145"/>
      <c r="H122" s="166"/>
      <c r="I122" s="23"/>
      <c r="J122" s="145"/>
      <c r="K122" s="44"/>
      <c r="L122" s="231"/>
      <c r="M122" s="27"/>
    </row>
    <row r="123" spans="1:14" x14ac:dyDescent="0.2">
      <c r="A123" s="21" t="s">
        <v>26</v>
      </c>
      <c r="B123" s="211"/>
      <c r="C123" s="145"/>
      <c r="D123" s="166"/>
      <c r="E123" s="23"/>
      <c r="F123" s="211"/>
      <c r="G123" s="145"/>
      <c r="H123" s="166"/>
      <c r="I123" s="23"/>
      <c r="J123" s="145"/>
      <c r="K123" s="44"/>
      <c r="L123" s="231"/>
      <c r="M123" s="27"/>
    </row>
    <row r="124" spans="1:14" x14ac:dyDescent="0.2">
      <c r="A124" s="272" t="s">
        <v>14</v>
      </c>
      <c r="B124" s="258"/>
      <c r="C124" s="258"/>
      <c r="D124" s="166"/>
      <c r="E124" s="23"/>
      <c r="F124" s="665"/>
      <c r="G124" s="258"/>
      <c r="H124" s="166"/>
      <c r="I124" s="23"/>
      <c r="J124" s="667"/>
      <c r="K124" s="267"/>
      <c r="L124" s="166"/>
      <c r="M124" s="23"/>
    </row>
    <row r="125" spans="1:14" ht="15.75" x14ac:dyDescent="0.2">
      <c r="A125" s="21" t="s">
        <v>369</v>
      </c>
      <c r="B125" s="211"/>
      <c r="C125" s="211"/>
      <c r="D125" s="166"/>
      <c r="E125" s="23"/>
      <c r="F125" s="211"/>
      <c r="G125" s="211"/>
      <c r="H125" s="166"/>
      <c r="I125" s="23"/>
      <c r="J125" s="145"/>
      <c r="K125" s="44"/>
      <c r="L125" s="231"/>
      <c r="M125" s="27"/>
    </row>
    <row r="126" spans="1:14" ht="15.75" x14ac:dyDescent="0.2">
      <c r="A126" s="21" t="s">
        <v>361</v>
      </c>
      <c r="B126" s="211"/>
      <c r="C126" s="211"/>
      <c r="D126" s="166"/>
      <c r="E126" s="23"/>
      <c r="F126" s="211"/>
      <c r="G126" s="211"/>
      <c r="H126" s="166"/>
      <c r="I126" s="23"/>
      <c r="J126" s="145"/>
      <c r="K126" s="44"/>
      <c r="L126" s="231"/>
      <c r="M126" s="27"/>
    </row>
    <row r="127" spans="1:14" ht="15.75" x14ac:dyDescent="0.2">
      <c r="A127" s="10" t="s">
        <v>362</v>
      </c>
      <c r="B127" s="45"/>
      <c r="C127" s="45"/>
      <c r="D127" s="167"/>
      <c r="E127" s="22"/>
      <c r="F127" s="666"/>
      <c r="G127" s="45"/>
      <c r="H127" s="167"/>
      <c r="I127" s="22"/>
      <c r="J127" s="668"/>
      <c r="K127" s="45"/>
      <c r="L127" s="232"/>
      <c r="M127" s="22"/>
    </row>
    <row r="128" spans="1:14" x14ac:dyDescent="0.2">
      <c r="A128" s="155"/>
      <c r="L128" s="26"/>
      <c r="M128" s="26"/>
      <c r="N128" s="26"/>
    </row>
    <row r="129" spans="1:14" x14ac:dyDescent="0.2">
      <c r="L129" s="26"/>
      <c r="M129" s="26"/>
      <c r="N129" s="26"/>
    </row>
    <row r="130" spans="1:14" ht="15.75" x14ac:dyDescent="0.25">
      <c r="A130" s="165" t="s">
        <v>27</v>
      </c>
    </row>
    <row r="131" spans="1:14" ht="15.75" x14ac:dyDescent="0.25">
      <c r="B131" s="694"/>
      <c r="C131" s="694"/>
      <c r="D131" s="694"/>
      <c r="E131" s="275"/>
      <c r="F131" s="694"/>
      <c r="G131" s="694"/>
      <c r="H131" s="694"/>
      <c r="I131" s="275"/>
      <c r="J131" s="694"/>
      <c r="K131" s="694"/>
      <c r="L131" s="694"/>
      <c r="M131" s="275"/>
    </row>
    <row r="132" spans="1:14" s="3" customFormat="1" x14ac:dyDescent="0.2">
      <c r="A132" s="144"/>
      <c r="B132" s="695" t="s">
        <v>0</v>
      </c>
      <c r="C132" s="696"/>
      <c r="D132" s="696"/>
      <c r="E132" s="277"/>
      <c r="F132" s="695" t="s">
        <v>1</v>
      </c>
      <c r="G132" s="696"/>
      <c r="H132" s="696"/>
      <c r="I132" s="280"/>
      <c r="J132" s="695" t="s">
        <v>2</v>
      </c>
      <c r="K132" s="696"/>
      <c r="L132" s="696"/>
      <c r="M132" s="280"/>
      <c r="N132" s="148"/>
    </row>
    <row r="133" spans="1:14" s="3" customFormat="1" x14ac:dyDescent="0.2">
      <c r="A133" s="140"/>
      <c r="B133" s="152" t="s">
        <v>412</v>
      </c>
      <c r="C133" s="152" t="s">
        <v>413</v>
      </c>
      <c r="D133" s="222" t="s">
        <v>3</v>
      </c>
      <c r="E133" s="281" t="s">
        <v>29</v>
      </c>
      <c r="F133" s="152" t="s">
        <v>412</v>
      </c>
      <c r="G133" s="152" t="s">
        <v>413</v>
      </c>
      <c r="H133" s="203" t="s">
        <v>3</v>
      </c>
      <c r="I133" s="162" t="s">
        <v>29</v>
      </c>
      <c r="J133" s="152" t="s">
        <v>412</v>
      </c>
      <c r="K133" s="152" t="s">
        <v>413</v>
      </c>
      <c r="L133" s="223" t="s">
        <v>3</v>
      </c>
      <c r="M133" s="162" t="s">
        <v>29</v>
      </c>
      <c r="N133" s="148"/>
    </row>
    <row r="134" spans="1:14" s="3" customFormat="1" x14ac:dyDescent="0.2">
      <c r="A134" s="662"/>
      <c r="B134" s="156"/>
      <c r="C134" s="156"/>
      <c r="D134" s="223" t="s">
        <v>4</v>
      </c>
      <c r="E134" s="156" t="s">
        <v>30</v>
      </c>
      <c r="F134" s="161"/>
      <c r="G134" s="161"/>
      <c r="H134" s="203" t="s">
        <v>4</v>
      </c>
      <c r="I134" s="156" t="s">
        <v>30</v>
      </c>
      <c r="J134" s="156"/>
      <c r="K134" s="156"/>
      <c r="L134" s="150" t="s">
        <v>4</v>
      </c>
      <c r="M134" s="156" t="s">
        <v>30</v>
      </c>
      <c r="N134" s="148"/>
    </row>
    <row r="135" spans="1:14" s="3" customFormat="1" ht="15.75" x14ac:dyDescent="0.2">
      <c r="A135" s="14" t="s">
        <v>365</v>
      </c>
      <c r="B135" s="213">
        <v>7070036.40766</v>
      </c>
      <c r="C135" s="285">
        <v>7027140.7149999999</v>
      </c>
      <c r="D135" s="326">
        <f>IF(B135=0, "    ---- ", IF(ABS(ROUND(100/B135*C135-100,1))&lt;999,ROUND(100/B135*C135-100,1),IF(ROUND(100/B135*C135-100,1)&gt;999,999,-999)))</f>
        <v>-0.6</v>
      </c>
      <c r="E135" s="11">
        <f>IFERROR(100/'Skjema total MA'!C135*C135,0)</f>
        <v>88.51261823818389</v>
      </c>
      <c r="F135" s="292">
        <v>13284.058000000001</v>
      </c>
      <c r="G135" s="293">
        <v>13768.486000000001</v>
      </c>
      <c r="H135" s="405">
        <f>IF(F135=0, "    ---- ", IF(ABS(ROUND(100/F135*G135-100,1))&lt;999,ROUND(100/F135*G135-100,1),IF(ROUND(100/F135*G135-100,1)&gt;999,999,-999)))</f>
        <v>3.6</v>
      </c>
      <c r="I135" s="24">
        <f>IFERROR(100/'Skjema total MA'!F135*G135,0)</f>
        <v>100</v>
      </c>
      <c r="J135" s="294">
        <f t="shared" ref="J135:K138" si="1">SUM(B135,F135)</f>
        <v>7083320.4656600002</v>
      </c>
      <c r="K135" s="294">
        <f t="shared" si="1"/>
        <v>7040909.2009999994</v>
      </c>
      <c r="L135" s="401">
        <f>IF(J135=0, "    ---- ", IF(ABS(ROUND(100/J135*K135-100,1))&lt;999,ROUND(100/J135*K135-100,1),IF(ROUND(100/J135*K135-100,1)&gt;999,999,-999)))</f>
        <v>-0.6</v>
      </c>
      <c r="M135" s="11">
        <f>IFERROR(100/'Skjema total MA'!I135*K135,0)</f>
        <v>88.53250578680175</v>
      </c>
      <c r="N135" s="148"/>
    </row>
    <row r="136" spans="1:14" s="3" customFormat="1" ht="15.75" x14ac:dyDescent="0.2">
      <c r="A136" s="13" t="s">
        <v>370</v>
      </c>
      <c r="B136" s="213">
        <v>508505466.93022001</v>
      </c>
      <c r="C136" s="285">
        <v>532252570.11264002</v>
      </c>
      <c r="D136" s="171">
        <f>IF(B136=0, "    ---- ", IF(ABS(ROUND(100/B136*C136-100,1))&lt;999,ROUND(100/B136*C136-100,1),IF(ROUND(100/B136*C136-100,1)&gt;999,999,-999)))</f>
        <v>4.7</v>
      </c>
      <c r="E136" s="11">
        <f>IFERROR(100/'Skjema total MA'!C136*C136,0)</f>
        <v>84.765022129442869</v>
      </c>
      <c r="F136" s="213">
        <v>2151789.0251500001</v>
      </c>
      <c r="G136" s="285">
        <v>2073544.89796</v>
      </c>
      <c r="H136" s="406">
        <f>IF(F136=0, "    ---- ", IF(ABS(ROUND(100/F136*G136-100,1))&lt;999,ROUND(100/F136*G136-100,1),IF(ROUND(100/F136*G136-100,1)&gt;999,999,-999)))</f>
        <v>-3.6</v>
      </c>
      <c r="I136" s="24">
        <f>IFERROR(100/'Skjema total MA'!F136*G136,0)</f>
        <v>100</v>
      </c>
      <c r="J136" s="284">
        <f t="shared" si="1"/>
        <v>510657255.95537001</v>
      </c>
      <c r="K136" s="284">
        <f t="shared" si="1"/>
        <v>534326115.01060003</v>
      </c>
      <c r="L136" s="402">
        <f>IF(J136=0, "    ---- ", IF(ABS(ROUND(100/J136*K136-100,1))&lt;999,ROUND(100/J136*K136-100,1),IF(ROUND(100/J136*K136-100,1)&gt;999,999,-999)))</f>
        <v>4.5999999999999996</v>
      </c>
      <c r="M136" s="11">
        <f>IFERROR(100/'Skjema total MA'!I136*K136,0)</f>
        <v>84.815166523722098</v>
      </c>
      <c r="N136" s="148"/>
    </row>
    <row r="137" spans="1:14" s="3" customFormat="1" ht="15.75" x14ac:dyDescent="0.2">
      <c r="A137" s="13" t="s">
        <v>367</v>
      </c>
      <c r="B137" s="213">
        <v>2965700.3289999999</v>
      </c>
      <c r="C137" s="285">
        <v>0</v>
      </c>
      <c r="D137" s="171">
        <f>IF(B137=0, "    ---- ", IF(ABS(ROUND(100/B137*C137-100,1))&lt;999,ROUND(100/B137*C137-100,1),IF(ROUND(100/B137*C137-100,1)&gt;999,999,-999)))</f>
        <v>-100</v>
      </c>
      <c r="E137" s="11">
        <f>IFERROR(100/'Skjema total MA'!C137*C137,0)</f>
        <v>0</v>
      </c>
      <c r="F137" s="213">
        <v>-462765.72600000002</v>
      </c>
      <c r="G137" s="285">
        <v>0</v>
      </c>
      <c r="H137" s="406">
        <f>IF(F137=0, "    ---- ", IF(ABS(ROUND(100/F137*G137-100,1))&lt;999,ROUND(100/F137*G137-100,1),IF(ROUND(100/F137*G137-100,1)&gt;999,999,-999)))</f>
        <v>-100</v>
      </c>
      <c r="I137" s="24">
        <f>IFERROR(100/'Skjema total MA'!F137*G137,0)</f>
        <v>0</v>
      </c>
      <c r="J137" s="284">
        <f t="shared" si="1"/>
        <v>2502934.6030000001</v>
      </c>
      <c r="K137" s="284">
        <f t="shared" si="1"/>
        <v>0</v>
      </c>
      <c r="L137" s="402">
        <f>IF(J137=0, "    ---- ", IF(ABS(ROUND(100/J137*K137-100,1))&lt;999,ROUND(100/J137*K137-100,1),IF(ROUND(100/J137*K137-100,1)&gt;999,999,-999)))</f>
        <v>-100</v>
      </c>
      <c r="M137" s="11">
        <f>IFERROR(100/'Skjema total MA'!I137*K137,0)</f>
        <v>0</v>
      </c>
      <c r="N137" s="148"/>
    </row>
    <row r="138" spans="1:14" s="3" customFormat="1" ht="15.75" x14ac:dyDescent="0.2">
      <c r="A138" s="41" t="s">
        <v>368</v>
      </c>
      <c r="B138" s="253">
        <v>6377265.6059999997</v>
      </c>
      <c r="C138" s="291">
        <v>8418803.5179999992</v>
      </c>
      <c r="D138" s="169">
        <f>IF(B138=0, "    ---- ", IF(ABS(ROUND(100/B138*C138-100,1))&lt;999,ROUND(100/B138*C138-100,1),IF(ROUND(100/B138*C138-100,1)&gt;999,999,-999)))</f>
        <v>32</v>
      </c>
      <c r="E138" s="9">
        <f>IFERROR(100/'Skjema total MA'!C138*C138,0)</f>
        <v>100</v>
      </c>
      <c r="F138" s="253">
        <v>0</v>
      </c>
      <c r="G138" s="291">
        <v>0</v>
      </c>
      <c r="H138" s="407" t="str">
        <f>IF(F138=0, "    ---- ", IF(ABS(ROUND(100/F138*G138-100,1))&lt;999,ROUND(100/F138*G138-100,1),IF(ROUND(100/F138*G138-100,1)&gt;999,999,-999)))</f>
        <v xml:space="preserve">    ---- </v>
      </c>
      <c r="I138" s="36">
        <f>IFERROR(100/'Skjema total MA'!F138*G138,0)</f>
        <v>0</v>
      </c>
      <c r="J138" s="290">
        <f t="shared" si="1"/>
        <v>6377265.6059999997</v>
      </c>
      <c r="K138" s="290">
        <f t="shared" si="1"/>
        <v>8418803.5179999992</v>
      </c>
      <c r="L138" s="403">
        <f>IF(J138=0, "    ---- ", IF(ABS(ROUND(100/J138*K138-100,1))&lt;999,ROUND(100/J138*K138-100,1),IF(ROUND(100/J138*K138-100,1)&gt;999,999,-999)))</f>
        <v>32</v>
      </c>
      <c r="M138" s="36">
        <f>IFERROR(100/'Skjema total MA'!I138*K138,0)</f>
        <v>100</v>
      </c>
      <c r="N138" s="148"/>
    </row>
    <row r="139" spans="1:14" s="3" customFormat="1"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68"/>
      <c r="B141" s="33"/>
      <c r="C141" s="33"/>
      <c r="D141" s="159"/>
      <c r="E141" s="159"/>
      <c r="F141" s="33"/>
      <c r="G141" s="33"/>
      <c r="H141" s="159"/>
      <c r="I141" s="159"/>
      <c r="J141" s="33"/>
      <c r="K141" s="33"/>
      <c r="L141" s="159"/>
      <c r="M141" s="159"/>
      <c r="N141" s="148"/>
    </row>
    <row r="142" spans="1:14" x14ac:dyDescent="0.2">
      <c r="A142" s="146"/>
      <c r="B142" s="146"/>
      <c r="C142" s="146"/>
      <c r="D142" s="146"/>
      <c r="E142" s="146"/>
      <c r="F142" s="146"/>
      <c r="G142" s="146"/>
      <c r="H142" s="146"/>
      <c r="I142" s="146"/>
      <c r="J142" s="146"/>
      <c r="K142" s="146"/>
      <c r="L142" s="146"/>
      <c r="M142" s="146"/>
      <c r="N142" s="146"/>
    </row>
    <row r="143" spans="1:14" ht="15.75" x14ac:dyDescent="0.25">
      <c r="B143" s="142"/>
      <c r="C143" s="142"/>
      <c r="D143" s="142"/>
      <c r="E143" s="142"/>
      <c r="F143" s="142"/>
      <c r="G143" s="142"/>
      <c r="H143" s="142"/>
      <c r="I143" s="142"/>
      <c r="J143" s="142"/>
      <c r="K143" s="142"/>
      <c r="L143" s="142"/>
      <c r="M143" s="142"/>
      <c r="N143" s="142"/>
    </row>
    <row r="144" spans="1:14" ht="15.75" x14ac:dyDescent="0.25">
      <c r="B144" s="157"/>
      <c r="C144" s="157"/>
      <c r="D144" s="157"/>
      <c r="E144" s="157"/>
      <c r="F144" s="157"/>
      <c r="G144" s="157"/>
      <c r="H144" s="157"/>
      <c r="I144" s="157"/>
      <c r="J144" s="157"/>
      <c r="K144" s="157"/>
      <c r="L144" s="157"/>
      <c r="M144" s="157"/>
      <c r="N144" s="157"/>
    </row>
    <row r="145" spans="2:14" ht="15.75" x14ac:dyDescent="0.25">
      <c r="B145" s="157"/>
      <c r="C145" s="157"/>
      <c r="D145" s="157"/>
      <c r="E145" s="157"/>
      <c r="F145" s="157"/>
      <c r="G145" s="157"/>
      <c r="H145" s="157"/>
      <c r="I145" s="157"/>
      <c r="J145" s="157"/>
      <c r="K145" s="157"/>
      <c r="L145" s="157"/>
      <c r="M145" s="157"/>
      <c r="N145" s="157"/>
    </row>
  </sheetData>
  <mergeCells count="31">
    <mergeCell ref="B132:D132"/>
    <mergeCell ref="F132:H132"/>
    <mergeCell ref="J132:L132"/>
    <mergeCell ref="B63:D63"/>
    <mergeCell ref="F63:H63"/>
    <mergeCell ref="J63:L63"/>
    <mergeCell ref="B131:D131"/>
    <mergeCell ref="F131:H131"/>
    <mergeCell ref="J131:L131"/>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6">
    <cfRule type="expression" dxfId="440" priority="76">
      <formula>kvartal &lt; 4</formula>
    </cfRule>
  </conditionalFormatting>
  <conditionalFormatting sqref="C116">
    <cfRule type="expression" dxfId="439" priority="75">
      <formula>kvartal &lt; 4</formula>
    </cfRule>
  </conditionalFormatting>
  <conditionalFormatting sqref="B124">
    <cfRule type="expression" dxfId="438" priority="74">
      <formula>kvartal &lt; 4</formula>
    </cfRule>
  </conditionalFormatting>
  <conditionalFormatting sqref="C124">
    <cfRule type="expression" dxfId="437" priority="73">
      <formula>kvartal &lt; 4</formula>
    </cfRule>
  </conditionalFormatting>
  <conditionalFormatting sqref="F116">
    <cfRule type="expression" dxfId="436" priority="58">
      <formula>kvartal &lt; 4</formula>
    </cfRule>
  </conditionalFormatting>
  <conditionalFormatting sqref="G116">
    <cfRule type="expression" dxfId="435" priority="57">
      <formula>kvartal &lt; 4</formula>
    </cfRule>
  </conditionalFormatting>
  <conditionalFormatting sqref="F124:G124">
    <cfRule type="expression" dxfId="434" priority="56">
      <formula>kvartal &lt; 4</formula>
    </cfRule>
  </conditionalFormatting>
  <conditionalFormatting sqref="J116:K116">
    <cfRule type="expression" dxfId="433" priority="32">
      <formula>kvartal &lt; 4</formula>
    </cfRule>
  </conditionalFormatting>
  <conditionalFormatting sqref="J124:K124">
    <cfRule type="expression" dxfId="432" priority="31">
      <formula>kvartal &lt; 4</formula>
    </cfRule>
  </conditionalFormatting>
  <conditionalFormatting sqref="A50:A52">
    <cfRule type="expression" dxfId="431" priority="12">
      <formula>kvartal &lt; 4</formula>
    </cfRule>
  </conditionalFormatting>
  <conditionalFormatting sqref="A69:A74">
    <cfRule type="expression" dxfId="430" priority="10">
      <formula>kvartal &lt; 4</formula>
    </cfRule>
  </conditionalFormatting>
  <conditionalFormatting sqref="A80:A85">
    <cfRule type="expression" dxfId="429" priority="9">
      <formula>kvartal &lt; 4</formula>
    </cfRule>
  </conditionalFormatting>
  <conditionalFormatting sqref="A90:A95">
    <cfRule type="expression" dxfId="428" priority="6">
      <formula>kvartal &lt; 4</formula>
    </cfRule>
  </conditionalFormatting>
  <conditionalFormatting sqref="A102:A107">
    <cfRule type="expression" dxfId="427" priority="5">
      <formula>kvartal &lt; 4</formula>
    </cfRule>
  </conditionalFormatting>
  <conditionalFormatting sqref="A116">
    <cfRule type="expression" dxfId="426" priority="4">
      <formula>kvartal &lt; 4</formula>
    </cfRule>
  </conditionalFormatting>
  <conditionalFormatting sqref="A124">
    <cfRule type="expression" dxfId="425" priority="3">
      <formula>kvartal &lt; 4</formula>
    </cfRule>
  </conditionalFormatting>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22"/>
  <dimension ref="A1:N145"/>
  <sheetViews>
    <sheetView showGridLines="0" topLeftCell="A89" zoomScaleNormal="100" workbookViewId="0">
      <selection activeCell="P127" sqref="P127"/>
    </sheetView>
  </sheetViews>
  <sheetFormatPr baseColWidth="10" defaultColWidth="11.42578125" defaultRowHeight="12.75" x14ac:dyDescent="0.2"/>
  <cols>
    <col min="1" max="1" width="41.57031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134</v>
      </c>
      <c r="B1" s="663"/>
      <c r="C1" s="225" t="s">
        <v>93</v>
      </c>
      <c r="D1" s="26"/>
      <c r="E1" s="26"/>
      <c r="F1" s="26"/>
      <c r="G1" s="26"/>
      <c r="H1" s="26"/>
      <c r="I1" s="26"/>
      <c r="J1" s="26"/>
      <c r="K1" s="26"/>
      <c r="L1" s="26"/>
      <c r="M1" s="26"/>
    </row>
    <row r="2" spans="1:14" ht="15.75" x14ac:dyDescent="0.25">
      <c r="A2" s="165" t="s">
        <v>28</v>
      </c>
      <c r="B2" s="699"/>
      <c r="C2" s="699"/>
      <c r="D2" s="699"/>
      <c r="E2" s="275"/>
      <c r="F2" s="699"/>
      <c r="G2" s="699"/>
      <c r="H2" s="699"/>
      <c r="I2" s="275"/>
      <c r="J2" s="699"/>
      <c r="K2" s="699"/>
      <c r="L2" s="699"/>
      <c r="M2" s="275"/>
    </row>
    <row r="3" spans="1:14" ht="15.75" x14ac:dyDescent="0.25">
      <c r="A3" s="163"/>
      <c r="B3" s="275"/>
      <c r="C3" s="275"/>
      <c r="D3" s="275"/>
      <c r="E3" s="275"/>
      <c r="F3" s="275"/>
      <c r="G3" s="275"/>
      <c r="H3" s="275"/>
      <c r="I3" s="275"/>
      <c r="J3" s="275"/>
      <c r="K3" s="275"/>
      <c r="L3" s="275"/>
      <c r="M3" s="275"/>
    </row>
    <row r="4" spans="1:14" x14ac:dyDescent="0.2">
      <c r="A4" s="144"/>
      <c r="B4" s="695" t="s">
        <v>0</v>
      </c>
      <c r="C4" s="696"/>
      <c r="D4" s="696"/>
      <c r="E4" s="277"/>
      <c r="F4" s="695" t="s">
        <v>1</v>
      </c>
      <c r="G4" s="696"/>
      <c r="H4" s="696"/>
      <c r="I4" s="280"/>
      <c r="J4" s="695" t="s">
        <v>2</v>
      </c>
      <c r="K4" s="696"/>
      <c r="L4" s="696"/>
      <c r="M4" s="280"/>
    </row>
    <row r="5" spans="1:14" x14ac:dyDescent="0.2">
      <c r="A5" s="158"/>
      <c r="B5" s="152" t="s">
        <v>412</v>
      </c>
      <c r="C5" s="152" t="s">
        <v>413</v>
      </c>
      <c r="D5" s="222" t="s">
        <v>3</v>
      </c>
      <c r="E5" s="281" t="s">
        <v>29</v>
      </c>
      <c r="F5" s="152" t="s">
        <v>412</v>
      </c>
      <c r="G5" s="152" t="s">
        <v>413</v>
      </c>
      <c r="H5" s="222" t="s">
        <v>3</v>
      </c>
      <c r="I5" s="162" t="s">
        <v>29</v>
      </c>
      <c r="J5" s="152" t="s">
        <v>412</v>
      </c>
      <c r="K5" s="152" t="s">
        <v>413</v>
      </c>
      <c r="L5" s="222" t="s">
        <v>3</v>
      </c>
      <c r="M5" s="162" t="s">
        <v>29</v>
      </c>
    </row>
    <row r="6" spans="1:14" x14ac:dyDescent="0.2">
      <c r="A6" s="661"/>
      <c r="B6" s="156"/>
      <c r="C6" s="156"/>
      <c r="D6" s="223" t="s">
        <v>4</v>
      </c>
      <c r="E6" s="156" t="s">
        <v>30</v>
      </c>
      <c r="F6" s="161"/>
      <c r="G6" s="161"/>
      <c r="H6" s="222" t="s">
        <v>4</v>
      </c>
      <c r="I6" s="156" t="s">
        <v>30</v>
      </c>
      <c r="J6" s="161"/>
      <c r="K6" s="161"/>
      <c r="L6" s="222" t="s">
        <v>4</v>
      </c>
      <c r="M6" s="156" t="s">
        <v>30</v>
      </c>
    </row>
    <row r="7" spans="1:14" ht="15.75" x14ac:dyDescent="0.2">
      <c r="A7" s="14" t="s">
        <v>23</v>
      </c>
      <c r="B7" s="282">
        <v>3335.0239999999999</v>
      </c>
      <c r="C7" s="283">
        <v>7290.518</v>
      </c>
      <c r="D7" s="326">
        <f t="shared" ref="D7:D10" si="0">IF(B7=0, "    ---- ", IF(ABS(ROUND(100/B7*C7-100,1))&lt;999,ROUND(100/B7*C7-100,1),IF(ROUND(100/B7*C7-100,1)&gt;999,999,-999)))</f>
        <v>118.6</v>
      </c>
      <c r="E7" s="11">
        <f>IFERROR(100/'Skjema total MA'!C7*C7,0)</f>
        <v>0.43264653198636921</v>
      </c>
      <c r="F7" s="282"/>
      <c r="G7" s="283"/>
      <c r="H7" s="326"/>
      <c r="I7" s="160"/>
      <c r="J7" s="284">
        <f t="shared" ref="J7:K10" si="1">SUM(B7,F7)</f>
        <v>3335.0239999999999</v>
      </c>
      <c r="K7" s="285">
        <f t="shared" si="1"/>
        <v>7290.518</v>
      </c>
      <c r="L7" s="401">
        <f t="shared" ref="L7:L10" si="2">IF(J7=0, "    ---- ", IF(ABS(ROUND(100/J7*K7-100,1))&lt;999,ROUND(100/J7*K7-100,1),IF(ROUND(100/J7*K7-100,1)&gt;999,999,-999)))</f>
        <v>118.6</v>
      </c>
      <c r="M7" s="11">
        <f>IFERROR(100/'Skjema total MA'!I7*K7,0)</f>
        <v>0.13047545418887882</v>
      </c>
    </row>
    <row r="8" spans="1:14" ht="15.75" x14ac:dyDescent="0.2">
      <c r="A8" s="21" t="s">
        <v>25</v>
      </c>
      <c r="B8" s="258">
        <v>3238.7179999999998</v>
      </c>
      <c r="C8" s="259">
        <v>7003.03</v>
      </c>
      <c r="D8" s="166">
        <f t="shared" si="0"/>
        <v>116.2</v>
      </c>
      <c r="E8" s="27">
        <f>IFERROR(100/'Skjema total MA'!C8*C8,0)</f>
        <v>0.61416976913837928</v>
      </c>
      <c r="F8" s="262"/>
      <c r="G8" s="263"/>
      <c r="H8" s="166"/>
      <c r="I8" s="175"/>
      <c r="J8" s="211">
        <f t="shared" si="1"/>
        <v>3238.7179999999998</v>
      </c>
      <c r="K8" s="264">
        <f t="shared" si="1"/>
        <v>7003.03</v>
      </c>
      <c r="L8" s="166">
        <f t="shared" si="2"/>
        <v>116.2</v>
      </c>
      <c r="M8" s="27">
        <f>IFERROR(100/'Skjema total MA'!I8*K8,0)</f>
        <v>0.61416976913837928</v>
      </c>
    </row>
    <row r="9" spans="1:14" ht="15.75" x14ac:dyDescent="0.2">
      <c r="A9" s="21" t="s">
        <v>24</v>
      </c>
      <c r="B9" s="258">
        <v>96.305999999999997</v>
      </c>
      <c r="C9" s="259">
        <v>287.488</v>
      </c>
      <c r="D9" s="166">
        <f t="shared" si="0"/>
        <v>198.5</v>
      </c>
      <c r="E9" s="27">
        <f>IFERROR(100/'Skjema total MA'!C9*C9,0)</f>
        <v>8.0604087395868246E-2</v>
      </c>
      <c r="F9" s="262"/>
      <c r="G9" s="263"/>
      <c r="H9" s="166"/>
      <c r="I9" s="175"/>
      <c r="J9" s="211">
        <f t="shared" si="1"/>
        <v>96.305999999999997</v>
      </c>
      <c r="K9" s="264">
        <f t="shared" si="1"/>
        <v>287.488</v>
      </c>
      <c r="L9" s="166">
        <f t="shared" si="2"/>
        <v>198.5</v>
      </c>
      <c r="M9" s="27">
        <f>IFERROR(100/'Skjema total MA'!I9*K9,0)</f>
        <v>8.0604087395868246E-2</v>
      </c>
    </row>
    <row r="10" spans="1:14" ht="15.75" x14ac:dyDescent="0.2">
      <c r="A10" s="13" t="s">
        <v>341</v>
      </c>
      <c r="B10" s="286">
        <v>10914.609756</v>
      </c>
      <c r="C10" s="287">
        <v>17384.531999999999</v>
      </c>
      <c r="D10" s="171">
        <f t="shared" si="0"/>
        <v>59.3</v>
      </c>
      <c r="E10" s="11">
        <f>IFERROR(100/'Skjema total MA'!C10*C10,0)</f>
        <v>9.8521920879263494E-2</v>
      </c>
      <c r="F10" s="286"/>
      <c r="G10" s="287"/>
      <c r="H10" s="171"/>
      <c r="I10" s="160"/>
      <c r="J10" s="284">
        <f t="shared" si="1"/>
        <v>10914.609756</v>
      </c>
      <c r="K10" s="285">
        <f t="shared" si="1"/>
        <v>17384.531999999999</v>
      </c>
      <c r="L10" s="402">
        <f t="shared" si="2"/>
        <v>59.3</v>
      </c>
      <c r="M10" s="11">
        <f>IFERROR(100/'Skjema total MA'!I10*K10,0)</f>
        <v>2.0975667724392563E-2</v>
      </c>
    </row>
    <row r="11" spans="1:14" s="43" customFormat="1" ht="15.75" x14ac:dyDescent="0.2">
      <c r="A11" s="13" t="s">
        <v>342</v>
      </c>
      <c r="B11" s="286"/>
      <c r="C11" s="287"/>
      <c r="D11" s="171"/>
      <c r="E11" s="11"/>
      <c r="F11" s="286"/>
      <c r="G11" s="287"/>
      <c r="H11" s="171"/>
      <c r="I11" s="160"/>
      <c r="J11" s="284"/>
      <c r="K11" s="285"/>
      <c r="L11" s="402"/>
      <c r="M11" s="11"/>
      <c r="N11" s="143"/>
    </row>
    <row r="12" spans="1:14" s="43" customFormat="1" ht="15.75" x14ac:dyDescent="0.2">
      <c r="A12" s="41" t="s">
        <v>343</v>
      </c>
      <c r="B12" s="288"/>
      <c r="C12" s="289"/>
      <c r="D12" s="169"/>
      <c r="E12" s="36"/>
      <c r="F12" s="288"/>
      <c r="G12" s="289"/>
      <c r="H12" s="169"/>
      <c r="I12" s="169"/>
      <c r="J12" s="290"/>
      <c r="K12" s="291"/>
      <c r="L12" s="403"/>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251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248</v>
      </c>
      <c r="B17" s="157"/>
      <c r="C17" s="157"/>
      <c r="D17" s="151"/>
      <c r="E17" s="151"/>
      <c r="F17" s="157"/>
      <c r="G17" s="157"/>
      <c r="H17" s="157"/>
      <c r="I17" s="157"/>
      <c r="J17" s="157"/>
      <c r="K17" s="157"/>
      <c r="L17" s="157"/>
      <c r="M17" s="157"/>
    </row>
    <row r="18" spans="1:14" ht="15.75" x14ac:dyDescent="0.25">
      <c r="B18" s="694"/>
      <c r="C18" s="694"/>
      <c r="D18" s="694"/>
      <c r="E18" s="275"/>
      <c r="F18" s="694"/>
      <c r="G18" s="694"/>
      <c r="H18" s="694"/>
      <c r="I18" s="275"/>
      <c r="J18" s="694"/>
      <c r="K18" s="694"/>
      <c r="L18" s="694"/>
      <c r="M18" s="275"/>
    </row>
    <row r="19" spans="1:14" x14ac:dyDescent="0.2">
      <c r="A19" s="144"/>
      <c r="B19" s="695" t="s">
        <v>0</v>
      </c>
      <c r="C19" s="696"/>
      <c r="D19" s="696"/>
      <c r="E19" s="277"/>
      <c r="F19" s="695" t="s">
        <v>1</v>
      </c>
      <c r="G19" s="696"/>
      <c r="H19" s="696"/>
      <c r="I19" s="280"/>
      <c r="J19" s="695" t="s">
        <v>2</v>
      </c>
      <c r="K19" s="696"/>
      <c r="L19" s="696"/>
      <c r="M19" s="280"/>
    </row>
    <row r="20" spans="1:14" x14ac:dyDescent="0.2">
      <c r="A20" s="140" t="s">
        <v>5</v>
      </c>
      <c r="B20" s="152" t="s">
        <v>412</v>
      </c>
      <c r="C20" s="152" t="s">
        <v>413</v>
      </c>
      <c r="D20" s="162" t="s">
        <v>3</v>
      </c>
      <c r="E20" s="281" t="s">
        <v>29</v>
      </c>
      <c r="F20" s="152" t="s">
        <v>412</v>
      </c>
      <c r="G20" s="152" t="s">
        <v>413</v>
      </c>
      <c r="H20" s="162" t="s">
        <v>3</v>
      </c>
      <c r="I20" s="162" t="s">
        <v>29</v>
      </c>
      <c r="J20" s="152" t="s">
        <v>412</v>
      </c>
      <c r="K20" s="152" t="s">
        <v>413</v>
      </c>
      <c r="L20" s="162" t="s">
        <v>3</v>
      </c>
      <c r="M20" s="162" t="s">
        <v>29</v>
      </c>
    </row>
    <row r="21" spans="1:14" x14ac:dyDescent="0.2">
      <c r="A21" s="662"/>
      <c r="B21" s="156"/>
      <c r="C21" s="156"/>
      <c r="D21" s="223" t="s">
        <v>4</v>
      </c>
      <c r="E21" s="156" t="s">
        <v>30</v>
      </c>
      <c r="F21" s="161"/>
      <c r="G21" s="161"/>
      <c r="H21" s="222" t="s">
        <v>4</v>
      </c>
      <c r="I21" s="156" t="s">
        <v>30</v>
      </c>
      <c r="J21" s="161"/>
      <c r="K21" s="161"/>
      <c r="L21" s="156" t="s">
        <v>4</v>
      </c>
      <c r="M21" s="156" t="s">
        <v>30</v>
      </c>
    </row>
    <row r="22" spans="1:14" ht="15.75" x14ac:dyDescent="0.2">
      <c r="A22" s="14" t="s">
        <v>23</v>
      </c>
      <c r="B22" s="286">
        <v>3751.5740000000001</v>
      </c>
      <c r="C22" s="286">
        <v>5596.25</v>
      </c>
      <c r="D22" s="326">
        <f t="shared" ref="D22:D29" si="3">IF(B22=0, "    ---- ", IF(ABS(ROUND(100/B22*C22-100,1))&lt;999,ROUND(100/B22*C22-100,1),IF(ROUND(100/B22*C22-100,1)&gt;999,999,-999)))</f>
        <v>49.2</v>
      </c>
      <c r="E22" s="11">
        <f>IFERROR(100/'Skjema total MA'!C22*C22,0)</f>
        <v>0.82163013747985392</v>
      </c>
      <c r="F22" s="294"/>
      <c r="G22" s="294"/>
      <c r="H22" s="326"/>
      <c r="I22" s="11"/>
      <c r="J22" s="292">
        <f t="shared" ref="J22:J29" si="4">SUM(B22,F22)</f>
        <v>3751.5740000000001</v>
      </c>
      <c r="K22" s="292">
        <f t="shared" ref="K22:K29" si="5">SUM(C22,G22)</f>
        <v>5596.25</v>
      </c>
      <c r="L22" s="401">
        <f t="shared" ref="L22:L29" si="6">IF(J22=0, "    ---- ", IF(ABS(ROUND(100/J22*K22-100,1))&lt;999,ROUND(100/J22*K22-100,1),IF(ROUND(100/J22*K22-100,1)&gt;999,999,-999)))</f>
        <v>49.2</v>
      </c>
      <c r="M22" s="24">
        <f>IFERROR(100/'Skjema total MA'!I22*K22,0)</f>
        <v>0.50671612482973605</v>
      </c>
    </row>
    <row r="23" spans="1:14" ht="15.75" x14ac:dyDescent="0.2">
      <c r="A23" s="545" t="s">
        <v>344</v>
      </c>
      <c r="B23" s="258"/>
      <c r="C23" s="258"/>
      <c r="D23" s="166"/>
      <c r="E23" s="11"/>
      <c r="F23" s="267"/>
      <c r="G23" s="267"/>
      <c r="H23" s="166"/>
      <c r="I23" s="391"/>
      <c r="J23" s="267"/>
      <c r="K23" s="267"/>
      <c r="L23" s="166"/>
      <c r="M23" s="23"/>
    </row>
    <row r="24" spans="1:14" ht="15.75" x14ac:dyDescent="0.2">
      <c r="A24" s="545" t="s">
        <v>345</v>
      </c>
      <c r="B24" s="258"/>
      <c r="C24" s="258"/>
      <c r="D24" s="166"/>
      <c r="E24" s="11"/>
      <c r="F24" s="267"/>
      <c r="G24" s="267"/>
      <c r="H24" s="166"/>
      <c r="I24" s="391"/>
      <c r="J24" s="267"/>
      <c r="K24" s="267"/>
      <c r="L24" s="166"/>
      <c r="M24" s="23"/>
    </row>
    <row r="25" spans="1:14" ht="15.75" x14ac:dyDescent="0.2">
      <c r="A25" s="545" t="s">
        <v>346</v>
      </c>
      <c r="B25" s="258"/>
      <c r="C25" s="258"/>
      <c r="D25" s="166"/>
      <c r="E25" s="11"/>
      <c r="F25" s="267"/>
      <c r="G25" s="267"/>
      <c r="H25" s="166"/>
      <c r="I25" s="391"/>
      <c r="J25" s="267"/>
      <c r="K25" s="267"/>
      <c r="L25" s="166"/>
      <c r="M25" s="23"/>
    </row>
    <row r="26" spans="1:14" ht="15.75" x14ac:dyDescent="0.2">
      <c r="A26" s="545" t="s">
        <v>347</v>
      </c>
      <c r="B26" s="258"/>
      <c r="C26" s="258"/>
      <c r="D26" s="166"/>
      <c r="E26" s="11"/>
      <c r="F26" s="267"/>
      <c r="G26" s="267"/>
      <c r="H26" s="166"/>
      <c r="I26" s="391"/>
      <c r="J26" s="267"/>
      <c r="K26" s="267"/>
      <c r="L26" s="166"/>
      <c r="M26" s="23"/>
    </row>
    <row r="27" spans="1:14" x14ac:dyDescent="0.2">
      <c r="A27" s="545" t="s">
        <v>11</v>
      </c>
      <c r="B27" s="258"/>
      <c r="C27" s="258"/>
      <c r="D27" s="166"/>
      <c r="E27" s="11"/>
      <c r="F27" s="267"/>
      <c r="G27" s="267"/>
      <c r="H27" s="166"/>
      <c r="I27" s="391"/>
      <c r="J27" s="267"/>
      <c r="K27" s="267"/>
      <c r="L27" s="166"/>
      <c r="M27" s="23"/>
    </row>
    <row r="28" spans="1:14" ht="15.75" x14ac:dyDescent="0.2">
      <c r="A28" s="49" t="s">
        <v>252</v>
      </c>
      <c r="B28" s="44">
        <v>3751.5740000000001</v>
      </c>
      <c r="C28" s="264">
        <v>5596.25</v>
      </c>
      <c r="D28" s="166">
        <f t="shared" si="3"/>
        <v>49.2</v>
      </c>
      <c r="E28" s="11">
        <f>IFERROR(100/'Skjema total MA'!C28*C28,0)</f>
        <v>0.76927671714740986</v>
      </c>
      <c r="F28" s="211"/>
      <c r="G28" s="264"/>
      <c r="H28" s="166"/>
      <c r="I28" s="27"/>
      <c r="J28" s="44">
        <f t="shared" si="4"/>
        <v>3751.5740000000001</v>
      </c>
      <c r="K28" s="44">
        <f t="shared" si="5"/>
        <v>5596.25</v>
      </c>
      <c r="L28" s="231">
        <f t="shared" si="6"/>
        <v>49.2</v>
      </c>
      <c r="M28" s="23">
        <f>IFERROR(100/'Skjema total MA'!I28*K28,0)</f>
        <v>0.76927671714740986</v>
      </c>
    </row>
    <row r="29" spans="1:14" s="3" customFormat="1" ht="15.75" x14ac:dyDescent="0.2">
      <c r="A29" s="13" t="s">
        <v>341</v>
      </c>
      <c r="B29" s="213">
        <v>28989.577184000002</v>
      </c>
      <c r="C29" s="213">
        <v>44280.243000000002</v>
      </c>
      <c r="D29" s="171">
        <f t="shared" si="3"/>
        <v>52.7</v>
      </c>
      <c r="E29" s="11">
        <f>IFERROR(100/'Skjema total MA'!C29*C29,0)</f>
        <v>9.6652057001465522E-2</v>
      </c>
      <c r="F29" s="284"/>
      <c r="G29" s="284"/>
      <c r="H29" s="171"/>
      <c r="I29" s="11"/>
      <c r="J29" s="213">
        <f t="shared" si="4"/>
        <v>28989.577184000002</v>
      </c>
      <c r="K29" s="213">
        <f t="shared" si="5"/>
        <v>44280.243000000002</v>
      </c>
      <c r="L29" s="402">
        <f t="shared" si="6"/>
        <v>52.7</v>
      </c>
      <c r="M29" s="24">
        <f>IFERROR(100/'Skjema total MA'!I29*K29,0)</f>
        <v>6.2166243311611975E-2</v>
      </c>
      <c r="N29" s="148"/>
    </row>
    <row r="30" spans="1:14" s="3" customFormat="1" ht="15.75" x14ac:dyDescent="0.2">
      <c r="A30" s="545" t="s">
        <v>344</v>
      </c>
      <c r="B30" s="258"/>
      <c r="C30" s="258"/>
      <c r="D30" s="166"/>
      <c r="E30" s="11"/>
      <c r="F30" s="267"/>
      <c r="G30" s="267"/>
      <c r="H30" s="166"/>
      <c r="I30" s="391"/>
      <c r="J30" s="267"/>
      <c r="K30" s="267"/>
      <c r="L30" s="166"/>
      <c r="M30" s="23"/>
      <c r="N30" s="148"/>
    </row>
    <row r="31" spans="1:14" s="3" customFormat="1" ht="15.75" x14ac:dyDescent="0.2">
      <c r="A31" s="545" t="s">
        <v>345</v>
      </c>
      <c r="B31" s="258"/>
      <c r="C31" s="258"/>
      <c r="D31" s="166"/>
      <c r="E31" s="11"/>
      <c r="F31" s="267"/>
      <c r="G31" s="267"/>
      <c r="H31" s="166"/>
      <c r="I31" s="391"/>
      <c r="J31" s="267"/>
      <c r="K31" s="267"/>
      <c r="L31" s="166"/>
      <c r="M31" s="23"/>
      <c r="N31" s="148"/>
    </row>
    <row r="32" spans="1:14" ht="15.75" x14ac:dyDescent="0.2">
      <c r="A32" s="545" t="s">
        <v>346</v>
      </c>
      <c r="B32" s="258"/>
      <c r="C32" s="258"/>
      <c r="D32" s="166"/>
      <c r="E32" s="11"/>
      <c r="F32" s="267"/>
      <c r="G32" s="267"/>
      <c r="H32" s="166"/>
      <c r="I32" s="391"/>
      <c r="J32" s="267"/>
      <c r="K32" s="267"/>
      <c r="L32" s="166"/>
      <c r="M32" s="23"/>
    </row>
    <row r="33" spans="1:14" ht="15.75" x14ac:dyDescent="0.2">
      <c r="A33" s="545" t="s">
        <v>347</v>
      </c>
      <c r="B33" s="258"/>
      <c r="C33" s="258"/>
      <c r="D33" s="166"/>
      <c r="E33" s="11"/>
      <c r="F33" s="267"/>
      <c r="G33" s="267"/>
      <c r="H33" s="166"/>
      <c r="I33" s="391"/>
      <c r="J33" s="267"/>
      <c r="K33" s="267"/>
      <c r="L33" s="166"/>
      <c r="M33" s="23"/>
    </row>
    <row r="34" spans="1:14" ht="15.75" x14ac:dyDescent="0.2">
      <c r="A34" s="13" t="s">
        <v>342</v>
      </c>
      <c r="B34" s="213"/>
      <c r="C34" s="285"/>
      <c r="D34" s="171"/>
      <c r="E34" s="11"/>
      <c r="F34" s="284"/>
      <c r="G34" s="285"/>
      <c r="H34" s="171"/>
      <c r="I34" s="11"/>
      <c r="J34" s="213"/>
      <c r="K34" s="213"/>
      <c r="L34" s="402"/>
      <c r="M34" s="24"/>
    </row>
    <row r="35" spans="1:14" ht="15.75" x14ac:dyDescent="0.2">
      <c r="A35" s="13" t="s">
        <v>343</v>
      </c>
      <c r="B35" s="213"/>
      <c r="C35" s="285"/>
      <c r="D35" s="171"/>
      <c r="E35" s="11"/>
      <c r="F35" s="284"/>
      <c r="G35" s="285"/>
      <c r="H35" s="171"/>
      <c r="I35" s="11"/>
      <c r="J35" s="213"/>
      <c r="K35" s="213"/>
      <c r="L35" s="402"/>
      <c r="M35" s="24"/>
    </row>
    <row r="36" spans="1:14" ht="15.75" x14ac:dyDescent="0.2">
      <c r="A36" s="12" t="s">
        <v>260</v>
      </c>
      <c r="B36" s="213"/>
      <c r="C36" s="285"/>
      <c r="D36" s="171"/>
      <c r="E36" s="11"/>
      <c r="F36" s="295"/>
      <c r="G36" s="296"/>
      <c r="H36" s="171"/>
      <c r="I36" s="408"/>
      <c r="J36" s="213"/>
      <c r="K36" s="213"/>
      <c r="L36" s="402"/>
      <c r="M36" s="24"/>
    </row>
    <row r="37" spans="1:14" ht="15.75" x14ac:dyDescent="0.2">
      <c r="A37" s="12" t="s">
        <v>349</v>
      </c>
      <c r="B37" s="213"/>
      <c r="C37" s="285"/>
      <c r="D37" s="171"/>
      <c r="E37" s="11"/>
      <c r="F37" s="295"/>
      <c r="G37" s="297"/>
      <c r="H37" s="171"/>
      <c r="I37" s="408"/>
      <c r="J37" s="213"/>
      <c r="K37" s="213"/>
      <c r="L37" s="402"/>
      <c r="M37" s="24"/>
    </row>
    <row r="38" spans="1:14" ht="15.75" x14ac:dyDescent="0.2">
      <c r="A38" s="12" t="s">
        <v>350</v>
      </c>
      <c r="B38" s="213"/>
      <c r="C38" s="285"/>
      <c r="D38" s="171"/>
      <c r="E38" s="24"/>
      <c r="F38" s="295"/>
      <c r="G38" s="296"/>
      <c r="H38" s="171"/>
      <c r="I38" s="408"/>
      <c r="J38" s="213"/>
      <c r="K38" s="213"/>
      <c r="L38" s="402"/>
      <c r="M38" s="24"/>
    </row>
    <row r="39" spans="1:14" ht="15.75" x14ac:dyDescent="0.2">
      <c r="A39" s="18" t="s">
        <v>351</v>
      </c>
      <c r="B39" s="253"/>
      <c r="C39" s="291"/>
      <c r="D39" s="169"/>
      <c r="E39" s="36"/>
      <c r="F39" s="298"/>
      <c r="G39" s="299"/>
      <c r="H39" s="169"/>
      <c r="I39" s="36"/>
      <c r="J39" s="213"/>
      <c r="K39" s="213"/>
      <c r="L39" s="403"/>
      <c r="M39" s="36"/>
    </row>
    <row r="40" spans="1:14" ht="15.75" x14ac:dyDescent="0.25">
      <c r="A40" s="47"/>
      <c r="B40" s="230"/>
      <c r="C40" s="230"/>
      <c r="D40" s="698"/>
      <c r="E40" s="698"/>
      <c r="F40" s="698"/>
      <c r="G40" s="698"/>
      <c r="H40" s="698"/>
      <c r="I40" s="698"/>
      <c r="J40" s="698"/>
      <c r="K40" s="698"/>
      <c r="L40" s="698"/>
      <c r="M40" s="278"/>
    </row>
    <row r="41" spans="1:14" x14ac:dyDescent="0.2">
      <c r="A41" s="155"/>
    </row>
    <row r="42" spans="1:14" ht="15.75" x14ac:dyDescent="0.25">
      <c r="A42" s="147" t="s">
        <v>249</v>
      </c>
      <c r="B42" s="699"/>
      <c r="C42" s="699"/>
      <c r="D42" s="699"/>
      <c r="E42" s="275"/>
      <c r="F42" s="700"/>
      <c r="G42" s="700"/>
      <c r="H42" s="700"/>
      <c r="I42" s="278"/>
      <c r="J42" s="700"/>
      <c r="K42" s="700"/>
      <c r="L42" s="700"/>
      <c r="M42" s="278"/>
    </row>
    <row r="43" spans="1:14" ht="15.75" x14ac:dyDescent="0.25">
      <c r="A43" s="163"/>
      <c r="B43" s="279"/>
      <c r="C43" s="279"/>
      <c r="D43" s="279"/>
      <c r="E43" s="279"/>
      <c r="F43" s="278"/>
      <c r="G43" s="278"/>
      <c r="H43" s="278"/>
      <c r="I43" s="278"/>
      <c r="J43" s="278"/>
      <c r="K43" s="278"/>
      <c r="L43" s="278"/>
      <c r="M43" s="278"/>
    </row>
    <row r="44" spans="1:14" ht="15.75" x14ac:dyDescent="0.25">
      <c r="A44" s="224"/>
      <c r="B44" s="695" t="s">
        <v>0</v>
      </c>
      <c r="C44" s="696"/>
      <c r="D44" s="696"/>
      <c r="E44" s="220"/>
      <c r="F44" s="278"/>
      <c r="G44" s="278"/>
      <c r="H44" s="278"/>
      <c r="I44" s="278"/>
      <c r="J44" s="278"/>
      <c r="K44" s="278"/>
      <c r="L44" s="278"/>
      <c r="M44" s="278"/>
    </row>
    <row r="45" spans="1:14" s="3" customFormat="1" x14ac:dyDescent="0.2">
      <c r="A45" s="140"/>
      <c r="B45" s="152" t="s">
        <v>412</v>
      </c>
      <c r="C45" s="152" t="s">
        <v>413</v>
      </c>
      <c r="D45" s="162" t="s">
        <v>3</v>
      </c>
      <c r="E45" s="162" t="s">
        <v>29</v>
      </c>
      <c r="F45" s="174"/>
      <c r="G45" s="174"/>
      <c r="H45" s="173"/>
      <c r="I45" s="173"/>
      <c r="J45" s="174"/>
      <c r="K45" s="174"/>
      <c r="L45" s="173"/>
      <c r="M45" s="173"/>
      <c r="N45" s="148"/>
    </row>
    <row r="46" spans="1:14" s="3" customFormat="1" x14ac:dyDescent="0.2">
      <c r="A46" s="662"/>
      <c r="B46" s="221"/>
      <c r="C46" s="221"/>
      <c r="D46" s="222" t="s">
        <v>4</v>
      </c>
      <c r="E46" s="156" t="s">
        <v>30</v>
      </c>
      <c r="F46" s="173"/>
      <c r="G46" s="173"/>
      <c r="H46" s="173"/>
      <c r="I46" s="173"/>
      <c r="J46" s="173"/>
      <c r="K46" s="173"/>
      <c r="L46" s="173"/>
      <c r="M46" s="173"/>
      <c r="N46" s="148"/>
    </row>
    <row r="47" spans="1:14" s="3" customFormat="1" ht="15.75" x14ac:dyDescent="0.2">
      <c r="A47" s="14" t="s">
        <v>23</v>
      </c>
      <c r="B47" s="286">
        <v>149051.23800000001</v>
      </c>
      <c r="C47" s="287">
        <v>168278.46599999999</v>
      </c>
      <c r="D47" s="401">
        <f t="shared" ref="D47:D48" si="7">IF(B47=0, "    ---- ", IF(ABS(ROUND(100/B47*C47-100,1))&lt;999,ROUND(100/B47*C47-100,1),IF(ROUND(100/B47*C47-100,1)&gt;999,999,-999)))</f>
        <v>12.9</v>
      </c>
      <c r="E47" s="11">
        <f>IFERROR(100/'Skjema total MA'!C47*C47,0)</f>
        <v>5.3192588700487233</v>
      </c>
      <c r="F47" s="145"/>
      <c r="G47" s="33"/>
      <c r="H47" s="159"/>
      <c r="I47" s="159"/>
      <c r="J47" s="37"/>
      <c r="K47" s="37"/>
      <c r="L47" s="159"/>
      <c r="M47" s="159"/>
      <c r="N47" s="148"/>
    </row>
    <row r="48" spans="1:14" s="3" customFormat="1" ht="15.75" x14ac:dyDescent="0.2">
      <c r="A48" s="38" t="s">
        <v>352</v>
      </c>
      <c r="B48" s="258">
        <v>149051.23800000001</v>
      </c>
      <c r="C48" s="259">
        <v>168278.46599999999</v>
      </c>
      <c r="D48" s="231">
        <f t="shared" si="7"/>
        <v>12.9</v>
      </c>
      <c r="E48" s="27">
        <f>IFERROR(100/'Skjema total MA'!C48*C48,0)</f>
        <v>9.8106058923630606</v>
      </c>
      <c r="F48" s="145"/>
      <c r="G48" s="33"/>
      <c r="H48" s="145"/>
      <c r="I48" s="145"/>
      <c r="J48" s="33"/>
      <c r="K48" s="33"/>
      <c r="L48" s="159"/>
      <c r="M48" s="159"/>
      <c r="N48" s="148"/>
    </row>
    <row r="49" spans="1:14" s="3" customFormat="1" ht="15.75" x14ac:dyDescent="0.2">
      <c r="A49" s="38" t="s">
        <v>353</v>
      </c>
      <c r="B49" s="44"/>
      <c r="C49" s="264"/>
      <c r="D49" s="231"/>
      <c r="E49" s="27"/>
      <c r="F49" s="145"/>
      <c r="G49" s="33"/>
      <c r="H49" s="145"/>
      <c r="I49" s="145"/>
      <c r="J49" s="37"/>
      <c r="K49" s="37"/>
      <c r="L49" s="159"/>
      <c r="M49" s="159"/>
      <c r="N49" s="148"/>
    </row>
    <row r="50" spans="1:14" s="3" customFormat="1" x14ac:dyDescent="0.2">
      <c r="A50" s="272" t="s">
        <v>6</v>
      </c>
      <c r="B50" s="295"/>
      <c r="C50" s="295"/>
      <c r="D50" s="231"/>
      <c r="E50" s="23"/>
      <c r="F50" s="145"/>
      <c r="G50" s="33"/>
      <c r="H50" s="145"/>
      <c r="I50" s="145"/>
      <c r="J50" s="33"/>
      <c r="K50" s="33"/>
      <c r="L50" s="159"/>
      <c r="M50" s="159"/>
      <c r="N50" s="148"/>
    </row>
    <row r="51" spans="1:14" s="3" customFormat="1" x14ac:dyDescent="0.2">
      <c r="A51" s="272" t="s">
        <v>7</v>
      </c>
      <c r="B51" s="295"/>
      <c r="C51" s="295"/>
      <c r="D51" s="231"/>
      <c r="E51" s="23"/>
      <c r="F51" s="145"/>
      <c r="G51" s="33"/>
      <c r="H51" s="145"/>
      <c r="I51" s="145"/>
      <c r="J51" s="33"/>
      <c r="K51" s="33"/>
      <c r="L51" s="159"/>
      <c r="M51" s="159"/>
      <c r="N51" s="148"/>
    </row>
    <row r="52" spans="1:14" s="3" customFormat="1" x14ac:dyDescent="0.2">
      <c r="A52" s="272" t="s">
        <v>8</v>
      </c>
      <c r="B52" s="295"/>
      <c r="C52" s="295"/>
      <c r="D52" s="231"/>
      <c r="E52" s="23"/>
      <c r="F52" s="145"/>
      <c r="G52" s="33"/>
      <c r="H52" s="145"/>
      <c r="I52" s="145"/>
      <c r="J52" s="33"/>
      <c r="K52" s="33"/>
      <c r="L52" s="159"/>
      <c r="M52" s="159"/>
      <c r="N52" s="148"/>
    </row>
    <row r="53" spans="1:14" s="3" customFormat="1" ht="15.75" x14ac:dyDescent="0.2">
      <c r="A53" s="39" t="s">
        <v>354</v>
      </c>
      <c r="B53" s="286"/>
      <c r="C53" s="287"/>
      <c r="D53" s="402"/>
      <c r="E53" s="11"/>
      <c r="F53" s="145"/>
      <c r="G53" s="33"/>
      <c r="H53" s="145"/>
      <c r="I53" s="145"/>
      <c r="J53" s="33"/>
      <c r="K53" s="33"/>
      <c r="L53" s="159"/>
      <c r="M53" s="159"/>
      <c r="N53" s="148"/>
    </row>
    <row r="54" spans="1:14" s="3" customFormat="1" ht="15.75" x14ac:dyDescent="0.2">
      <c r="A54" s="38" t="s">
        <v>352</v>
      </c>
      <c r="B54" s="258"/>
      <c r="C54" s="259"/>
      <c r="D54" s="231"/>
      <c r="E54" s="27"/>
      <c r="F54" s="145"/>
      <c r="G54" s="33"/>
      <c r="H54" s="145"/>
      <c r="I54" s="145"/>
      <c r="J54" s="33"/>
      <c r="K54" s="33"/>
      <c r="L54" s="159"/>
      <c r="M54" s="159"/>
      <c r="N54" s="148"/>
    </row>
    <row r="55" spans="1:14" s="3" customFormat="1" ht="15.75" x14ac:dyDescent="0.2">
      <c r="A55" s="38" t="s">
        <v>353</v>
      </c>
      <c r="B55" s="258"/>
      <c r="C55" s="259"/>
      <c r="D55" s="231"/>
      <c r="E55" s="27"/>
      <c r="F55" s="145"/>
      <c r="G55" s="33"/>
      <c r="H55" s="145"/>
      <c r="I55" s="145"/>
      <c r="J55" s="33"/>
      <c r="K55" s="33"/>
      <c r="L55" s="159"/>
      <c r="M55" s="159"/>
      <c r="N55" s="148"/>
    </row>
    <row r="56" spans="1:14" s="3" customFormat="1" ht="15.75" x14ac:dyDescent="0.2">
      <c r="A56" s="39" t="s">
        <v>355</v>
      </c>
      <c r="B56" s="286"/>
      <c r="C56" s="287"/>
      <c r="D56" s="402"/>
      <c r="E56" s="11"/>
      <c r="F56" s="145"/>
      <c r="G56" s="33"/>
      <c r="H56" s="145"/>
      <c r="I56" s="145"/>
      <c r="J56" s="33"/>
      <c r="K56" s="33"/>
      <c r="L56" s="159"/>
      <c r="M56" s="159"/>
      <c r="N56" s="148"/>
    </row>
    <row r="57" spans="1:14" s="3" customFormat="1" ht="15.75" x14ac:dyDescent="0.2">
      <c r="A57" s="38" t="s">
        <v>352</v>
      </c>
      <c r="B57" s="258"/>
      <c r="C57" s="259"/>
      <c r="D57" s="231"/>
      <c r="E57" s="27"/>
      <c r="F57" s="145"/>
      <c r="G57" s="33"/>
      <c r="H57" s="145"/>
      <c r="I57" s="145"/>
      <c r="J57" s="33"/>
      <c r="K57" s="33"/>
      <c r="L57" s="159"/>
      <c r="M57" s="159"/>
      <c r="N57" s="148"/>
    </row>
    <row r="58" spans="1:14" s="3" customFormat="1" ht="15.75" x14ac:dyDescent="0.2">
      <c r="A58" s="46" t="s">
        <v>353</v>
      </c>
      <c r="B58" s="260"/>
      <c r="C58" s="261"/>
      <c r="D58" s="232"/>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250</v>
      </c>
      <c r="C61" s="26"/>
      <c r="D61" s="26"/>
      <c r="E61" s="26"/>
      <c r="F61" s="26"/>
      <c r="G61" s="26"/>
      <c r="H61" s="26"/>
      <c r="I61" s="26"/>
      <c r="J61" s="26"/>
      <c r="K61" s="26"/>
      <c r="L61" s="26"/>
      <c r="M61" s="26"/>
    </row>
    <row r="62" spans="1:14" ht="15.75" x14ac:dyDescent="0.25">
      <c r="B62" s="694"/>
      <c r="C62" s="694"/>
      <c r="D62" s="694"/>
      <c r="E62" s="275"/>
      <c r="F62" s="694"/>
      <c r="G62" s="694"/>
      <c r="H62" s="694"/>
      <c r="I62" s="275"/>
      <c r="J62" s="694"/>
      <c r="K62" s="694"/>
      <c r="L62" s="694"/>
      <c r="M62" s="275"/>
    </row>
    <row r="63" spans="1:14" x14ac:dyDescent="0.2">
      <c r="A63" s="144"/>
      <c r="B63" s="695" t="s">
        <v>0</v>
      </c>
      <c r="C63" s="696"/>
      <c r="D63" s="697"/>
      <c r="E63" s="276"/>
      <c r="F63" s="696" t="s">
        <v>1</v>
      </c>
      <c r="G63" s="696"/>
      <c r="H63" s="696"/>
      <c r="I63" s="280"/>
      <c r="J63" s="695" t="s">
        <v>2</v>
      </c>
      <c r="K63" s="696"/>
      <c r="L63" s="696"/>
      <c r="M63" s="280"/>
    </row>
    <row r="64" spans="1:14" x14ac:dyDescent="0.2">
      <c r="A64" s="140"/>
      <c r="B64" s="152" t="s">
        <v>412</v>
      </c>
      <c r="C64" s="152" t="s">
        <v>413</v>
      </c>
      <c r="D64" s="222" t="s">
        <v>3</v>
      </c>
      <c r="E64" s="281" t="s">
        <v>29</v>
      </c>
      <c r="F64" s="152" t="s">
        <v>412</v>
      </c>
      <c r="G64" s="152" t="s">
        <v>413</v>
      </c>
      <c r="H64" s="222" t="s">
        <v>3</v>
      </c>
      <c r="I64" s="281" t="s">
        <v>29</v>
      </c>
      <c r="J64" s="152" t="s">
        <v>412</v>
      </c>
      <c r="K64" s="152" t="s">
        <v>413</v>
      </c>
      <c r="L64" s="222" t="s">
        <v>3</v>
      </c>
      <c r="M64" s="162" t="s">
        <v>29</v>
      </c>
    </row>
    <row r="65" spans="1:14" x14ac:dyDescent="0.2">
      <c r="A65" s="662"/>
      <c r="B65" s="156"/>
      <c r="C65" s="156"/>
      <c r="D65" s="223" t="s">
        <v>4</v>
      </c>
      <c r="E65" s="156" t="s">
        <v>30</v>
      </c>
      <c r="F65" s="161"/>
      <c r="G65" s="161"/>
      <c r="H65" s="222" t="s">
        <v>4</v>
      </c>
      <c r="I65" s="156" t="s">
        <v>30</v>
      </c>
      <c r="J65" s="161"/>
      <c r="K65" s="203"/>
      <c r="L65" s="156" t="s">
        <v>4</v>
      </c>
      <c r="M65" s="156" t="s">
        <v>30</v>
      </c>
    </row>
    <row r="66" spans="1:14" ht="15.75" x14ac:dyDescent="0.2">
      <c r="A66" s="14" t="s">
        <v>23</v>
      </c>
      <c r="B66" s="329"/>
      <c r="C66" s="329"/>
      <c r="D66" s="326"/>
      <c r="E66" s="11"/>
      <c r="F66" s="328"/>
      <c r="G66" s="328"/>
      <c r="H66" s="326"/>
      <c r="I66" s="24"/>
      <c r="J66" s="159"/>
      <c r="K66" s="292"/>
      <c r="L66" s="402"/>
      <c r="M66" s="11"/>
    </row>
    <row r="67" spans="1:14" x14ac:dyDescent="0.2">
      <c r="A67" s="393" t="s">
        <v>9</v>
      </c>
      <c r="B67" s="44"/>
      <c r="C67" s="145"/>
      <c r="D67" s="166"/>
      <c r="E67" s="23"/>
      <c r="F67" s="211"/>
      <c r="G67" s="145"/>
      <c r="H67" s="166"/>
      <c r="I67" s="23"/>
      <c r="J67" s="145"/>
      <c r="K67" s="44"/>
      <c r="L67" s="231"/>
      <c r="M67" s="27"/>
    </row>
    <row r="68" spans="1:14" x14ac:dyDescent="0.2">
      <c r="A68" s="21" t="s">
        <v>10</v>
      </c>
      <c r="B68" s="268"/>
      <c r="C68" s="269"/>
      <c r="D68" s="166"/>
      <c r="E68" s="23"/>
      <c r="F68" s="268"/>
      <c r="G68" s="269"/>
      <c r="H68" s="166"/>
      <c r="I68" s="23"/>
      <c r="J68" s="145"/>
      <c r="K68" s="44"/>
      <c r="L68" s="231"/>
      <c r="M68" s="27"/>
    </row>
    <row r="69" spans="1:14" ht="15.75" x14ac:dyDescent="0.2">
      <c r="A69" s="272" t="s">
        <v>356</v>
      </c>
      <c r="B69" s="295"/>
      <c r="C69" s="295"/>
      <c r="D69" s="166"/>
      <c r="E69" s="23"/>
      <c r="F69" s="295"/>
      <c r="G69" s="295"/>
      <c r="H69" s="166"/>
      <c r="I69" s="23"/>
      <c r="J69" s="295"/>
      <c r="K69" s="295"/>
      <c r="L69" s="166"/>
      <c r="M69" s="23"/>
    </row>
    <row r="70" spans="1:14" x14ac:dyDescent="0.2">
      <c r="A70" s="272" t="s">
        <v>12</v>
      </c>
      <c r="B70" s="270"/>
      <c r="C70" s="271"/>
      <c r="D70" s="166"/>
      <c r="E70" s="23"/>
      <c r="F70" s="270"/>
      <c r="G70" s="271"/>
      <c r="H70" s="166"/>
      <c r="I70" s="23"/>
      <c r="J70" s="270"/>
      <c r="K70" s="271"/>
      <c r="L70" s="166"/>
      <c r="M70" s="23"/>
    </row>
    <row r="71" spans="1:14" x14ac:dyDescent="0.2">
      <c r="A71" s="272" t="s">
        <v>13</v>
      </c>
      <c r="B71" s="212"/>
      <c r="C71" s="266"/>
      <c r="D71" s="166"/>
      <c r="E71" s="23"/>
      <c r="F71" s="212"/>
      <c r="G71" s="266"/>
      <c r="H71" s="166"/>
      <c r="I71" s="23"/>
      <c r="J71" s="212"/>
      <c r="K71" s="266"/>
      <c r="L71" s="166"/>
      <c r="M71" s="23"/>
    </row>
    <row r="72" spans="1:14" ht="15.75" x14ac:dyDescent="0.2">
      <c r="A72" s="272" t="s">
        <v>357</v>
      </c>
      <c r="B72" s="295"/>
      <c r="C72" s="295"/>
      <c r="D72" s="166"/>
      <c r="E72" s="23"/>
      <c r="F72" s="295"/>
      <c r="G72" s="295"/>
      <c r="H72" s="166"/>
      <c r="I72" s="23"/>
      <c r="J72" s="295"/>
      <c r="K72" s="295"/>
      <c r="L72" s="166"/>
      <c r="M72" s="23"/>
    </row>
    <row r="73" spans="1:14" x14ac:dyDescent="0.2">
      <c r="A73" s="272" t="s">
        <v>12</v>
      </c>
      <c r="B73" s="212"/>
      <c r="C73" s="266"/>
      <c r="D73" s="166"/>
      <c r="E73" s="23"/>
      <c r="F73" s="212"/>
      <c r="G73" s="266"/>
      <c r="H73" s="166"/>
      <c r="I73" s="23"/>
      <c r="J73" s="212"/>
      <c r="K73" s="266"/>
      <c r="L73" s="166"/>
      <c r="M73" s="23"/>
    </row>
    <row r="74" spans="1:14" s="3" customFormat="1" x14ac:dyDescent="0.2">
      <c r="A74" s="272" t="s">
        <v>13</v>
      </c>
      <c r="B74" s="212"/>
      <c r="C74" s="266"/>
      <c r="D74" s="166"/>
      <c r="E74" s="23"/>
      <c r="F74" s="212"/>
      <c r="G74" s="266"/>
      <c r="H74" s="166"/>
      <c r="I74" s="23"/>
      <c r="J74" s="212"/>
      <c r="K74" s="266"/>
      <c r="L74" s="166"/>
      <c r="M74" s="23"/>
      <c r="N74" s="148"/>
    </row>
    <row r="75" spans="1:14" s="3" customFormat="1" x14ac:dyDescent="0.2">
      <c r="A75" s="21" t="s">
        <v>326</v>
      </c>
      <c r="B75" s="211"/>
      <c r="C75" s="145"/>
      <c r="D75" s="166"/>
      <c r="E75" s="23"/>
      <c r="F75" s="211"/>
      <c r="G75" s="145"/>
      <c r="H75" s="166"/>
      <c r="I75" s="23"/>
      <c r="J75" s="145"/>
      <c r="K75" s="44"/>
      <c r="L75" s="231"/>
      <c r="M75" s="27"/>
      <c r="N75" s="148"/>
    </row>
    <row r="76" spans="1:14" s="3" customFormat="1" x14ac:dyDescent="0.2">
      <c r="A76" s="21" t="s">
        <v>325</v>
      </c>
      <c r="B76" s="211"/>
      <c r="C76" s="145"/>
      <c r="D76" s="166"/>
      <c r="E76" s="23"/>
      <c r="F76" s="211"/>
      <c r="G76" s="145"/>
      <c r="H76" s="166"/>
      <c r="I76" s="23"/>
      <c r="J76" s="145"/>
      <c r="K76" s="44"/>
      <c r="L76" s="231"/>
      <c r="M76" s="27"/>
      <c r="N76" s="148"/>
    </row>
    <row r="77" spans="1:14" ht="15.75" x14ac:dyDescent="0.2">
      <c r="A77" s="21" t="s">
        <v>358</v>
      </c>
      <c r="B77" s="211"/>
      <c r="C77" s="211"/>
      <c r="D77" s="166"/>
      <c r="E77" s="23"/>
      <c r="F77" s="211"/>
      <c r="G77" s="145"/>
      <c r="H77" s="166"/>
      <c r="I77" s="23"/>
      <c r="J77" s="145"/>
      <c r="K77" s="44"/>
      <c r="L77" s="231"/>
      <c r="M77" s="27"/>
    </row>
    <row r="78" spans="1:14" x14ac:dyDescent="0.2">
      <c r="A78" s="21" t="s">
        <v>9</v>
      </c>
      <c r="B78" s="211"/>
      <c r="C78" s="145"/>
      <c r="D78" s="166"/>
      <c r="E78" s="23"/>
      <c r="F78" s="211"/>
      <c r="G78" s="145"/>
      <c r="H78" s="166"/>
      <c r="I78" s="23"/>
      <c r="J78" s="145"/>
      <c r="K78" s="44"/>
      <c r="L78" s="231"/>
      <c r="M78" s="27"/>
    </row>
    <row r="79" spans="1:14" x14ac:dyDescent="0.2">
      <c r="A79" s="38" t="s">
        <v>398</v>
      </c>
      <c r="B79" s="268"/>
      <c r="C79" s="269"/>
      <c r="D79" s="166"/>
      <c r="E79" s="23"/>
      <c r="F79" s="268"/>
      <c r="G79" s="269"/>
      <c r="H79" s="166"/>
      <c r="I79" s="23"/>
      <c r="J79" s="145"/>
      <c r="K79" s="44"/>
      <c r="L79" s="231"/>
      <c r="M79" s="27"/>
    </row>
    <row r="80" spans="1:14" ht="15.75" x14ac:dyDescent="0.2">
      <c r="A80" s="272" t="s">
        <v>356</v>
      </c>
      <c r="B80" s="295"/>
      <c r="C80" s="295"/>
      <c r="D80" s="166"/>
      <c r="E80" s="23"/>
      <c r="F80" s="295"/>
      <c r="G80" s="295"/>
      <c r="H80" s="166"/>
      <c r="I80" s="23"/>
      <c r="J80" s="295"/>
      <c r="K80" s="295"/>
      <c r="L80" s="166"/>
      <c r="M80" s="23"/>
    </row>
    <row r="81" spans="1:13" x14ac:dyDescent="0.2">
      <c r="A81" s="272" t="s">
        <v>12</v>
      </c>
      <c r="B81" s="295"/>
      <c r="C81" s="295"/>
      <c r="D81" s="166"/>
      <c r="E81" s="23"/>
      <c r="F81" s="270"/>
      <c r="G81" s="271"/>
      <c r="H81" s="166"/>
      <c r="I81" s="23"/>
      <c r="J81" s="270"/>
      <c r="K81" s="271"/>
      <c r="L81" s="166"/>
      <c r="M81" s="23"/>
    </row>
    <row r="82" spans="1:13" x14ac:dyDescent="0.2">
      <c r="A82" s="272" t="s">
        <v>13</v>
      </c>
      <c r="B82" s="295"/>
      <c r="C82" s="295"/>
      <c r="D82" s="166"/>
      <c r="E82" s="23"/>
      <c r="F82" s="212"/>
      <c r="G82" s="266"/>
      <c r="H82" s="166"/>
      <c r="I82" s="23"/>
      <c r="J82" s="212"/>
      <c r="K82" s="266"/>
      <c r="L82" s="166"/>
      <c r="M82" s="23"/>
    </row>
    <row r="83" spans="1:13" ht="15.75" x14ac:dyDescent="0.2">
      <c r="A83" s="272" t="s">
        <v>357</v>
      </c>
      <c r="B83" s="295"/>
      <c r="C83" s="295"/>
      <c r="D83" s="166"/>
      <c r="E83" s="23"/>
      <c r="F83" s="295"/>
      <c r="G83" s="295"/>
      <c r="H83" s="166"/>
      <c r="I83" s="23"/>
      <c r="J83" s="295"/>
      <c r="K83" s="295"/>
      <c r="L83" s="166"/>
      <c r="M83" s="23"/>
    </row>
    <row r="84" spans="1:13" x14ac:dyDescent="0.2">
      <c r="A84" s="272" t="s">
        <v>12</v>
      </c>
      <c r="B84" s="212"/>
      <c r="C84" s="266"/>
      <c r="D84" s="166"/>
      <c r="E84" s="23"/>
      <c r="F84" s="212"/>
      <c r="G84" s="266"/>
      <c r="H84" s="166"/>
      <c r="I84" s="23"/>
      <c r="J84" s="212"/>
      <c r="K84" s="266"/>
      <c r="L84" s="166"/>
      <c r="M84" s="23"/>
    </row>
    <row r="85" spans="1:13" x14ac:dyDescent="0.2">
      <c r="A85" s="272" t="s">
        <v>13</v>
      </c>
      <c r="B85" s="212"/>
      <c r="C85" s="266"/>
      <c r="D85" s="166"/>
      <c r="E85" s="23"/>
      <c r="F85" s="212"/>
      <c r="G85" s="266"/>
      <c r="H85" s="166"/>
      <c r="I85" s="23"/>
      <c r="J85" s="212"/>
      <c r="K85" s="266"/>
      <c r="L85" s="166"/>
      <c r="M85" s="23"/>
    </row>
    <row r="86" spans="1:13" ht="15.75" x14ac:dyDescent="0.2">
      <c r="A86" s="21" t="s">
        <v>359</v>
      </c>
      <c r="B86" s="211"/>
      <c r="C86" s="145"/>
      <c r="D86" s="166"/>
      <c r="E86" s="23"/>
      <c r="F86" s="211"/>
      <c r="G86" s="145"/>
      <c r="H86" s="166"/>
      <c r="I86" s="23"/>
      <c r="J86" s="145"/>
      <c r="K86" s="44"/>
      <c r="L86" s="231"/>
      <c r="M86" s="27"/>
    </row>
    <row r="87" spans="1:13" ht="15.75" x14ac:dyDescent="0.2">
      <c r="A87" s="13" t="s">
        <v>341</v>
      </c>
      <c r="B87" s="329"/>
      <c r="C87" s="329"/>
      <c r="D87" s="171"/>
      <c r="E87" s="24"/>
      <c r="F87" s="328"/>
      <c r="G87" s="328"/>
      <c r="H87" s="171"/>
      <c r="I87" s="24"/>
      <c r="J87" s="159"/>
      <c r="K87" s="213"/>
      <c r="L87" s="402"/>
      <c r="M87" s="11"/>
    </row>
    <row r="88" spans="1:13" x14ac:dyDescent="0.2">
      <c r="A88" s="21" t="s">
        <v>9</v>
      </c>
      <c r="B88" s="211"/>
      <c r="C88" s="145"/>
      <c r="D88" s="166"/>
      <c r="E88" s="23"/>
      <c r="F88" s="211"/>
      <c r="G88" s="145"/>
      <c r="H88" s="166"/>
      <c r="I88" s="23"/>
      <c r="J88" s="145"/>
      <c r="K88" s="44"/>
      <c r="L88" s="231"/>
      <c r="M88" s="27"/>
    </row>
    <row r="89" spans="1:13" x14ac:dyDescent="0.2">
      <c r="A89" s="21" t="s">
        <v>10</v>
      </c>
      <c r="B89" s="211"/>
      <c r="C89" s="145"/>
      <c r="D89" s="166"/>
      <c r="E89" s="23"/>
      <c r="F89" s="211"/>
      <c r="G89" s="145"/>
      <c r="H89" s="166"/>
      <c r="I89" s="23"/>
      <c r="J89" s="145"/>
      <c r="K89" s="44"/>
      <c r="L89" s="231"/>
      <c r="M89" s="27"/>
    </row>
    <row r="90" spans="1:13" ht="15.75" x14ac:dyDescent="0.2">
      <c r="A90" s="272" t="s">
        <v>356</v>
      </c>
      <c r="B90" s="295"/>
      <c r="C90" s="295"/>
      <c r="D90" s="166"/>
      <c r="E90" s="23"/>
      <c r="F90" s="295"/>
      <c r="G90" s="295"/>
      <c r="H90" s="166"/>
      <c r="I90" s="23"/>
      <c r="J90" s="295"/>
      <c r="K90" s="295"/>
      <c r="L90" s="166"/>
      <c r="M90" s="23"/>
    </row>
    <row r="91" spans="1:13" x14ac:dyDescent="0.2">
      <c r="A91" s="272" t="s">
        <v>12</v>
      </c>
      <c r="B91" s="295"/>
      <c r="C91" s="295"/>
      <c r="D91" s="166"/>
      <c r="E91" s="23"/>
      <c r="F91" s="270"/>
      <c r="G91" s="271"/>
      <c r="H91" s="166"/>
      <c r="I91" s="23"/>
      <c r="J91" s="270"/>
      <c r="K91" s="271"/>
      <c r="L91" s="166"/>
      <c r="M91" s="23"/>
    </row>
    <row r="92" spans="1:13" x14ac:dyDescent="0.2">
      <c r="A92" s="272" t="s">
        <v>13</v>
      </c>
      <c r="B92" s="295"/>
      <c r="C92" s="295"/>
      <c r="D92" s="166"/>
      <c r="E92" s="23"/>
      <c r="F92" s="212"/>
      <c r="G92" s="266"/>
      <c r="H92" s="166"/>
      <c r="I92" s="23"/>
      <c r="J92" s="212"/>
      <c r="K92" s="266"/>
      <c r="L92" s="166"/>
      <c r="M92" s="23"/>
    </row>
    <row r="93" spans="1:13" ht="15.75" x14ac:dyDescent="0.2">
      <c r="A93" s="272" t="s">
        <v>357</v>
      </c>
      <c r="B93" s="295"/>
      <c r="C93" s="295"/>
      <c r="D93" s="166"/>
      <c r="E93" s="23"/>
      <c r="F93" s="295"/>
      <c r="G93" s="295"/>
      <c r="H93" s="166"/>
      <c r="I93" s="23"/>
      <c r="J93" s="295"/>
      <c r="K93" s="295"/>
      <c r="L93" s="166"/>
      <c r="M93" s="23"/>
    </row>
    <row r="94" spans="1:13" x14ac:dyDescent="0.2">
      <c r="A94" s="272" t="s">
        <v>12</v>
      </c>
      <c r="B94" s="212"/>
      <c r="C94" s="266"/>
      <c r="D94" s="166"/>
      <c r="E94" s="23"/>
      <c r="F94" s="212"/>
      <c r="G94" s="266"/>
      <c r="H94" s="166"/>
      <c r="I94" s="23"/>
      <c r="J94" s="212"/>
      <c r="K94" s="266"/>
      <c r="L94" s="166"/>
      <c r="M94" s="23"/>
    </row>
    <row r="95" spans="1:13" x14ac:dyDescent="0.2">
      <c r="A95" s="272" t="s">
        <v>13</v>
      </c>
      <c r="B95" s="212"/>
      <c r="C95" s="266"/>
      <c r="D95" s="166"/>
      <c r="E95" s="23"/>
      <c r="F95" s="212"/>
      <c r="G95" s="266"/>
      <c r="H95" s="166"/>
      <c r="I95" s="23"/>
      <c r="J95" s="212"/>
      <c r="K95" s="266"/>
      <c r="L95" s="166"/>
      <c r="M95" s="23"/>
    </row>
    <row r="96" spans="1:13" x14ac:dyDescent="0.2">
      <c r="A96" s="21" t="s">
        <v>324</v>
      </c>
      <c r="B96" s="211"/>
      <c r="C96" s="145"/>
      <c r="D96" s="166"/>
      <c r="E96" s="23"/>
      <c r="F96" s="211"/>
      <c r="G96" s="145"/>
      <c r="H96" s="166"/>
      <c r="I96" s="23"/>
      <c r="J96" s="145"/>
      <c r="K96" s="44"/>
      <c r="L96" s="231"/>
      <c r="M96" s="27"/>
    </row>
    <row r="97" spans="1:13" x14ac:dyDescent="0.2">
      <c r="A97" s="21" t="s">
        <v>323</v>
      </c>
      <c r="B97" s="211"/>
      <c r="C97" s="145"/>
      <c r="D97" s="166"/>
      <c r="E97" s="23"/>
      <c r="F97" s="211"/>
      <c r="G97" s="145"/>
      <c r="H97" s="166"/>
      <c r="I97" s="23"/>
      <c r="J97" s="145"/>
      <c r="K97" s="44"/>
      <c r="L97" s="231"/>
      <c r="M97" s="27"/>
    </row>
    <row r="98" spans="1:13" ht="15.75" x14ac:dyDescent="0.2">
      <c r="A98" s="21" t="s">
        <v>358</v>
      </c>
      <c r="B98" s="211"/>
      <c r="C98" s="211"/>
      <c r="D98" s="166"/>
      <c r="E98" s="23"/>
      <c r="F98" s="268"/>
      <c r="G98" s="268"/>
      <c r="H98" s="166"/>
      <c r="I98" s="23"/>
      <c r="J98" s="145"/>
      <c r="K98" s="44"/>
      <c r="L98" s="231"/>
      <c r="M98" s="27"/>
    </row>
    <row r="99" spans="1:13" x14ac:dyDescent="0.2">
      <c r="A99" s="21" t="s">
        <v>9</v>
      </c>
      <c r="B99" s="268"/>
      <c r="C99" s="269"/>
      <c r="D99" s="166"/>
      <c r="E99" s="23"/>
      <c r="F99" s="211"/>
      <c r="G99" s="145"/>
      <c r="H99" s="166"/>
      <c r="I99" s="23"/>
      <c r="J99" s="145"/>
      <c r="K99" s="44"/>
      <c r="L99" s="231"/>
      <c r="M99" s="27"/>
    </row>
    <row r="100" spans="1:13" ht="15.75" x14ac:dyDescent="0.2">
      <c r="A100" s="38" t="s">
        <v>399</v>
      </c>
      <c r="B100" s="268"/>
      <c r="C100" s="269"/>
      <c r="D100" s="166"/>
      <c r="E100" s="23"/>
      <c r="F100" s="211"/>
      <c r="G100" s="211"/>
      <c r="H100" s="166"/>
      <c r="I100" s="23"/>
      <c r="J100" s="145"/>
      <c r="K100" s="44"/>
      <c r="L100" s="231"/>
      <c r="M100" s="27"/>
    </row>
    <row r="101" spans="1:13" ht="15.75" x14ac:dyDescent="0.2">
      <c r="A101" s="38" t="s">
        <v>400</v>
      </c>
      <c r="B101" s="268"/>
      <c r="C101" s="268"/>
      <c r="D101" s="166"/>
      <c r="E101" s="23"/>
      <c r="F101" s="268"/>
      <c r="G101" s="268"/>
      <c r="H101" s="166"/>
      <c r="I101" s="23"/>
      <c r="J101" s="145"/>
      <c r="K101" s="44"/>
      <c r="L101" s="231"/>
      <c r="M101" s="27"/>
    </row>
    <row r="102" spans="1:13" ht="15.75" x14ac:dyDescent="0.2">
      <c r="A102" s="272" t="s">
        <v>356</v>
      </c>
      <c r="B102" s="295"/>
      <c r="C102" s="295"/>
      <c r="D102" s="166"/>
      <c r="E102" s="23"/>
      <c r="F102" s="295"/>
      <c r="G102" s="295"/>
      <c r="H102" s="166"/>
      <c r="I102" s="23"/>
      <c r="J102" s="295"/>
      <c r="K102" s="295"/>
      <c r="L102" s="166"/>
      <c r="M102" s="23"/>
    </row>
    <row r="103" spans="1:13" x14ac:dyDescent="0.2">
      <c r="A103" s="272" t="s">
        <v>12</v>
      </c>
      <c r="B103" s="295"/>
      <c r="C103" s="295"/>
      <c r="D103" s="166"/>
      <c r="E103" s="23"/>
      <c r="F103" s="270"/>
      <c r="G103" s="271"/>
      <c r="H103" s="166"/>
      <c r="I103" s="23"/>
      <c r="J103" s="270"/>
      <c r="K103" s="271"/>
      <c r="L103" s="166"/>
      <c r="M103" s="23"/>
    </row>
    <row r="104" spans="1:13" x14ac:dyDescent="0.2">
      <c r="A104" s="272" t="s">
        <v>13</v>
      </c>
      <c r="B104" s="295"/>
      <c r="C104" s="295"/>
      <c r="D104" s="166"/>
      <c r="E104" s="23"/>
      <c r="F104" s="212"/>
      <c r="G104" s="266"/>
      <c r="H104" s="166"/>
      <c r="I104" s="23"/>
      <c r="J104" s="212"/>
      <c r="K104" s="266"/>
      <c r="L104" s="166"/>
      <c r="M104" s="23"/>
    </row>
    <row r="105" spans="1:13" ht="15.75" x14ac:dyDescent="0.2">
      <c r="A105" s="272" t="s">
        <v>357</v>
      </c>
      <c r="B105" s="295"/>
      <c r="C105" s="295"/>
      <c r="D105" s="166"/>
      <c r="E105" s="23"/>
      <c r="F105" s="295"/>
      <c r="G105" s="295"/>
      <c r="H105" s="166"/>
      <c r="I105" s="23"/>
      <c r="J105" s="295"/>
      <c r="K105" s="295"/>
      <c r="L105" s="166"/>
      <c r="M105" s="23"/>
    </row>
    <row r="106" spans="1:13" x14ac:dyDescent="0.2">
      <c r="A106" s="272" t="s">
        <v>12</v>
      </c>
      <c r="B106" s="212"/>
      <c r="C106" s="266"/>
      <c r="D106" s="166"/>
      <c r="E106" s="23"/>
      <c r="F106" s="212"/>
      <c r="G106" s="266"/>
      <c r="H106" s="166"/>
      <c r="I106" s="23"/>
      <c r="J106" s="212"/>
      <c r="K106" s="266"/>
      <c r="L106" s="166"/>
      <c r="M106" s="23"/>
    </row>
    <row r="107" spans="1:13" x14ac:dyDescent="0.2">
      <c r="A107" s="272" t="s">
        <v>13</v>
      </c>
      <c r="B107" s="212"/>
      <c r="C107" s="266"/>
      <c r="D107" s="166"/>
      <c r="E107" s="23"/>
      <c r="F107" s="212"/>
      <c r="G107" s="266"/>
      <c r="H107" s="166"/>
      <c r="I107" s="23"/>
      <c r="J107" s="212"/>
      <c r="K107" s="266"/>
      <c r="L107" s="166"/>
      <c r="M107" s="23"/>
    </row>
    <row r="108" spans="1:13" ht="15.75" x14ac:dyDescent="0.2">
      <c r="A108" s="21" t="s">
        <v>359</v>
      </c>
      <c r="B108" s="211"/>
      <c r="C108" s="145"/>
      <c r="D108" s="166"/>
      <c r="E108" s="23"/>
      <c r="F108" s="211"/>
      <c r="G108" s="145"/>
      <c r="H108" s="166"/>
      <c r="I108" s="23"/>
      <c r="J108" s="145"/>
      <c r="K108" s="44"/>
      <c r="L108" s="231"/>
      <c r="M108" s="27"/>
    </row>
    <row r="109" spans="1:13" ht="15.75" x14ac:dyDescent="0.2">
      <c r="A109" s="21" t="s">
        <v>360</v>
      </c>
      <c r="B109" s="211"/>
      <c r="C109" s="211"/>
      <c r="D109" s="166"/>
      <c r="E109" s="23"/>
      <c r="F109" s="211"/>
      <c r="G109" s="211"/>
      <c r="H109" s="166"/>
      <c r="I109" s="23"/>
      <c r="J109" s="145"/>
      <c r="K109" s="44"/>
      <c r="L109" s="231"/>
      <c r="M109" s="27"/>
    </row>
    <row r="110" spans="1:13" ht="15.75" x14ac:dyDescent="0.2">
      <c r="A110" s="38" t="s">
        <v>416</v>
      </c>
      <c r="B110" s="211"/>
      <c r="C110" s="211"/>
      <c r="D110" s="166"/>
      <c r="E110" s="23"/>
      <c r="F110" s="211"/>
      <c r="G110" s="211"/>
      <c r="H110" s="166"/>
      <c r="I110" s="23"/>
      <c r="J110" s="145"/>
      <c r="K110" s="44"/>
      <c r="L110" s="231"/>
      <c r="M110" s="27"/>
    </row>
    <row r="111" spans="1:13" ht="15.75" x14ac:dyDescent="0.2">
      <c r="A111" s="21" t="s">
        <v>362</v>
      </c>
      <c r="B111" s="211"/>
      <c r="C111" s="211"/>
      <c r="D111" s="166"/>
      <c r="E111" s="23"/>
      <c r="F111" s="211"/>
      <c r="G111" s="211"/>
      <c r="H111" s="166"/>
      <c r="I111" s="23"/>
      <c r="J111" s="145"/>
      <c r="K111" s="44"/>
      <c r="L111" s="231"/>
      <c r="M111" s="27"/>
    </row>
    <row r="112" spans="1:13" ht="15.75" x14ac:dyDescent="0.2">
      <c r="A112" s="13" t="s">
        <v>342</v>
      </c>
      <c r="B112" s="284"/>
      <c r="C112" s="159"/>
      <c r="D112" s="171"/>
      <c r="E112" s="24"/>
      <c r="F112" s="284"/>
      <c r="G112" s="159"/>
      <c r="H112" s="171"/>
      <c r="I112" s="24"/>
      <c r="J112" s="159"/>
      <c r="K112" s="213"/>
      <c r="L112" s="402"/>
      <c r="M112" s="11"/>
    </row>
    <row r="113" spans="1:14" x14ac:dyDescent="0.2">
      <c r="A113" s="21" t="s">
        <v>9</v>
      </c>
      <c r="B113" s="211"/>
      <c r="C113" s="145"/>
      <c r="D113" s="166"/>
      <c r="E113" s="23"/>
      <c r="F113" s="211"/>
      <c r="G113" s="145"/>
      <c r="H113" s="166"/>
      <c r="I113" s="23"/>
      <c r="J113" s="145"/>
      <c r="K113" s="44"/>
      <c r="L113" s="231"/>
      <c r="M113" s="27"/>
    </row>
    <row r="114" spans="1:14" x14ac:dyDescent="0.2">
      <c r="A114" s="21" t="s">
        <v>10</v>
      </c>
      <c r="B114" s="211"/>
      <c r="C114" s="145"/>
      <c r="D114" s="166"/>
      <c r="E114" s="23"/>
      <c r="F114" s="211"/>
      <c r="G114" s="145"/>
      <c r="H114" s="166"/>
      <c r="I114" s="23"/>
      <c r="J114" s="145"/>
      <c r="K114" s="44"/>
      <c r="L114" s="231"/>
      <c r="M114" s="27"/>
    </row>
    <row r="115" spans="1:14" x14ac:dyDescent="0.2">
      <c r="A115" s="21" t="s">
        <v>26</v>
      </c>
      <c r="B115" s="211"/>
      <c r="C115" s="145"/>
      <c r="D115" s="166"/>
      <c r="E115" s="23"/>
      <c r="F115" s="211"/>
      <c r="G115" s="145"/>
      <c r="H115" s="166"/>
      <c r="I115" s="23"/>
      <c r="J115" s="145"/>
      <c r="K115" s="44"/>
      <c r="L115" s="231"/>
      <c r="M115" s="27"/>
    </row>
    <row r="116" spans="1:14" x14ac:dyDescent="0.2">
      <c r="A116" s="272" t="s">
        <v>15</v>
      </c>
      <c r="B116" s="258"/>
      <c r="C116" s="258"/>
      <c r="D116" s="166"/>
      <c r="E116" s="23"/>
      <c r="F116" s="665"/>
      <c r="G116" s="258"/>
      <c r="H116" s="166"/>
      <c r="I116" s="23"/>
      <c r="J116" s="667"/>
      <c r="K116" s="267"/>
      <c r="L116" s="166"/>
      <c r="M116" s="23"/>
    </row>
    <row r="117" spans="1:14" ht="15.75" x14ac:dyDescent="0.2">
      <c r="A117" s="21" t="s">
        <v>363</v>
      </c>
      <c r="B117" s="211"/>
      <c r="C117" s="211"/>
      <c r="D117" s="166"/>
      <c r="E117" s="23"/>
      <c r="F117" s="211"/>
      <c r="G117" s="211"/>
      <c r="H117" s="166"/>
      <c r="I117" s="23"/>
      <c r="J117" s="145"/>
      <c r="K117" s="44"/>
      <c r="L117" s="231"/>
      <c r="M117" s="27"/>
    </row>
    <row r="118" spans="1:14" ht="15.75" x14ac:dyDescent="0.2">
      <c r="A118" s="21" t="s">
        <v>364</v>
      </c>
      <c r="B118" s="211"/>
      <c r="C118" s="211"/>
      <c r="D118" s="166"/>
      <c r="E118" s="23"/>
      <c r="F118" s="211"/>
      <c r="G118" s="211"/>
      <c r="H118" s="166"/>
      <c r="I118" s="23"/>
      <c r="J118" s="145"/>
      <c r="K118" s="44"/>
      <c r="L118" s="231"/>
      <c r="M118" s="27"/>
    </row>
    <row r="119" spans="1:14" ht="15.75" x14ac:dyDescent="0.2">
      <c r="A119" s="21" t="s">
        <v>362</v>
      </c>
      <c r="B119" s="211"/>
      <c r="C119" s="211"/>
      <c r="D119" s="166"/>
      <c r="E119" s="23"/>
      <c r="F119" s="211"/>
      <c r="G119" s="211"/>
      <c r="H119" s="166"/>
      <c r="I119" s="23"/>
      <c r="J119" s="145"/>
      <c r="K119" s="44"/>
      <c r="L119" s="231"/>
      <c r="M119" s="27"/>
    </row>
    <row r="120" spans="1:14" ht="15.75" x14ac:dyDescent="0.2">
      <c r="A120" s="13" t="s">
        <v>343</v>
      </c>
      <c r="B120" s="284"/>
      <c r="C120" s="159"/>
      <c r="D120" s="171"/>
      <c r="E120" s="24"/>
      <c r="F120" s="284"/>
      <c r="G120" s="159"/>
      <c r="H120" s="171"/>
      <c r="I120" s="24"/>
      <c r="J120" s="159"/>
      <c r="K120" s="213"/>
      <c r="L120" s="402"/>
      <c r="M120" s="11"/>
    </row>
    <row r="121" spans="1:14" x14ac:dyDescent="0.2">
      <c r="A121" s="21" t="s">
        <v>9</v>
      </c>
      <c r="B121" s="211"/>
      <c r="C121" s="145"/>
      <c r="D121" s="166"/>
      <c r="E121" s="23"/>
      <c r="F121" s="211"/>
      <c r="G121" s="145"/>
      <c r="H121" s="166"/>
      <c r="I121" s="23"/>
      <c r="J121" s="145"/>
      <c r="K121" s="44"/>
      <c r="L121" s="231"/>
      <c r="M121" s="27"/>
    </row>
    <row r="122" spans="1:14" x14ac:dyDescent="0.2">
      <c r="A122" s="21" t="s">
        <v>10</v>
      </c>
      <c r="B122" s="211"/>
      <c r="C122" s="145"/>
      <c r="D122" s="166"/>
      <c r="E122" s="23"/>
      <c r="F122" s="211"/>
      <c r="G122" s="145"/>
      <c r="H122" s="166"/>
      <c r="I122" s="23"/>
      <c r="J122" s="145"/>
      <c r="K122" s="44"/>
      <c r="L122" s="231"/>
      <c r="M122" s="27"/>
    </row>
    <row r="123" spans="1:14" x14ac:dyDescent="0.2">
      <c r="A123" s="21" t="s">
        <v>26</v>
      </c>
      <c r="B123" s="211"/>
      <c r="C123" s="145"/>
      <c r="D123" s="166"/>
      <c r="E123" s="23"/>
      <c r="F123" s="211"/>
      <c r="G123" s="145"/>
      <c r="H123" s="166"/>
      <c r="I123" s="23"/>
      <c r="J123" s="145"/>
      <c r="K123" s="44"/>
      <c r="L123" s="231"/>
      <c r="M123" s="27"/>
    </row>
    <row r="124" spans="1:14" x14ac:dyDescent="0.2">
      <c r="A124" s="272" t="s">
        <v>14</v>
      </c>
      <c r="B124" s="258"/>
      <c r="C124" s="258"/>
      <c r="D124" s="166"/>
      <c r="E124" s="23"/>
      <c r="F124" s="665"/>
      <c r="G124" s="258"/>
      <c r="H124" s="166"/>
      <c r="I124" s="23"/>
      <c r="J124" s="667"/>
      <c r="K124" s="267"/>
      <c r="L124" s="166"/>
      <c r="M124" s="23"/>
    </row>
    <row r="125" spans="1:14" ht="15.75" x14ac:dyDescent="0.2">
      <c r="A125" s="21" t="s">
        <v>369</v>
      </c>
      <c r="B125" s="211"/>
      <c r="C125" s="211"/>
      <c r="D125" s="166"/>
      <c r="E125" s="23"/>
      <c r="F125" s="211"/>
      <c r="G125" s="211"/>
      <c r="H125" s="166"/>
      <c r="I125" s="23"/>
      <c r="J125" s="145"/>
      <c r="K125" s="44"/>
      <c r="L125" s="231"/>
      <c r="M125" s="27"/>
    </row>
    <row r="126" spans="1:14" ht="15.75" x14ac:dyDescent="0.2">
      <c r="A126" s="21" t="s">
        <v>361</v>
      </c>
      <c r="B126" s="211"/>
      <c r="C126" s="211"/>
      <c r="D126" s="166"/>
      <c r="E126" s="23"/>
      <c r="F126" s="211"/>
      <c r="G126" s="211"/>
      <c r="H126" s="166"/>
      <c r="I126" s="23"/>
      <c r="J126" s="145"/>
      <c r="K126" s="44"/>
      <c r="L126" s="231"/>
      <c r="M126" s="27"/>
    </row>
    <row r="127" spans="1:14" ht="15.75" x14ac:dyDescent="0.2">
      <c r="A127" s="10" t="s">
        <v>362</v>
      </c>
      <c r="B127" s="45"/>
      <c r="C127" s="45"/>
      <c r="D127" s="167"/>
      <c r="E127" s="22"/>
      <c r="F127" s="666"/>
      <c r="G127" s="45"/>
      <c r="H127" s="167"/>
      <c r="I127" s="22"/>
      <c r="J127" s="668"/>
      <c r="K127" s="45"/>
      <c r="L127" s="232"/>
      <c r="M127" s="22"/>
    </row>
    <row r="128" spans="1:14" x14ac:dyDescent="0.2">
      <c r="A128" s="155"/>
      <c r="L128" s="26"/>
      <c r="M128" s="26"/>
      <c r="N128" s="26"/>
    </row>
    <row r="129" spans="1:14" x14ac:dyDescent="0.2">
      <c r="L129" s="26"/>
      <c r="M129" s="26"/>
      <c r="N129" s="26"/>
    </row>
    <row r="130" spans="1:14" ht="15.75" x14ac:dyDescent="0.25">
      <c r="A130" s="165" t="s">
        <v>27</v>
      </c>
    </row>
    <row r="131" spans="1:14" ht="15.75" x14ac:dyDescent="0.25">
      <c r="B131" s="694"/>
      <c r="C131" s="694"/>
      <c r="D131" s="694"/>
      <c r="E131" s="275"/>
      <c r="F131" s="694"/>
      <c r="G131" s="694"/>
      <c r="H131" s="694"/>
      <c r="I131" s="275"/>
      <c r="J131" s="694"/>
      <c r="K131" s="694"/>
      <c r="L131" s="694"/>
      <c r="M131" s="275"/>
    </row>
    <row r="132" spans="1:14" s="3" customFormat="1" x14ac:dyDescent="0.2">
      <c r="A132" s="144"/>
      <c r="B132" s="695" t="s">
        <v>0</v>
      </c>
      <c r="C132" s="696"/>
      <c r="D132" s="696"/>
      <c r="E132" s="277"/>
      <c r="F132" s="695" t="s">
        <v>1</v>
      </c>
      <c r="G132" s="696"/>
      <c r="H132" s="696"/>
      <c r="I132" s="280"/>
      <c r="J132" s="695" t="s">
        <v>2</v>
      </c>
      <c r="K132" s="696"/>
      <c r="L132" s="696"/>
      <c r="M132" s="280"/>
      <c r="N132" s="148"/>
    </row>
    <row r="133" spans="1:14" s="3" customFormat="1" x14ac:dyDescent="0.2">
      <c r="A133" s="140"/>
      <c r="B133" s="152" t="s">
        <v>412</v>
      </c>
      <c r="C133" s="152" t="s">
        <v>413</v>
      </c>
      <c r="D133" s="222" t="s">
        <v>3</v>
      </c>
      <c r="E133" s="281" t="s">
        <v>29</v>
      </c>
      <c r="F133" s="152" t="s">
        <v>412</v>
      </c>
      <c r="G133" s="152" t="s">
        <v>413</v>
      </c>
      <c r="H133" s="203" t="s">
        <v>3</v>
      </c>
      <c r="I133" s="162" t="s">
        <v>29</v>
      </c>
      <c r="J133" s="152" t="s">
        <v>412</v>
      </c>
      <c r="K133" s="152" t="s">
        <v>413</v>
      </c>
      <c r="L133" s="223" t="s">
        <v>3</v>
      </c>
      <c r="M133" s="162" t="s">
        <v>29</v>
      </c>
      <c r="N133" s="148"/>
    </row>
    <row r="134" spans="1:14" s="3" customFormat="1" x14ac:dyDescent="0.2">
      <c r="A134" s="662"/>
      <c r="B134" s="156"/>
      <c r="C134" s="156"/>
      <c r="D134" s="223" t="s">
        <v>4</v>
      </c>
      <c r="E134" s="156" t="s">
        <v>30</v>
      </c>
      <c r="F134" s="161"/>
      <c r="G134" s="161"/>
      <c r="H134" s="203" t="s">
        <v>4</v>
      </c>
      <c r="I134" s="156" t="s">
        <v>30</v>
      </c>
      <c r="J134" s="156"/>
      <c r="K134" s="156"/>
      <c r="L134" s="150" t="s">
        <v>4</v>
      </c>
      <c r="M134" s="156" t="s">
        <v>30</v>
      </c>
      <c r="N134" s="148"/>
    </row>
    <row r="135" spans="1:14" s="3" customFormat="1" ht="15.75" x14ac:dyDescent="0.2">
      <c r="A135" s="14" t="s">
        <v>365</v>
      </c>
      <c r="B135" s="213"/>
      <c r="C135" s="285"/>
      <c r="D135" s="326"/>
      <c r="E135" s="11"/>
      <c r="F135" s="292"/>
      <c r="G135" s="293"/>
      <c r="H135" s="405"/>
      <c r="I135" s="24"/>
      <c r="J135" s="294"/>
      <c r="K135" s="294"/>
      <c r="L135" s="401"/>
      <c r="M135" s="11"/>
      <c r="N135" s="148"/>
    </row>
    <row r="136" spans="1:14" s="3" customFormat="1" ht="15.75" x14ac:dyDescent="0.2">
      <c r="A136" s="13" t="s">
        <v>370</v>
      </c>
      <c r="B136" s="213"/>
      <c r="C136" s="285"/>
      <c r="D136" s="171"/>
      <c r="E136" s="11"/>
      <c r="F136" s="213"/>
      <c r="G136" s="285"/>
      <c r="H136" s="406"/>
      <c r="I136" s="24"/>
      <c r="J136" s="284"/>
      <c r="K136" s="284"/>
      <c r="L136" s="402"/>
      <c r="M136" s="11"/>
      <c r="N136" s="148"/>
    </row>
    <row r="137" spans="1:14" s="3" customFormat="1" ht="15.75" x14ac:dyDescent="0.2">
      <c r="A137" s="13" t="s">
        <v>367</v>
      </c>
      <c r="B137" s="213"/>
      <c r="C137" s="285"/>
      <c r="D137" s="171"/>
      <c r="E137" s="11"/>
      <c r="F137" s="213"/>
      <c r="G137" s="285"/>
      <c r="H137" s="406"/>
      <c r="I137" s="24"/>
      <c r="J137" s="284"/>
      <c r="K137" s="284"/>
      <c r="L137" s="402"/>
      <c r="M137" s="11"/>
      <c r="N137" s="148"/>
    </row>
    <row r="138" spans="1:14" s="3" customFormat="1" ht="15.75" x14ac:dyDescent="0.2">
      <c r="A138" s="41" t="s">
        <v>368</v>
      </c>
      <c r="B138" s="253"/>
      <c r="C138" s="291"/>
      <c r="D138" s="169"/>
      <c r="E138" s="9"/>
      <c r="F138" s="253"/>
      <c r="G138" s="291"/>
      <c r="H138" s="407"/>
      <c r="I138" s="36"/>
      <c r="J138" s="290"/>
      <c r="K138" s="290"/>
      <c r="L138" s="403"/>
      <c r="M138" s="36"/>
      <c r="N138" s="148"/>
    </row>
    <row r="139" spans="1:14" s="3" customFormat="1"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68"/>
      <c r="B141" s="33"/>
      <c r="C141" s="33"/>
      <c r="D141" s="159"/>
      <c r="E141" s="159"/>
      <c r="F141" s="33"/>
      <c r="G141" s="33"/>
      <c r="H141" s="159"/>
      <c r="I141" s="159"/>
      <c r="J141" s="33"/>
      <c r="K141" s="33"/>
      <c r="L141" s="159"/>
      <c r="M141" s="159"/>
      <c r="N141" s="148"/>
    </row>
    <row r="142" spans="1:14" x14ac:dyDescent="0.2">
      <c r="A142" s="146"/>
      <c r="B142" s="146"/>
      <c r="C142" s="146"/>
      <c r="D142" s="146"/>
      <c r="E142" s="146"/>
      <c r="F142" s="146"/>
      <c r="G142" s="146"/>
      <c r="H142" s="146"/>
      <c r="I142" s="146"/>
      <c r="J142" s="146"/>
      <c r="K142" s="146"/>
      <c r="L142" s="146"/>
      <c r="M142" s="146"/>
      <c r="N142" s="146"/>
    </row>
    <row r="143" spans="1:14" ht="15.75" x14ac:dyDescent="0.25">
      <c r="B143" s="142"/>
      <c r="C143" s="142"/>
      <c r="D143" s="142"/>
      <c r="E143" s="142"/>
      <c r="F143" s="142"/>
      <c r="G143" s="142"/>
      <c r="H143" s="142"/>
      <c r="I143" s="142"/>
      <c r="J143" s="142"/>
      <c r="K143" s="142"/>
      <c r="L143" s="142"/>
      <c r="M143" s="142"/>
      <c r="N143" s="142"/>
    </row>
    <row r="144" spans="1:14" ht="15.75" x14ac:dyDescent="0.25">
      <c r="B144" s="157"/>
      <c r="C144" s="157"/>
      <c r="D144" s="157"/>
      <c r="E144" s="157"/>
      <c r="F144" s="157"/>
      <c r="G144" s="157"/>
      <c r="H144" s="157"/>
      <c r="I144" s="157"/>
      <c r="J144" s="157"/>
      <c r="K144" s="157"/>
      <c r="L144" s="157"/>
      <c r="M144" s="157"/>
      <c r="N144" s="157"/>
    </row>
    <row r="145" spans="2:14" ht="15.75" x14ac:dyDescent="0.25">
      <c r="B145" s="157"/>
      <c r="C145" s="157"/>
      <c r="D145" s="157"/>
      <c r="E145" s="157"/>
      <c r="F145" s="157"/>
      <c r="G145" s="157"/>
      <c r="H145" s="157"/>
      <c r="I145" s="157"/>
      <c r="J145" s="157"/>
      <c r="K145" s="157"/>
      <c r="L145" s="157"/>
      <c r="M145" s="157"/>
      <c r="N145" s="157"/>
    </row>
  </sheetData>
  <mergeCells count="31">
    <mergeCell ref="B132:D132"/>
    <mergeCell ref="F132:H132"/>
    <mergeCell ref="J132:L132"/>
    <mergeCell ref="B63:D63"/>
    <mergeCell ref="F63:H63"/>
    <mergeCell ref="J63:L63"/>
    <mergeCell ref="B131:D131"/>
    <mergeCell ref="F131:H131"/>
    <mergeCell ref="J131:L131"/>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6">
    <cfRule type="expression" dxfId="424" priority="76">
      <formula>kvartal &lt; 4</formula>
    </cfRule>
  </conditionalFormatting>
  <conditionalFormatting sqref="C116">
    <cfRule type="expression" dxfId="423" priority="75">
      <formula>kvartal &lt; 4</formula>
    </cfRule>
  </conditionalFormatting>
  <conditionalFormatting sqref="B124">
    <cfRule type="expression" dxfId="422" priority="74">
      <formula>kvartal &lt; 4</formula>
    </cfRule>
  </conditionalFormatting>
  <conditionalFormatting sqref="C124">
    <cfRule type="expression" dxfId="421" priority="73">
      <formula>kvartal &lt; 4</formula>
    </cfRule>
  </conditionalFormatting>
  <conditionalFormatting sqref="F116">
    <cfRule type="expression" dxfId="420" priority="58">
      <formula>kvartal &lt; 4</formula>
    </cfRule>
  </conditionalFormatting>
  <conditionalFormatting sqref="G116">
    <cfRule type="expression" dxfId="419" priority="57">
      <formula>kvartal &lt; 4</formula>
    </cfRule>
  </conditionalFormatting>
  <conditionalFormatting sqref="F124:G124">
    <cfRule type="expression" dxfId="418" priority="56">
      <formula>kvartal &lt; 4</formula>
    </cfRule>
  </conditionalFormatting>
  <conditionalFormatting sqref="J116:K116">
    <cfRule type="expression" dxfId="417" priority="32">
      <formula>kvartal &lt; 4</formula>
    </cfRule>
  </conditionalFormatting>
  <conditionalFormatting sqref="J124:K124">
    <cfRule type="expression" dxfId="416" priority="31">
      <formula>kvartal &lt; 4</formula>
    </cfRule>
  </conditionalFormatting>
  <conditionalFormatting sqref="A50:A52">
    <cfRule type="expression" dxfId="415" priority="12">
      <formula>kvartal &lt; 4</formula>
    </cfRule>
  </conditionalFormatting>
  <conditionalFormatting sqref="A69:A74">
    <cfRule type="expression" dxfId="414" priority="10">
      <formula>kvartal &lt; 4</formula>
    </cfRule>
  </conditionalFormatting>
  <conditionalFormatting sqref="A80:A85">
    <cfRule type="expression" dxfId="413" priority="9">
      <formula>kvartal &lt; 4</formula>
    </cfRule>
  </conditionalFormatting>
  <conditionalFormatting sqref="A90:A95">
    <cfRule type="expression" dxfId="412" priority="6">
      <formula>kvartal &lt; 4</formula>
    </cfRule>
  </conditionalFormatting>
  <conditionalFormatting sqref="A102:A107">
    <cfRule type="expression" dxfId="411" priority="5">
      <formula>kvartal &lt; 4</formula>
    </cfRule>
  </conditionalFormatting>
  <conditionalFormatting sqref="A116">
    <cfRule type="expression" dxfId="410" priority="4">
      <formula>kvartal &lt; 4</formula>
    </cfRule>
  </conditionalFormatting>
  <conditionalFormatting sqref="A124">
    <cfRule type="expression" dxfId="409" priority="3">
      <formula>kvartal &lt; 4</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23"/>
  <dimension ref="A1:N145"/>
  <sheetViews>
    <sheetView showGridLines="0" zoomScaleNormal="100" workbookViewId="0">
      <selection activeCell="A111" sqref="A111"/>
    </sheetView>
  </sheetViews>
  <sheetFormatPr baseColWidth="10" defaultColWidth="11.42578125" defaultRowHeight="12.75" x14ac:dyDescent="0.2"/>
  <cols>
    <col min="1" max="1" width="41.57031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134</v>
      </c>
      <c r="B1" s="663"/>
      <c r="C1" s="225" t="s">
        <v>389</v>
      </c>
      <c r="D1" s="26"/>
      <c r="E1" s="26"/>
      <c r="F1" s="26"/>
      <c r="G1" s="26"/>
      <c r="H1" s="26"/>
      <c r="I1" s="26"/>
      <c r="J1" s="26"/>
      <c r="K1" s="26"/>
      <c r="L1" s="26"/>
      <c r="M1" s="26"/>
    </row>
    <row r="2" spans="1:14" ht="15.75" x14ac:dyDescent="0.25">
      <c r="A2" s="165" t="s">
        <v>28</v>
      </c>
      <c r="B2" s="699"/>
      <c r="C2" s="699"/>
      <c r="D2" s="699"/>
      <c r="E2" s="275"/>
      <c r="F2" s="699"/>
      <c r="G2" s="699"/>
      <c r="H2" s="699"/>
      <c r="I2" s="275"/>
      <c r="J2" s="699"/>
      <c r="K2" s="699"/>
      <c r="L2" s="699"/>
      <c r="M2" s="275"/>
    </row>
    <row r="3" spans="1:14" ht="15.75" x14ac:dyDescent="0.25">
      <c r="A3" s="163"/>
      <c r="B3" s="275"/>
      <c r="C3" s="275"/>
      <c r="D3" s="275"/>
      <c r="E3" s="275"/>
      <c r="F3" s="275"/>
      <c r="G3" s="275"/>
      <c r="H3" s="275"/>
      <c r="I3" s="275"/>
      <c r="J3" s="275"/>
      <c r="K3" s="275"/>
      <c r="L3" s="275"/>
      <c r="M3" s="275"/>
    </row>
    <row r="4" spans="1:14" x14ac:dyDescent="0.2">
      <c r="A4" s="144"/>
      <c r="B4" s="695" t="s">
        <v>0</v>
      </c>
      <c r="C4" s="696"/>
      <c r="D4" s="696"/>
      <c r="E4" s="277"/>
      <c r="F4" s="695" t="s">
        <v>1</v>
      </c>
      <c r="G4" s="696"/>
      <c r="H4" s="696"/>
      <c r="I4" s="280"/>
      <c r="J4" s="695" t="s">
        <v>2</v>
      </c>
      <c r="K4" s="696"/>
      <c r="L4" s="696"/>
      <c r="M4" s="280"/>
    </row>
    <row r="5" spans="1:14" x14ac:dyDescent="0.2">
      <c r="A5" s="158"/>
      <c r="B5" s="152" t="s">
        <v>412</v>
      </c>
      <c r="C5" s="152" t="s">
        <v>413</v>
      </c>
      <c r="D5" s="222" t="s">
        <v>3</v>
      </c>
      <c r="E5" s="281" t="s">
        <v>29</v>
      </c>
      <c r="F5" s="152" t="s">
        <v>412</v>
      </c>
      <c r="G5" s="152" t="s">
        <v>413</v>
      </c>
      <c r="H5" s="222" t="s">
        <v>3</v>
      </c>
      <c r="I5" s="162" t="s">
        <v>29</v>
      </c>
      <c r="J5" s="152" t="s">
        <v>412</v>
      </c>
      <c r="K5" s="152" t="s">
        <v>413</v>
      </c>
      <c r="L5" s="222" t="s">
        <v>3</v>
      </c>
      <c r="M5" s="162" t="s">
        <v>29</v>
      </c>
    </row>
    <row r="6" spans="1:14" x14ac:dyDescent="0.2">
      <c r="A6" s="661"/>
      <c r="B6" s="156"/>
      <c r="C6" s="156"/>
      <c r="D6" s="223" t="s">
        <v>4</v>
      </c>
      <c r="E6" s="156" t="s">
        <v>30</v>
      </c>
      <c r="F6" s="161"/>
      <c r="G6" s="161"/>
      <c r="H6" s="222" t="s">
        <v>4</v>
      </c>
      <c r="I6" s="156" t="s">
        <v>30</v>
      </c>
      <c r="J6" s="161"/>
      <c r="K6" s="161"/>
      <c r="L6" s="222" t="s">
        <v>4</v>
      </c>
      <c r="M6" s="156" t="s">
        <v>30</v>
      </c>
    </row>
    <row r="7" spans="1:14" ht="15.75" x14ac:dyDescent="0.2">
      <c r="A7" s="14" t="s">
        <v>23</v>
      </c>
      <c r="B7" s="282"/>
      <c r="C7" s="283"/>
      <c r="D7" s="326"/>
      <c r="E7" s="11"/>
      <c r="F7" s="282"/>
      <c r="G7" s="283"/>
      <c r="H7" s="326"/>
      <c r="I7" s="160"/>
      <c r="J7" s="284"/>
      <c r="K7" s="285"/>
      <c r="L7" s="401"/>
      <c r="M7" s="11"/>
    </row>
    <row r="8" spans="1:14" ht="15.75" x14ac:dyDescent="0.2">
      <c r="A8" s="21" t="s">
        <v>25</v>
      </c>
      <c r="B8" s="258"/>
      <c r="C8" s="259"/>
      <c r="D8" s="166"/>
      <c r="E8" s="27"/>
      <c r="F8" s="262"/>
      <c r="G8" s="263"/>
      <c r="H8" s="166"/>
      <c r="I8" s="175"/>
      <c r="J8" s="211"/>
      <c r="K8" s="264"/>
      <c r="L8" s="166"/>
      <c r="M8" s="27"/>
    </row>
    <row r="9" spans="1:14" ht="15.75" x14ac:dyDescent="0.2">
      <c r="A9" s="21" t="s">
        <v>24</v>
      </c>
      <c r="B9" s="258"/>
      <c r="C9" s="259"/>
      <c r="D9" s="166"/>
      <c r="E9" s="27"/>
      <c r="F9" s="262"/>
      <c r="G9" s="263"/>
      <c r="H9" s="166"/>
      <c r="I9" s="175"/>
      <c r="J9" s="211"/>
      <c r="K9" s="264"/>
      <c r="L9" s="166"/>
      <c r="M9" s="27"/>
    </row>
    <row r="10" spans="1:14" ht="15.75" x14ac:dyDescent="0.2">
      <c r="A10" s="13" t="s">
        <v>341</v>
      </c>
      <c r="B10" s="286"/>
      <c r="C10" s="287"/>
      <c r="D10" s="171"/>
      <c r="E10" s="11"/>
      <c r="F10" s="286"/>
      <c r="G10" s="287"/>
      <c r="H10" s="171"/>
      <c r="I10" s="160"/>
      <c r="J10" s="284"/>
      <c r="K10" s="285"/>
      <c r="L10" s="402"/>
      <c r="M10" s="11"/>
    </row>
    <row r="11" spans="1:14" s="43" customFormat="1" ht="15.75" x14ac:dyDescent="0.2">
      <c r="A11" s="13" t="s">
        <v>342</v>
      </c>
      <c r="B11" s="286"/>
      <c r="C11" s="287"/>
      <c r="D11" s="171"/>
      <c r="E11" s="11"/>
      <c r="F11" s="286"/>
      <c r="G11" s="287"/>
      <c r="H11" s="171"/>
      <c r="I11" s="160"/>
      <c r="J11" s="284"/>
      <c r="K11" s="285"/>
      <c r="L11" s="402"/>
      <c r="M11" s="11"/>
      <c r="N11" s="143"/>
    </row>
    <row r="12" spans="1:14" s="43" customFormat="1" ht="15.75" x14ac:dyDescent="0.2">
      <c r="A12" s="41" t="s">
        <v>343</v>
      </c>
      <c r="B12" s="288"/>
      <c r="C12" s="289"/>
      <c r="D12" s="169"/>
      <c r="E12" s="36"/>
      <c r="F12" s="288"/>
      <c r="G12" s="289"/>
      <c r="H12" s="169"/>
      <c r="I12" s="169"/>
      <c r="J12" s="290"/>
      <c r="K12" s="291"/>
      <c r="L12" s="403"/>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251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248</v>
      </c>
      <c r="B17" s="157"/>
      <c r="C17" s="157"/>
      <c r="D17" s="151"/>
      <c r="E17" s="151"/>
      <c r="F17" s="157"/>
      <c r="G17" s="157"/>
      <c r="H17" s="157"/>
      <c r="I17" s="157"/>
      <c r="J17" s="157"/>
      <c r="K17" s="157"/>
      <c r="L17" s="157"/>
      <c r="M17" s="157"/>
    </row>
    <row r="18" spans="1:14" ht="15.75" x14ac:dyDescent="0.25">
      <c r="B18" s="694"/>
      <c r="C18" s="694"/>
      <c r="D18" s="694"/>
      <c r="E18" s="275"/>
      <c r="F18" s="694"/>
      <c r="G18" s="694"/>
      <c r="H18" s="694"/>
      <c r="I18" s="275"/>
      <c r="J18" s="694"/>
      <c r="K18" s="694"/>
      <c r="L18" s="694"/>
      <c r="M18" s="275"/>
    </row>
    <row r="19" spans="1:14" x14ac:dyDescent="0.2">
      <c r="A19" s="144"/>
      <c r="B19" s="695" t="s">
        <v>0</v>
      </c>
      <c r="C19" s="696"/>
      <c r="D19" s="696"/>
      <c r="E19" s="277"/>
      <c r="F19" s="695" t="s">
        <v>1</v>
      </c>
      <c r="G19" s="696"/>
      <c r="H19" s="696"/>
      <c r="I19" s="280"/>
      <c r="J19" s="695" t="s">
        <v>2</v>
      </c>
      <c r="K19" s="696"/>
      <c r="L19" s="696"/>
      <c r="M19" s="280"/>
    </row>
    <row r="20" spans="1:14" x14ac:dyDescent="0.2">
      <c r="A20" s="140" t="s">
        <v>5</v>
      </c>
      <c r="B20" s="152" t="s">
        <v>412</v>
      </c>
      <c r="C20" s="152" t="s">
        <v>413</v>
      </c>
      <c r="D20" s="162" t="s">
        <v>3</v>
      </c>
      <c r="E20" s="281" t="s">
        <v>29</v>
      </c>
      <c r="F20" s="152" t="s">
        <v>412</v>
      </c>
      <c r="G20" s="152" t="s">
        <v>413</v>
      </c>
      <c r="H20" s="162" t="s">
        <v>3</v>
      </c>
      <c r="I20" s="162" t="s">
        <v>29</v>
      </c>
      <c r="J20" s="152" t="s">
        <v>412</v>
      </c>
      <c r="K20" s="152" t="s">
        <v>413</v>
      </c>
      <c r="L20" s="162" t="s">
        <v>3</v>
      </c>
      <c r="M20" s="162" t="s">
        <v>29</v>
      </c>
    </row>
    <row r="21" spans="1:14" x14ac:dyDescent="0.2">
      <c r="A21" s="662"/>
      <c r="B21" s="156"/>
      <c r="C21" s="156"/>
      <c r="D21" s="223" t="s">
        <v>4</v>
      </c>
      <c r="E21" s="156" t="s">
        <v>30</v>
      </c>
      <c r="F21" s="161"/>
      <c r="G21" s="161"/>
      <c r="H21" s="222" t="s">
        <v>4</v>
      </c>
      <c r="I21" s="156" t="s">
        <v>30</v>
      </c>
      <c r="J21" s="161"/>
      <c r="K21" s="161"/>
      <c r="L21" s="156" t="s">
        <v>4</v>
      </c>
      <c r="M21" s="156" t="s">
        <v>30</v>
      </c>
    </row>
    <row r="22" spans="1:14" ht="15.75" x14ac:dyDescent="0.2">
      <c r="A22" s="14" t="s">
        <v>23</v>
      </c>
      <c r="B22" s="286"/>
      <c r="C22" s="286"/>
      <c r="D22" s="326"/>
      <c r="E22" s="11"/>
      <c r="F22" s="294"/>
      <c r="G22" s="294"/>
      <c r="H22" s="326"/>
      <c r="I22" s="11"/>
      <c r="J22" s="292"/>
      <c r="K22" s="292"/>
      <c r="L22" s="401"/>
      <c r="M22" s="24"/>
    </row>
    <row r="23" spans="1:14" ht="15.75" x14ac:dyDescent="0.2">
      <c r="A23" s="545" t="s">
        <v>344</v>
      </c>
      <c r="B23" s="258"/>
      <c r="C23" s="258"/>
      <c r="D23" s="166"/>
      <c r="E23" s="11"/>
      <c r="F23" s="267"/>
      <c r="G23" s="267"/>
      <c r="H23" s="166"/>
      <c r="I23" s="391"/>
      <c r="J23" s="267"/>
      <c r="K23" s="267"/>
      <c r="L23" s="166"/>
      <c r="M23" s="23"/>
    </row>
    <row r="24" spans="1:14" ht="15.75" x14ac:dyDescent="0.2">
      <c r="A24" s="545" t="s">
        <v>345</v>
      </c>
      <c r="B24" s="258"/>
      <c r="C24" s="258"/>
      <c r="D24" s="166"/>
      <c r="E24" s="11"/>
      <c r="F24" s="267"/>
      <c r="G24" s="267"/>
      <c r="H24" s="166"/>
      <c r="I24" s="391"/>
      <c r="J24" s="267"/>
      <c r="K24" s="267"/>
      <c r="L24" s="166"/>
      <c r="M24" s="23"/>
    </row>
    <row r="25" spans="1:14" ht="15.75" x14ac:dyDescent="0.2">
      <c r="A25" s="545" t="s">
        <v>346</v>
      </c>
      <c r="B25" s="258"/>
      <c r="C25" s="258"/>
      <c r="D25" s="166"/>
      <c r="E25" s="11"/>
      <c r="F25" s="267"/>
      <c r="G25" s="267"/>
      <c r="H25" s="166"/>
      <c r="I25" s="391"/>
      <c r="J25" s="267"/>
      <c r="K25" s="267"/>
      <c r="L25" s="166"/>
      <c r="M25" s="23"/>
    </row>
    <row r="26" spans="1:14" ht="15.75" x14ac:dyDescent="0.2">
      <c r="A26" s="545" t="s">
        <v>347</v>
      </c>
      <c r="B26" s="258"/>
      <c r="C26" s="258"/>
      <c r="D26" s="166"/>
      <c r="E26" s="11"/>
      <c r="F26" s="267"/>
      <c r="G26" s="267"/>
      <c r="H26" s="166"/>
      <c r="I26" s="391"/>
      <c r="J26" s="267"/>
      <c r="K26" s="267"/>
      <c r="L26" s="166"/>
      <c r="M26" s="23"/>
    </row>
    <row r="27" spans="1:14" x14ac:dyDescent="0.2">
      <c r="A27" s="545" t="s">
        <v>11</v>
      </c>
      <c r="B27" s="258"/>
      <c r="C27" s="258"/>
      <c r="D27" s="166"/>
      <c r="E27" s="11"/>
      <c r="F27" s="267"/>
      <c r="G27" s="267"/>
      <c r="H27" s="166"/>
      <c r="I27" s="391"/>
      <c r="J27" s="267"/>
      <c r="K27" s="267"/>
      <c r="L27" s="166"/>
      <c r="M27" s="23"/>
    </row>
    <row r="28" spans="1:14" ht="15.75" x14ac:dyDescent="0.2">
      <c r="A28" s="49" t="s">
        <v>252</v>
      </c>
      <c r="B28" s="44"/>
      <c r="C28" s="264"/>
      <c r="D28" s="166"/>
      <c r="E28" s="11"/>
      <c r="F28" s="211"/>
      <c r="G28" s="264"/>
      <c r="H28" s="166"/>
      <c r="I28" s="27"/>
      <c r="J28" s="44"/>
      <c r="K28" s="44"/>
      <c r="L28" s="231"/>
      <c r="M28" s="23"/>
    </row>
    <row r="29" spans="1:14" s="3" customFormat="1" ht="15.75" x14ac:dyDescent="0.2">
      <c r="A29" s="13" t="s">
        <v>341</v>
      </c>
      <c r="B29" s="213"/>
      <c r="C29" s="213"/>
      <c r="D29" s="171"/>
      <c r="E29" s="11"/>
      <c r="F29" s="284"/>
      <c r="G29" s="284"/>
      <c r="H29" s="171"/>
      <c r="I29" s="11"/>
      <c r="J29" s="213"/>
      <c r="K29" s="213"/>
      <c r="L29" s="402"/>
      <c r="M29" s="24"/>
      <c r="N29" s="148"/>
    </row>
    <row r="30" spans="1:14" s="3" customFormat="1" ht="15.75" x14ac:dyDescent="0.2">
      <c r="A30" s="545" t="s">
        <v>344</v>
      </c>
      <c r="B30" s="258"/>
      <c r="C30" s="258"/>
      <c r="D30" s="166"/>
      <c r="E30" s="11"/>
      <c r="F30" s="267"/>
      <c r="G30" s="267"/>
      <c r="H30" s="166"/>
      <c r="I30" s="391"/>
      <c r="J30" s="267"/>
      <c r="K30" s="267"/>
      <c r="L30" s="166"/>
      <c r="M30" s="23"/>
      <c r="N30" s="148"/>
    </row>
    <row r="31" spans="1:14" s="3" customFormat="1" ht="15.75" x14ac:dyDescent="0.2">
      <c r="A31" s="545" t="s">
        <v>345</v>
      </c>
      <c r="B31" s="258"/>
      <c r="C31" s="258"/>
      <c r="D31" s="166"/>
      <c r="E31" s="11"/>
      <c r="F31" s="267"/>
      <c r="G31" s="267"/>
      <c r="H31" s="166"/>
      <c r="I31" s="391"/>
      <c r="J31" s="267"/>
      <c r="K31" s="267"/>
      <c r="L31" s="166"/>
      <c r="M31" s="23"/>
      <c r="N31" s="148"/>
    </row>
    <row r="32" spans="1:14" ht="15.75" x14ac:dyDescent="0.2">
      <c r="A32" s="545" t="s">
        <v>346</v>
      </c>
      <c r="B32" s="258"/>
      <c r="C32" s="258"/>
      <c r="D32" s="166"/>
      <c r="E32" s="11"/>
      <c r="F32" s="267"/>
      <c r="G32" s="267"/>
      <c r="H32" s="166"/>
      <c r="I32" s="391"/>
      <c r="J32" s="267"/>
      <c r="K32" s="267"/>
      <c r="L32" s="166"/>
      <c r="M32" s="23"/>
    </row>
    <row r="33" spans="1:14" ht="15.75" x14ac:dyDescent="0.2">
      <c r="A33" s="545" t="s">
        <v>347</v>
      </c>
      <c r="B33" s="258"/>
      <c r="C33" s="258"/>
      <c r="D33" s="166"/>
      <c r="E33" s="11"/>
      <c r="F33" s="267"/>
      <c r="G33" s="267"/>
      <c r="H33" s="166"/>
      <c r="I33" s="391"/>
      <c r="J33" s="267"/>
      <c r="K33" s="267"/>
      <c r="L33" s="166"/>
      <c r="M33" s="23"/>
    </row>
    <row r="34" spans="1:14" ht="15.75" x14ac:dyDescent="0.2">
      <c r="A34" s="13" t="s">
        <v>342</v>
      </c>
      <c r="B34" s="213"/>
      <c r="C34" s="285"/>
      <c r="D34" s="171"/>
      <c r="E34" s="11"/>
      <c r="F34" s="284"/>
      <c r="G34" s="285"/>
      <c r="H34" s="171"/>
      <c r="I34" s="11"/>
      <c r="J34" s="213"/>
      <c r="K34" s="213"/>
      <c r="L34" s="402"/>
      <c r="M34" s="24"/>
    </row>
    <row r="35" spans="1:14" ht="15.75" x14ac:dyDescent="0.2">
      <c r="A35" s="13" t="s">
        <v>343</v>
      </c>
      <c r="B35" s="213"/>
      <c r="C35" s="285"/>
      <c r="D35" s="171"/>
      <c r="E35" s="11"/>
      <c r="F35" s="284"/>
      <c r="G35" s="285"/>
      <c r="H35" s="171"/>
      <c r="I35" s="11"/>
      <c r="J35" s="213"/>
      <c r="K35" s="213"/>
      <c r="L35" s="402"/>
      <c r="M35" s="24"/>
    </row>
    <row r="36" spans="1:14" ht="15.75" x14ac:dyDescent="0.2">
      <c r="A36" s="12" t="s">
        <v>260</v>
      </c>
      <c r="B36" s="213"/>
      <c r="C36" s="285"/>
      <c r="D36" s="171"/>
      <c r="E36" s="11"/>
      <c r="F36" s="295"/>
      <c r="G36" s="296"/>
      <c r="H36" s="171"/>
      <c r="I36" s="408"/>
      <c r="J36" s="213"/>
      <c r="K36" s="213"/>
      <c r="L36" s="402"/>
      <c r="M36" s="24"/>
    </row>
    <row r="37" spans="1:14" ht="15.75" x14ac:dyDescent="0.2">
      <c r="A37" s="12" t="s">
        <v>349</v>
      </c>
      <c r="B37" s="213"/>
      <c r="C37" s="285"/>
      <c r="D37" s="171"/>
      <c r="E37" s="11"/>
      <c r="F37" s="295"/>
      <c r="G37" s="297"/>
      <c r="H37" s="171"/>
      <c r="I37" s="408"/>
      <c r="J37" s="213"/>
      <c r="K37" s="213"/>
      <c r="L37" s="402"/>
      <c r="M37" s="24"/>
    </row>
    <row r="38" spans="1:14" ht="15.75" x14ac:dyDescent="0.2">
      <c r="A38" s="12" t="s">
        <v>350</v>
      </c>
      <c r="B38" s="213"/>
      <c r="C38" s="285"/>
      <c r="D38" s="171"/>
      <c r="E38" s="24"/>
      <c r="F38" s="295"/>
      <c r="G38" s="296"/>
      <c r="H38" s="171"/>
      <c r="I38" s="408"/>
      <c r="J38" s="213"/>
      <c r="K38" s="213"/>
      <c r="L38" s="402"/>
      <c r="M38" s="24"/>
    </row>
    <row r="39" spans="1:14" ht="15.75" x14ac:dyDescent="0.2">
      <c r="A39" s="18" t="s">
        <v>351</v>
      </c>
      <c r="B39" s="253"/>
      <c r="C39" s="291"/>
      <c r="D39" s="169"/>
      <c r="E39" s="36"/>
      <c r="F39" s="298"/>
      <c r="G39" s="299"/>
      <c r="H39" s="169"/>
      <c r="I39" s="36"/>
      <c r="J39" s="213"/>
      <c r="K39" s="213"/>
      <c r="L39" s="403"/>
      <c r="M39" s="36"/>
    </row>
    <row r="40" spans="1:14" ht="15.75" x14ac:dyDescent="0.25">
      <c r="A40" s="47"/>
      <c r="B40" s="230"/>
      <c r="C40" s="230"/>
      <c r="D40" s="698"/>
      <c r="E40" s="698"/>
      <c r="F40" s="698"/>
      <c r="G40" s="698"/>
      <c r="H40" s="698"/>
      <c r="I40" s="698"/>
      <c r="J40" s="698"/>
      <c r="K40" s="698"/>
      <c r="L40" s="698"/>
      <c r="M40" s="278"/>
    </row>
    <row r="41" spans="1:14" x14ac:dyDescent="0.2">
      <c r="A41" s="155"/>
    </row>
    <row r="42" spans="1:14" ht="15.75" x14ac:dyDescent="0.25">
      <c r="A42" s="147" t="s">
        <v>249</v>
      </c>
      <c r="B42" s="699"/>
      <c r="C42" s="699"/>
      <c r="D42" s="699"/>
      <c r="E42" s="275"/>
      <c r="F42" s="700"/>
      <c r="G42" s="700"/>
      <c r="H42" s="700"/>
      <c r="I42" s="278"/>
      <c r="J42" s="700"/>
      <c r="K42" s="700"/>
      <c r="L42" s="700"/>
      <c r="M42" s="278"/>
    </row>
    <row r="43" spans="1:14" ht="15.75" x14ac:dyDescent="0.25">
      <c r="A43" s="163"/>
      <c r="B43" s="279"/>
      <c r="C43" s="279"/>
      <c r="D43" s="279"/>
      <c r="E43" s="279"/>
      <c r="F43" s="278"/>
      <c r="G43" s="278"/>
      <c r="H43" s="278"/>
      <c r="I43" s="278"/>
      <c r="J43" s="278"/>
      <c r="K43" s="278"/>
      <c r="L43" s="278"/>
      <c r="M43" s="278"/>
    </row>
    <row r="44" spans="1:14" ht="15.75" x14ac:dyDescent="0.25">
      <c r="A44" s="224"/>
      <c r="B44" s="695" t="s">
        <v>0</v>
      </c>
      <c r="C44" s="696"/>
      <c r="D44" s="696"/>
      <c r="E44" s="220"/>
      <c r="F44" s="278"/>
      <c r="G44" s="278"/>
      <c r="H44" s="278"/>
      <c r="I44" s="278"/>
      <c r="J44" s="278"/>
      <c r="K44" s="278"/>
      <c r="L44" s="278"/>
      <c r="M44" s="278"/>
    </row>
    <row r="45" spans="1:14" s="3" customFormat="1" x14ac:dyDescent="0.2">
      <c r="A45" s="140"/>
      <c r="B45" s="152" t="s">
        <v>412</v>
      </c>
      <c r="C45" s="152" t="s">
        <v>413</v>
      </c>
      <c r="D45" s="162" t="s">
        <v>3</v>
      </c>
      <c r="E45" s="162" t="s">
        <v>29</v>
      </c>
      <c r="F45" s="174"/>
      <c r="G45" s="174"/>
      <c r="H45" s="173"/>
      <c r="I45" s="173"/>
      <c r="J45" s="174"/>
      <c r="K45" s="174"/>
      <c r="L45" s="173"/>
      <c r="M45" s="173"/>
      <c r="N45" s="148"/>
    </row>
    <row r="46" spans="1:14" s="3" customFormat="1" x14ac:dyDescent="0.2">
      <c r="A46" s="662"/>
      <c r="B46" s="221"/>
      <c r="C46" s="221"/>
      <c r="D46" s="222" t="s">
        <v>4</v>
      </c>
      <c r="E46" s="156" t="s">
        <v>30</v>
      </c>
      <c r="F46" s="173"/>
      <c r="G46" s="173"/>
      <c r="H46" s="173"/>
      <c r="I46" s="173"/>
      <c r="J46" s="173"/>
      <c r="K46" s="173"/>
      <c r="L46" s="173"/>
      <c r="M46" s="173"/>
      <c r="N46" s="148"/>
    </row>
    <row r="47" spans="1:14" s="3" customFormat="1" ht="15.75" x14ac:dyDescent="0.2">
      <c r="A47" s="14" t="s">
        <v>23</v>
      </c>
      <c r="B47" s="286">
        <v>30906</v>
      </c>
      <c r="C47" s="287">
        <v>32788</v>
      </c>
      <c r="D47" s="401">
        <f t="shared" ref="D47:D57" si="0">IF(B47=0, "    ---- ", IF(ABS(ROUND(100/B47*C47-100,1))&lt;999,ROUND(100/B47*C47-100,1),IF(ROUND(100/B47*C47-100,1)&gt;999,999,-999)))</f>
        <v>6.1</v>
      </c>
      <c r="E47" s="11">
        <f>IFERROR(100/'Skjema total MA'!C47*C47,0)</f>
        <v>1.0364241128223592</v>
      </c>
      <c r="F47" s="145"/>
      <c r="G47" s="33"/>
      <c r="H47" s="159"/>
      <c r="I47" s="159"/>
      <c r="J47" s="37"/>
      <c r="K47" s="37"/>
      <c r="L47" s="159"/>
      <c r="M47" s="159"/>
      <c r="N47" s="148"/>
    </row>
    <row r="48" spans="1:14" s="3" customFormat="1" ht="15.75" x14ac:dyDescent="0.2">
      <c r="A48" s="38" t="s">
        <v>352</v>
      </c>
      <c r="B48" s="258">
        <v>30906</v>
      </c>
      <c r="C48" s="259">
        <v>32788</v>
      </c>
      <c r="D48" s="231">
        <f t="shared" si="0"/>
        <v>6.1</v>
      </c>
      <c r="E48" s="27">
        <f>IFERROR(100/'Skjema total MA'!C48*C48,0)</f>
        <v>1.9115348127715883</v>
      </c>
      <c r="F48" s="145"/>
      <c r="G48" s="33"/>
      <c r="H48" s="145"/>
      <c r="I48" s="145"/>
      <c r="J48" s="33"/>
      <c r="K48" s="33"/>
      <c r="L48" s="159"/>
      <c r="M48" s="159"/>
      <c r="N48" s="148"/>
    </row>
    <row r="49" spans="1:14" s="3" customFormat="1" ht="15.75" x14ac:dyDescent="0.2">
      <c r="A49" s="38" t="s">
        <v>353</v>
      </c>
      <c r="B49" s="44"/>
      <c r="C49" s="264"/>
      <c r="D49" s="231"/>
      <c r="E49" s="27"/>
      <c r="F49" s="145"/>
      <c r="G49" s="33"/>
      <c r="H49" s="145"/>
      <c r="I49" s="145"/>
      <c r="J49" s="37"/>
      <c r="K49" s="37"/>
      <c r="L49" s="159"/>
      <c r="M49" s="159"/>
      <c r="N49" s="148"/>
    </row>
    <row r="50" spans="1:14" s="3" customFormat="1" x14ac:dyDescent="0.2">
      <c r="A50" s="272" t="s">
        <v>6</v>
      </c>
      <c r="B50" s="295"/>
      <c r="C50" s="295"/>
      <c r="D50" s="231"/>
      <c r="E50" s="23"/>
      <c r="F50" s="145"/>
      <c r="G50" s="33"/>
      <c r="H50" s="145"/>
      <c r="I50" s="145"/>
      <c r="J50" s="33"/>
      <c r="K50" s="33"/>
      <c r="L50" s="159"/>
      <c r="M50" s="159"/>
      <c r="N50" s="148"/>
    </row>
    <row r="51" spans="1:14" s="3" customFormat="1" x14ac:dyDescent="0.2">
      <c r="A51" s="272" t="s">
        <v>7</v>
      </c>
      <c r="B51" s="295"/>
      <c r="C51" s="295"/>
      <c r="D51" s="231"/>
      <c r="E51" s="23"/>
      <c r="F51" s="145"/>
      <c r="G51" s="33"/>
      <c r="H51" s="145"/>
      <c r="I51" s="145"/>
      <c r="J51" s="33"/>
      <c r="K51" s="33"/>
      <c r="L51" s="159"/>
      <c r="M51" s="159"/>
      <c r="N51" s="148"/>
    </row>
    <row r="52" spans="1:14" s="3" customFormat="1" x14ac:dyDescent="0.2">
      <c r="A52" s="272" t="s">
        <v>8</v>
      </c>
      <c r="B52" s="295"/>
      <c r="C52" s="295"/>
      <c r="D52" s="231"/>
      <c r="E52" s="23"/>
      <c r="F52" s="145"/>
      <c r="G52" s="33"/>
      <c r="H52" s="145"/>
      <c r="I52" s="145"/>
      <c r="J52" s="33"/>
      <c r="K52" s="33"/>
      <c r="L52" s="159"/>
      <c r="M52" s="159"/>
      <c r="N52" s="148"/>
    </row>
    <row r="53" spans="1:14" s="3" customFormat="1" ht="15.75" x14ac:dyDescent="0.2">
      <c r="A53" s="39" t="s">
        <v>354</v>
      </c>
      <c r="B53" s="286">
        <v>7737</v>
      </c>
      <c r="C53" s="287">
        <v>2928</v>
      </c>
      <c r="D53" s="402">
        <f t="shared" si="0"/>
        <v>-62.2</v>
      </c>
      <c r="E53" s="11">
        <f>IFERROR(100/'Skjema total MA'!C53*C53,0)</f>
        <v>1.3330378076167648</v>
      </c>
      <c r="F53" s="145"/>
      <c r="G53" s="33"/>
      <c r="H53" s="145"/>
      <c r="I53" s="145"/>
      <c r="J53" s="33"/>
      <c r="K53" s="33"/>
      <c r="L53" s="159"/>
      <c r="M53" s="159"/>
      <c r="N53" s="148"/>
    </row>
    <row r="54" spans="1:14" s="3" customFormat="1" ht="15.75" x14ac:dyDescent="0.2">
      <c r="A54" s="38" t="s">
        <v>352</v>
      </c>
      <c r="B54" s="258">
        <v>7737</v>
      </c>
      <c r="C54" s="259">
        <v>2928</v>
      </c>
      <c r="D54" s="231">
        <f t="shared" si="0"/>
        <v>-62.2</v>
      </c>
      <c r="E54" s="27">
        <f>IFERROR(100/'Skjema total MA'!C54*C54,0)</f>
        <v>1.458251427949836</v>
      </c>
      <c r="F54" s="145"/>
      <c r="G54" s="33"/>
      <c r="H54" s="145"/>
      <c r="I54" s="145"/>
      <c r="J54" s="33"/>
      <c r="K54" s="33"/>
      <c r="L54" s="159"/>
      <c r="M54" s="159"/>
      <c r="N54" s="148"/>
    </row>
    <row r="55" spans="1:14" s="3" customFormat="1" ht="15.75" x14ac:dyDescent="0.2">
      <c r="A55" s="38" t="s">
        <v>353</v>
      </c>
      <c r="B55" s="258"/>
      <c r="C55" s="259"/>
      <c r="D55" s="231"/>
      <c r="E55" s="27"/>
      <c r="F55" s="145"/>
      <c r="G55" s="33"/>
      <c r="H55" s="145"/>
      <c r="I55" s="145"/>
      <c r="J55" s="33"/>
      <c r="K55" s="33"/>
      <c r="L55" s="159"/>
      <c r="M55" s="159"/>
      <c r="N55" s="148"/>
    </row>
    <row r="56" spans="1:14" s="3" customFormat="1" ht="15.75" x14ac:dyDescent="0.2">
      <c r="A56" s="39" t="s">
        <v>355</v>
      </c>
      <c r="B56" s="286">
        <v>67</v>
      </c>
      <c r="C56" s="287">
        <v>233</v>
      </c>
      <c r="D56" s="402">
        <f t="shared" si="0"/>
        <v>247.8</v>
      </c>
      <c r="E56" s="11">
        <f>IFERROR(100/'Skjema total MA'!C56*C56,0)</f>
        <v>0.49382518236720246</v>
      </c>
      <c r="F56" s="145"/>
      <c r="G56" s="33"/>
      <c r="H56" s="145"/>
      <c r="I56" s="145"/>
      <c r="J56" s="33"/>
      <c r="K56" s="33"/>
      <c r="L56" s="159"/>
      <c r="M56" s="159"/>
      <c r="N56" s="148"/>
    </row>
    <row r="57" spans="1:14" s="3" customFormat="1" ht="15.75" x14ac:dyDescent="0.2">
      <c r="A57" s="38" t="s">
        <v>352</v>
      </c>
      <c r="B57" s="258">
        <v>67</v>
      </c>
      <c r="C57" s="259">
        <v>233</v>
      </c>
      <c r="D57" s="231">
        <f t="shared" si="0"/>
        <v>247.8</v>
      </c>
      <c r="E57" s="27">
        <f>IFERROR(100/'Skjema total MA'!C57*C57,0)</f>
        <v>0.49382518236720246</v>
      </c>
      <c r="F57" s="145"/>
      <c r="G57" s="33"/>
      <c r="H57" s="145"/>
      <c r="I57" s="145"/>
      <c r="J57" s="33"/>
      <c r="K57" s="33"/>
      <c r="L57" s="159"/>
      <c r="M57" s="159"/>
      <c r="N57" s="148"/>
    </row>
    <row r="58" spans="1:14" s="3" customFormat="1" ht="15.75" x14ac:dyDescent="0.2">
      <c r="A58" s="46" t="s">
        <v>353</v>
      </c>
      <c r="B58" s="260"/>
      <c r="C58" s="261"/>
      <c r="D58" s="232"/>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250</v>
      </c>
      <c r="C61" s="26"/>
      <c r="D61" s="26"/>
      <c r="E61" s="26"/>
      <c r="F61" s="26"/>
      <c r="G61" s="26"/>
      <c r="H61" s="26"/>
      <c r="I61" s="26"/>
      <c r="J61" s="26"/>
      <c r="K61" s="26"/>
      <c r="L61" s="26"/>
      <c r="M61" s="26"/>
    </row>
    <row r="62" spans="1:14" ht="15.75" x14ac:dyDescent="0.25">
      <c r="B62" s="694"/>
      <c r="C62" s="694"/>
      <c r="D62" s="694"/>
      <c r="E62" s="275"/>
      <c r="F62" s="694"/>
      <c r="G62" s="694"/>
      <c r="H62" s="694"/>
      <c r="I62" s="275"/>
      <c r="J62" s="694"/>
      <c r="K62" s="694"/>
      <c r="L62" s="694"/>
      <c r="M62" s="275"/>
    </row>
    <row r="63" spans="1:14" x14ac:dyDescent="0.2">
      <c r="A63" s="144"/>
      <c r="B63" s="695" t="s">
        <v>0</v>
      </c>
      <c r="C63" s="696"/>
      <c r="D63" s="697"/>
      <c r="E63" s="276"/>
      <c r="F63" s="696" t="s">
        <v>1</v>
      </c>
      <c r="G63" s="696"/>
      <c r="H63" s="696"/>
      <c r="I63" s="280"/>
      <c r="J63" s="695" t="s">
        <v>2</v>
      </c>
      <c r="K63" s="696"/>
      <c r="L63" s="696"/>
      <c r="M63" s="280"/>
    </row>
    <row r="64" spans="1:14" x14ac:dyDescent="0.2">
      <c r="A64" s="140"/>
      <c r="B64" s="152" t="s">
        <v>412</v>
      </c>
      <c r="C64" s="152" t="s">
        <v>413</v>
      </c>
      <c r="D64" s="222" t="s">
        <v>3</v>
      </c>
      <c r="E64" s="281" t="s">
        <v>29</v>
      </c>
      <c r="F64" s="152" t="s">
        <v>412</v>
      </c>
      <c r="G64" s="152" t="s">
        <v>413</v>
      </c>
      <c r="H64" s="222" t="s">
        <v>3</v>
      </c>
      <c r="I64" s="281" t="s">
        <v>29</v>
      </c>
      <c r="J64" s="152" t="s">
        <v>412</v>
      </c>
      <c r="K64" s="152" t="s">
        <v>413</v>
      </c>
      <c r="L64" s="222" t="s">
        <v>3</v>
      </c>
      <c r="M64" s="162" t="s">
        <v>29</v>
      </c>
    </row>
    <row r="65" spans="1:14" x14ac:dyDescent="0.2">
      <c r="A65" s="662"/>
      <c r="B65" s="156"/>
      <c r="C65" s="156"/>
      <c r="D65" s="223" t="s">
        <v>4</v>
      </c>
      <c r="E65" s="156" t="s">
        <v>30</v>
      </c>
      <c r="F65" s="161"/>
      <c r="G65" s="161"/>
      <c r="H65" s="222" t="s">
        <v>4</v>
      </c>
      <c r="I65" s="156" t="s">
        <v>30</v>
      </c>
      <c r="J65" s="161"/>
      <c r="K65" s="203"/>
      <c r="L65" s="156" t="s">
        <v>4</v>
      </c>
      <c r="M65" s="156" t="s">
        <v>30</v>
      </c>
    </row>
    <row r="66" spans="1:14" ht="15.75" x14ac:dyDescent="0.2">
      <c r="A66" s="14" t="s">
        <v>23</v>
      </c>
      <c r="B66" s="329"/>
      <c r="C66" s="329"/>
      <c r="D66" s="326"/>
      <c r="E66" s="11"/>
      <c r="F66" s="328"/>
      <c r="G66" s="328"/>
      <c r="H66" s="326"/>
      <c r="I66" s="24"/>
      <c r="J66" s="159"/>
      <c r="K66" s="292"/>
      <c r="L66" s="402"/>
      <c r="M66" s="11"/>
    </row>
    <row r="67" spans="1:14" x14ac:dyDescent="0.2">
      <c r="A67" s="393" t="s">
        <v>9</v>
      </c>
      <c r="B67" s="44"/>
      <c r="C67" s="145"/>
      <c r="D67" s="166"/>
      <c r="E67" s="23"/>
      <c r="F67" s="211"/>
      <c r="G67" s="145"/>
      <c r="H67" s="166"/>
      <c r="I67" s="23"/>
      <c r="J67" s="145"/>
      <c r="K67" s="44"/>
      <c r="L67" s="231"/>
      <c r="M67" s="27"/>
    </row>
    <row r="68" spans="1:14" x14ac:dyDescent="0.2">
      <c r="A68" s="21" t="s">
        <v>10</v>
      </c>
      <c r="B68" s="268"/>
      <c r="C68" s="269"/>
      <c r="D68" s="166"/>
      <c r="E68" s="23"/>
      <c r="F68" s="268"/>
      <c r="G68" s="269"/>
      <c r="H68" s="166"/>
      <c r="I68" s="23"/>
      <c r="J68" s="145"/>
      <c r="K68" s="44"/>
      <c r="L68" s="231"/>
      <c r="M68" s="27"/>
    </row>
    <row r="69" spans="1:14" ht="15.75" x14ac:dyDescent="0.2">
      <c r="A69" s="272" t="s">
        <v>356</v>
      </c>
      <c r="B69" s="295"/>
      <c r="C69" s="295"/>
      <c r="D69" s="166"/>
      <c r="E69" s="23"/>
      <c r="F69" s="295"/>
      <c r="G69" s="295"/>
      <c r="H69" s="166"/>
      <c r="I69" s="23"/>
      <c r="J69" s="295"/>
      <c r="K69" s="295"/>
      <c r="L69" s="166"/>
      <c r="M69" s="23"/>
    </row>
    <row r="70" spans="1:14" x14ac:dyDescent="0.2">
      <c r="A70" s="272" t="s">
        <v>12</v>
      </c>
      <c r="B70" s="270"/>
      <c r="C70" s="271"/>
      <c r="D70" s="166"/>
      <c r="E70" s="23"/>
      <c r="F70" s="270"/>
      <c r="G70" s="271"/>
      <c r="H70" s="166"/>
      <c r="I70" s="23"/>
      <c r="J70" s="270"/>
      <c r="K70" s="271"/>
      <c r="L70" s="166"/>
      <c r="M70" s="23"/>
    </row>
    <row r="71" spans="1:14" x14ac:dyDescent="0.2">
      <c r="A71" s="272" t="s">
        <v>13</v>
      </c>
      <c r="B71" s="212"/>
      <c r="C71" s="266"/>
      <c r="D71" s="166"/>
      <c r="E71" s="23"/>
      <c r="F71" s="212"/>
      <c r="G71" s="266"/>
      <c r="H71" s="166"/>
      <c r="I71" s="23"/>
      <c r="J71" s="212"/>
      <c r="K71" s="266"/>
      <c r="L71" s="166"/>
      <c r="M71" s="23"/>
    </row>
    <row r="72" spans="1:14" ht="15.75" x14ac:dyDescent="0.2">
      <c r="A72" s="272" t="s">
        <v>357</v>
      </c>
      <c r="B72" s="295"/>
      <c r="C72" s="295"/>
      <c r="D72" s="166"/>
      <c r="E72" s="23"/>
      <c r="F72" s="295"/>
      <c r="G72" s="295"/>
      <c r="H72" s="166"/>
      <c r="I72" s="23"/>
      <c r="J72" s="295"/>
      <c r="K72" s="295"/>
      <c r="L72" s="166"/>
      <c r="M72" s="23"/>
    </row>
    <row r="73" spans="1:14" x14ac:dyDescent="0.2">
      <c r="A73" s="272" t="s">
        <v>12</v>
      </c>
      <c r="B73" s="212"/>
      <c r="C73" s="266"/>
      <c r="D73" s="166"/>
      <c r="E73" s="23"/>
      <c r="F73" s="212"/>
      <c r="G73" s="266"/>
      <c r="H73" s="166"/>
      <c r="I73" s="23"/>
      <c r="J73" s="212"/>
      <c r="K73" s="266"/>
      <c r="L73" s="166"/>
      <c r="M73" s="23"/>
    </row>
    <row r="74" spans="1:14" s="3" customFormat="1" x14ac:dyDescent="0.2">
      <c r="A74" s="272" t="s">
        <v>13</v>
      </c>
      <c r="B74" s="212"/>
      <c r="C74" s="266"/>
      <c r="D74" s="166"/>
      <c r="E74" s="23"/>
      <c r="F74" s="212"/>
      <c r="G74" s="266"/>
      <c r="H74" s="166"/>
      <c r="I74" s="23"/>
      <c r="J74" s="212"/>
      <c r="K74" s="266"/>
      <c r="L74" s="166"/>
      <c r="M74" s="23"/>
      <c r="N74" s="148"/>
    </row>
    <row r="75" spans="1:14" s="3" customFormat="1" x14ac:dyDescent="0.2">
      <c r="A75" s="21" t="s">
        <v>326</v>
      </c>
      <c r="B75" s="211"/>
      <c r="C75" s="145"/>
      <c r="D75" s="166"/>
      <c r="E75" s="23"/>
      <c r="F75" s="211"/>
      <c r="G75" s="145"/>
      <c r="H75" s="166"/>
      <c r="I75" s="23"/>
      <c r="J75" s="145"/>
      <c r="K75" s="44"/>
      <c r="L75" s="231"/>
      <c r="M75" s="27"/>
      <c r="N75" s="148"/>
    </row>
    <row r="76" spans="1:14" s="3" customFormat="1" x14ac:dyDescent="0.2">
      <c r="A76" s="21" t="s">
        <v>325</v>
      </c>
      <c r="B76" s="211"/>
      <c r="C76" s="145"/>
      <c r="D76" s="166"/>
      <c r="E76" s="23"/>
      <c r="F76" s="211"/>
      <c r="G76" s="145"/>
      <c r="H76" s="166"/>
      <c r="I76" s="23"/>
      <c r="J76" s="145"/>
      <c r="K76" s="44"/>
      <c r="L76" s="231"/>
      <c r="M76" s="27"/>
      <c r="N76" s="148"/>
    </row>
    <row r="77" spans="1:14" ht="15.75" x14ac:dyDescent="0.2">
      <c r="A77" s="21" t="s">
        <v>358</v>
      </c>
      <c r="B77" s="211"/>
      <c r="C77" s="211"/>
      <c r="D77" s="166"/>
      <c r="E77" s="23"/>
      <c r="F77" s="211"/>
      <c r="G77" s="145"/>
      <c r="H77" s="166"/>
      <c r="I77" s="23"/>
      <c r="J77" s="145"/>
      <c r="K77" s="44"/>
      <c r="L77" s="231"/>
      <c r="M77" s="27"/>
    </row>
    <row r="78" spans="1:14" x14ac:dyDescent="0.2">
      <c r="A78" s="21" t="s">
        <v>9</v>
      </c>
      <c r="B78" s="211"/>
      <c r="C78" s="145"/>
      <c r="D78" s="166"/>
      <c r="E78" s="23"/>
      <c r="F78" s="211"/>
      <c r="G78" s="145"/>
      <c r="H78" s="166"/>
      <c r="I78" s="23"/>
      <c r="J78" s="145"/>
      <c r="K78" s="44"/>
      <c r="L78" s="231"/>
      <c r="M78" s="27"/>
    </row>
    <row r="79" spans="1:14" x14ac:dyDescent="0.2">
      <c r="A79" s="38" t="s">
        <v>398</v>
      </c>
      <c r="B79" s="268"/>
      <c r="C79" s="269"/>
      <c r="D79" s="166"/>
      <c r="E79" s="23"/>
      <c r="F79" s="268"/>
      <c r="G79" s="269"/>
      <c r="H79" s="166"/>
      <c r="I79" s="23"/>
      <c r="J79" s="145"/>
      <c r="K79" s="44"/>
      <c r="L79" s="231"/>
      <c r="M79" s="27"/>
    </row>
    <row r="80" spans="1:14" ht="15.75" x14ac:dyDescent="0.2">
      <c r="A80" s="272" t="s">
        <v>356</v>
      </c>
      <c r="B80" s="295"/>
      <c r="C80" s="295"/>
      <c r="D80" s="166"/>
      <c r="E80" s="23"/>
      <c r="F80" s="295"/>
      <c r="G80" s="295"/>
      <c r="H80" s="166"/>
      <c r="I80" s="23"/>
      <c r="J80" s="295"/>
      <c r="K80" s="295"/>
      <c r="L80" s="166"/>
      <c r="M80" s="23"/>
    </row>
    <row r="81" spans="1:13" x14ac:dyDescent="0.2">
      <c r="A81" s="272" t="s">
        <v>12</v>
      </c>
      <c r="B81" s="295"/>
      <c r="C81" s="295"/>
      <c r="D81" s="166"/>
      <c r="E81" s="23"/>
      <c r="F81" s="270"/>
      <c r="G81" s="271"/>
      <c r="H81" s="166"/>
      <c r="I81" s="23"/>
      <c r="J81" s="270"/>
      <c r="K81" s="271"/>
      <c r="L81" s="166"/>
      <c r="M81" s="23"/>
    </row>
    <row r="82" spans="1:13" x14ac:dyDescent="0.2">
      <c r="A82" s="272" t="s">
        <v>13</v>
      </c>
      <c r="B82" s="295"/>
      <c r="C82" s="295"/>
      <c r="D82" s="166"/>
      <c r="E82" s="23"/>
      <c r="F82" s="212"/>
      <c r="G82" s="266"/>
      <c r="H82" s="166"/>
      <c r="I82" s="23"/>
      <c r="J82" s="212"/>
      <c r="K82" s="266"/>
      <c r="L82" s="166"/>
      <c r="M82" s="23"/>
    </row>
    <row r="83" spans="1:13" ht="15.75" x14ac:dyDescent="0.2">
      <c r="A83" s="272" t="s">
        <v>357</v>
      </c>
      <c r="B83" s="295"/>
      <c r="C83" s="295"/>
      <c r="D83" s="166"/>
      <c r="E83" s="23"/>
      <c r="F83" s="295"/>
      <c r="G83" s="295"/>
      <c r="H83" s="166"/>
      <c r="I83" s="23"/>
      <c r="J83" s="295"/>
      <c r="K83" s="295"/>
      <c r="L83" s="166"/>
      <c r="M83" s="23"/>
    </row>
    <row r="84" spans="1:13" x14ac:dyDescent="0.2">
      <c r="A84" s="272" t="s">
        <v>12</v>
      </c>
      <c r="B84" s="212"/>
      <c r="C84" s="266"/>
      <c r="D84" s="166"/>
      <c r="E84" s="23"/>
      <c r="F84" s="212"/>
      <c r="G84" s="266"/>
      <c r="H84" s="166"/>
      <c r="I84" s="23"/>
      <c r="J84" s="212"/>
      <c r="K84" s="266"/>
      <c r="L84" s="166"/>
      <c r="M84" s="23"/>
    </row>
    <row r="85" spans="1:13" x14ac:dyDescent="0.2">
      <c r="A85" s="272" t="s">
        <v>13</v>
      </c>
      <c r="B85" s="212"/>
      <c r="C85" s="266"/>
      <c r="D85" s="166"/>
      <c r="E85" s="23"/>
      <c r="F85" s="212"/>
      <c r="G85" s="266"/>
      <c r="H85" s="166"/>
      <c r="I85" s="23"/>
      <c r="J85" s="212"/>
      <c r="K85" s="266"/>
      <c r="L85" s="166"/>
      <c r="M85" s="23"/>
    </row>
    <row r="86" spans="1:13" ht="15.75" x14ac:dyDescent="0.2">
      <c r="A86" s="21" t="s">
        <v>359</v>
      </c>
      <c r="B86" s="211"/>
      <c r="C86" s="145"/>
      <c r="D86" s="166"/>
      <c r="E86" s="23"/>
      <c r="F86" s="211"/>
      <c r="G86" s="145"/>
      <c r="H86" s="166"/>
      <c r="I86" s="23"/>
      <c r="J86" s="145"/>
      <c r="K86" s="44"/>
      <c r="L86" s="231"/>
      <c r="M86" s="27"/>
    </row>
    <row r="87" spans="1:13" ht="15.75" x14ac:dyDescent="0.2">
      <c r="A87" s="13" t="s">
        <v>341</v>
      </c>
      <c r="B87" s="329"/>
      <c r="C87" s="329"/>
      <c r="D87" s="171"/>
      <c r="E87" s="24"/>
      <c r="F87" s="328"/>
      <c r="G87" s="328"/>
      <c r="H87" s="171"/>
      <c r="I87" s="24"/>
      <c r="J87" s="159"/>
      <c r="K87" s="213"/>
      <c r="L87" s="402"/>
      <c r="M87" s="11"/>
    </row>
    <row r="88" spans="1:13" x14ac:dyDescent="0.2">
      <c r="A88" s="21" t="s">
        <v>9</v>
      </c>
      <c r="B88" s="211"/>
      <c r="C88" s="145"/>
      <c r="D88" s="166"/>
      <c r="E88" s="23"/>
      <c r="F88" s="211"/>
      <c r="G88" s="145"/>
      <c r="H88" s="166"/>
      <c r="I88" s="23"/>
      <c r="J88" s="145"/>
      <c r="K88" s="44"/>
      <c r="L88" s="231"/>
      <c r="M88" s="27"/>
    </row>
    <row r="89" spans="1:13" x14ac:dyDescent="0.2">
      <c r="A89" s="21" t="s">
        <v>10</v>
      </c>
      <c r="B89" s="211"/>
      <c r="C89" s="145"/>
      <c r="D89" s="166"/>
      <c r="E89" s="23"/>
      <c r="F89" s="211"/>
      <c r="G89" s="145"/>
      <c r="H89" s="166"/>
      <c r="I89" s="23"/>
      <c r="J89" s="145"/>
      <c r="K89" s="44"/>
      <c r="L89" s="231"/>
      <c r="M89" s="27"/>
    </row>
    <row r="90" spans="1:13" ht="15.75" x14ac:dyDescent="0.2">
      <c r="A90" s="272" t="s">
        <v>356</v>
      </c>
      <c r="B90" s="295"/>
      <c r="C90" s="295"/>
      <c r="D90" s="166"/>
      <c r="E90" s="23"/>
      <c r="F90" s="295"/>
      <c r="G90" s="295"/>
      <c r="H90" s="166"/>
      <c r="I90" s="23"/>
      <c r="J90" s="295"/>
      <c r="K90" s="295"/>
      <c r="L90" s="166"/>
      <c r="M90" s="23"/>
    </row>
    <row r="91" spans="1:13" x14ac:dyDescent="0.2">
      <c r="A91" s="272" t="s">
        <v>12</v>
      </c>
      <c r="B91" s="295"/>
      <c r="C91" s="295"/>
      <c r="D91" s="166"/>
      <c r="E91" s="23"/>
      <c r="F91" s="270"/>
      <c r="G91" s="271"/>
      <c r="H91" s="166"/>
      <c r="I91" s="23"/>
      <c r="J91" s="270"/>
      <c r="K91" s="271"/>
      <c r="L91" s="166"/>
      <c r="M91" s="23"/>
    </row>
    <row r="92" spans="1:13" x14ac:dyDescent="0.2">
      <c r="A92" s="272" t="s">
        <v>13</v>
      </c>
      <c r="B92" s="295"/>
      <c r="C92" s="295"/>
      <c r="D92" s="166"/>
      <c r="E92" s="23"/>
      <c r="F92" s="212"/>
      <c r="G92" s="266"/>
      <c r="H92" s="166"/>
      <c r="I92" s="23"/>
      <c r="J92" s="212"/>
      <c r="K92" s="266"/>
      <c r="L92" s="166"/>
      <c r="M92" s="23"/>
    </row>
    <row r="93" spans="1:13" ht="15.75" x14ac:dyDescent="0.2">
      <c r="A93" s="272" t="s">
        <v>357</v>
      </c>
      <c r="B93" s="295"/>
      <c r="C93" s="295"/>
      <c r="D93" s="166"/>
      <c r="E93" s="23"/>
      <c r="F93" s="295"/>
      <c r="G93" s="295"/>
      <c r="H93" s="166"/>
      <c r="I93" s="23"/>
      <c r="J93" s="295"/>
      <c r="K93" s="295"/>
      <c r="L93" s="166"/>
      <c r="M93" s="23"/>
    </row>
    <row r="94" spans="1:13" x14ac:dyDescent="0.2">
      <c r="A94" s="272" t="s">
        <v>12</v>
      </c>
      <c r="B94" s="212"/>
      <c r="C94" s="266"/>
      <c r="D94" s="166"/>
      <c r="E94" s="23"/>
      <c r="F94" s="212"/>
      <c r="G94" s="266"/>
      <c r="H94" s="166"/>
      <c r="I94" s="23"/>
      <c r="J94" s="212"/>
      <c r="K94" s="266"/>
      <c r="L94" s="166"/>
      <c r="M94" s="23"/>
    </row>
    <row r="95" spans="1:13" x14ac:dyDescent="0.2">
      <c r="A95" s="272" t="s">
        <v>13</v>
      </c>
      <c r="B95" s="212"/>
      <c r="C95" s="266"/>
      <c r="D95" s="166"/>
      <c r="E95" s="23"/>
      <c r="F95" s="212"/>
      <c r="G95" s="266"/>
      <c r="H95" s="166"/>
      <c r="I95" s="23"/>
      <c r="J95" s="212"/>
      <c r="K95" s="266"/>
      <c r="L95" s="166"/>
      <c r="M95" s="23"/>
    </row>
    <row r="96" spans="1:13" x14ac:dyDescent="0.2">
      <c r="A96" s="21" t="s">
        <v>324</v>
      </c>
      <c r="B96" s="211"/>
      <c r="C96" s="145"/>
      <c r="D96" s="166"/>
      <c r="E96" s="23"/>
      <c r="F96" s="211"/>
      <c r="G96" s="145"/>
      <c r="H96" s="166"/>
      <c r="I96" s="23"/>
      <c r="J96" s="145"/>
      <c r="K96" s="44"/>
      <c r="L96" s="231"/>
      <c r="M96" s="27"/>
    </row>
    <row r="97" spans="1:13" x14ac:dyDescent="0.2">
      <c r="A97" s="21" t="s">
        <v>323</v>
      </c>
      <c r="B97" s="211"/>
      <c r="C97" s="145"/>
      <c r="D97" s="166"/>
      <c r="E97" s="23"/>
      <c r="F97" s="211"/>
      <c r="G97" s="145"/>
      <c r="H97" s="166"/>
      <c r="I97" s="23"/>
      <c r="J97" s="145"/>
      <c r="K97" s="44"/>
      <c r="L97" s="231"/>
      <c r="M97" s="27"/>
    </row>
    <row r="98" spans="1:13" ht="15.75" x14ac:dyDescent="0.2">
      <c r="A98" s="21" t="s">
        <v>358</v>
      </c>
      <c r="B98" s="211"/>
      <c r="C98" s="211"/>
      <c r="D98" s="166"/>
      <c r="E98" s="23"/>
      <c r="F98" s="268"/>
      <c r="G98" s="268"/>
      <c r="H98" s="166"/>
      <c r="I98" s="23"/>
      <c r="J98" s="145"/>
      <c r="K98" s="44"/>
      <c r="L98" s="231"/>
      <c r="M98" s="27"/>
    </row>
    <row r="99" spans="1:13" x14ac:dyDescent="0.2">
      <c r="A99" s="21" t="s">
        <v>9</v>
      </c>
      <c r="B99" s="268"/>
      <c r="C99" s="269"/>
      <c r="D99" s="166"/>
      <c r="E99" s="23"/>
      <c r="F99" s="211"/>
      <c r="G99" s="145"/>
      <c r="H99" s="166"/>
      <c r="I99" s="23"/>
      <c r="J99" s="145"/>
      <c r="K99" s="44"/>
      <c r="L99" s="231"/>
      <c r="M99" s="27"/>
    </row>
    <row r="100" spans="1:13" ht="15.75" x14ac:dyDescent="0.2">
      <c r="A100" s="38" t="s">
        <v>399</v>
      </c>
      <c r="B100" s="268"/>
      <c r="C100" s="269"/>
      <c r="D100" s="166"/>
      <c r="E100" s="23"/>
      <c r="F100" s="211"/>
      <c r="G100" s="211"/>
      <c r="H100" s="166"/>
      <c r="I100" s="23"/>
      <c r="J100" s="145"/>
      <c r="K100" s="44"/>
      <c r="L100" s="231"/>
      <c r="M100" s="27"/>
    </row>
    <row r="101" spans="1:13" ht="15.75" x14ac:dyDescent="0.2">
      <c r="A101" s="38" t="s">
        <v>400</v>
      </c>
      <c r="B101" s="268"/>
      <c r="C101" s="268"/>
      <c r="D101" s="166"/>
      <c r="E101" s="23"/>
      <c r="F101" s="268"/>
      <c r="G101" s="268"/>
      <c r="H101" s="166"/>
      <c r="I101" s="23"/>
      <c r="J101" s="145"/>
      <c r="K101" s="44"/>
      <c r="L101" s="231"/>
      <c r="M101" s="27"/>
    </row>
    <row r="102" spans="1:13" ht="15.75" x14ac:dyDescent="0.2">
      <c r="A102" s="272" t="s">
        <v>356</v>
      </c>
      <c r="B102" s="295"/>
      <c r="C102" s="295"/>
      <c r="D102" s="166"/>
      <c r="E102" s="23"/>
      <c r="F102" s="295"/>
      <c r="G102" s="295"/>
      <c r="H102" s="166"/>
      <c r="I102" s="23"/>
      <c r="J102" s="295"/>
      <c r="K102" s="295"/>
      <c r="L102" s="166"/>
      <c r="M102" s="23"/>
    </row>
    <row r="103" spans="1:13" x14ac:dyDescent="0.2">
      <c r="A103" s="272" t="s">
        <v>12</v>
      </c>
      <c r="B103" s="295"/>
      <c r="C103" s="295"/>
      <c r="D103" s="166"/>
      <c r="E103" s="23"/>
      <c r="F103" s="270"/>
      <c r="G103" s="271"/>
      <c r="H103" s="166"/>
      <c r="I103" s="23"/>
      <c r="J103" s="270"/>
      <c r="K103" s="271"/>
      <c r="L103" s="166"/>
      <c r="M103" s="23"/>
    </row>
    <row r="104" spans="1:13" x14ac:dyDescent="0.2">
      <c r="A104" s="272" t="s">
        <v>13</v>
      </c>
      <c r="B104" s="295"/>
      <c r="C104" s="295"/>
      <c r="D104" s="166"/>
      <c r="E104" s="23"/>
      <c r="F104" s="212"/>
      <c r="G104" s="266"/>
      <c r="H104" s="166"/>
      <c r="I104" s="23"/>
      <c r="J104" s="212"/>
      <c r="K104" s="266"/>
      <c r="L104" s="166"/>
      <c r="M104" s="23"/>
    </row>
    <row r="105" spans="1:13" ht="15.75" x14ac:dyDescent="0.2">
      <c r="A105" s="272" t="s">
        <v>357</v>
      </c>
      <c r="B105" s="295"/>
      <c r="C105" s="295"/>
      <c r="D105" s="166"/>
      <c r="E105" s="23"/>
      <c r="F105" s="295"/>
      <c r="G105" s="295"/>
      <c r="H105" s="166"/>
      <c r="I105" s="23"/>
      <c r="J105" s="295"/>
      <c r="K105" s="295"/>
      <c r="L105" s="166"/>
      <c r="M105" s="23"/>
    </row>
    <row r="106" spans="1:13" x14ac:dyDescent="0.2">
      <c r="A106" s="272" t="s">
        <v>12</v>
      </c>
      <c r="B106" s="212"/>
      <c r="C106" s="266"/>
      <c r="D106" s="166"/>
      <c r="E106" s="23"/>
      <c r="F106" s="212"/>
      <c r="G106" s="266"/>
      <c r="H106" s="166"/>
      <c r="I106" s="23"/>
      <c r="J106" s="212"/>
      <c r="K106" s="266"/>
      <c r="L106" s="166"/>
      <c r="M106" s="23"/>
    </row>
    <row r="107" spans="1:13" x14ac:dyDescent="0.2">
      <c r="A107" s="272" t="s">
        <v>13</v>
      </c>
      <c r="B107" s="212"/>
      <c r="C107" s="266"/>
      <c r="D107" s="166"/>
      <c r="E107" s="23"/>
      <c r="F107" s="212"/>
      <c r="G107" s="266"/>
      <c r="H107" s="166"/>
      <c r="I107" s="23"/>
      <c r="J107" s="212"/>
      <c r="K107" s="266"/>
      <c r="L107" s="166"/>
      <c r="M107" s="23"/>
    </row>
    <row r="108" spans="1:13" ht="15.75" x14ac:dyDescent="0.2">
      <c r="A108" s="21" t="s">
        <v>359</v>
      </c>
      <c r="B108" s="211"/>
      <c r="C108" s="145"/>
      <c r="D108" s="166"/>
      <c r="E108" s="23"/>
      <c r="F108" s="211"/>
      <c r="G108" s="145"/>
      <c r="H108" s="166"/>
      <c r="I108" s="23"/>
      <c r="J108" s="145"/>
      <c r="K108" s="44"/>
      <c r="L108" s="231"/>
      <c r="M108" s="27"/>
    </row>
    <row r="109" spans="1:13" ht="15.75" x14ac:dyDescent="0.2">
      <c r="A109" s="21" t="s">
        <v>360</v>
      </c>
      <c r="B109" s="211"/>
      <c r="C109" s="211"/>
      <c r="D109" s="166"/>
      <c r="E109" s="23"/>
      <c r="F109" s="211"/>
      <c r="G109" s="211"/>
      <c r="H109" s="166"/>
      <c r="I109" s="23"/>
      <c r="J109" s="145"/>
      <c r="K109" s="44"/>
      <c r="L109" s="231"/>
      <c r="M109" s="27"/>
    </row>
    <row r="110" spans="1:13" ht="15.75" x14ac:dyDescent="0.2">
      <c r="A110" s="38" t="s">
        <v>416</v>
      </c>
      <c r="B110" s="211"/>
      <c r="C110" s="211"/>
      <c r="D110" s="166"/>
      <c r="E110" s="23"/>
      <c r="F110" s="211"/>
      <c r="G110" s="211"/>
      <c r="H110" s="166"/>
      <c r="I110" s="23"/>
      <c r="J110" s="145"/>
      <c r="K110" s="44"/>
      <c r="L110" s="231"/>
      <c r="M110" s="27"/>
    </row>
    <row r="111" spans="1:13" ht="15.75" x14ac:dyDescent="0.2">
      <c r="A111" s="21" t="s">
        <v>362</v>
      </c>
      <c r="B111" s="211"/>
      <c r="C111" s="211"/>
      <c r="D111" s="166"/>
      <c r="E111" s="23"/>
      <c r="F111" s="211"/>
      <c r="G111" s="211"/>
      <c r="H111" s="166"/>
      <c r="I111" s="23"/>
      <c r="J111" s="145"/>
      <c r="K111" s="44"/>
      <c r="L111" s="231"/>
      <c r="M111" s="27"/>
    </row>
    <row r="112" spans="1:13" ht="15.75" x14ac:dyDescent="0.2">
      <c r="A112" s="13" t="s">
        <v>342</v>
      </c>
      <c r="B112" s="284"/>
      <c r="C112" s="159"/>
      <c r="D112" s="171"/>
      <c r="E112" s="24"/>
      <c r="F112" s="284"/>
      <c r="G112" s="159"/>
      <c r="H112" s="171"/>
      <c r="I112" s="24"/>
      <c r="J112" s="159"/>
      <c r="K112" s="213"/>
      <c r="L112" s="402"/>
      <c r="M112" s="11"/>
    </row>
    <row r="113" spans="1:14" x14ac:dyDescent="0.2">
      <c r="A113" s="21" t="s">
        <v>9</v>
      </c>
      <c r="B113" s="211"/>
      <c r="C113" s="145"/>
      <c r="D113" s="166"/>
      <c r="E113" s="23"/>
      <c r="F113" s="211"/>
      <c r="G113" s="145"/>
      <c r="H113" s="166"/>
      <c r="I113" s="23"/>
      <c r="J113" s="145"/>
      <c r="K113" s="44"/>
      <c r="L113" s="231"/>
      <c r="M113" s="27"/>
    </row>
    <row r="114" spans="1:14" x14ac:dyDescent="0.2">
      <c r="A114" s="21" t="s">
        <v>10</v>
      </c>
      <c r="B114" s="211"/>
      <c r="C114" s="145"/>
      <c r="D114" s="166"/>
      <c r="E114" s="23"/>
      <c r="F114" s="211"/>
      <c r="G114" s="145"/>
      <c r="H114" s="166"/>
      <c r="I114" s="23"/>
      <c r="J114" s="145"/>
      <c r="K114" s="44"/>
      <c r="L114" s="231"/>
      <c r="M114" s="27"/>
    </row>
    <row r="115" spans="1:14" x14ac:dyDescent="0.2">
      <c r="A115" s="21" t="s">
        <v>26</v>
      </c>
      <c r="B115" s="211"/>
      <c r="C115" s="145"/>
      <c r="D115" s="166"/>
      <c r="E115" s="23"/>
      <c r="F115" s="211"/>
      <c r="G115" s="145"/>
      <c r="H115" s="166"/>
      <c r="I115" s="23"/>
      <c r="J115" s="145"/>
      <c r="K115" s="44"/>
      <c r="L115" s="231"/>
      <c r="M115" s="27"/>
    </row>
    <row r="116" spans="1:14" x14ac:dyDescent="0.2">
      <c r="A116" s="272" t="s">
        <v>15</v>
      </c>
      <c r="B116" s="258"/>
      <c r="C116" s="258"/>
      <c r="D116" s="166"/>
      <c r="E116" s="23"/>
      <c r="F116" s="665"/>
      <c r="G116" s="258"/>
      <c r="H116" s="166"/>
      <c r="I116" s="23"/>
      <c r="J116" s="667"/>
      <c r="K116" s="267"/>
      <c r="L116" s="166"/>
      <c r="M116" s="23"/>
    </row>
    <row r="117" spans="1:14" ht="15.75" x14ac:dyDescent="0.2">
      <c r="A117" s="21" t="s">
        <v>363</v>
      </c>
      <c r="B117" s="211"/>
      <c r="C117" s="211"/>
      <c r="D117" s="166"/>
      <c r="E117" s="23"/>
      <c r="F117" s="211"/>
      <c r="G117" s="211"/>
      <c r="H117" s="166"/>
      <c r="I117" s="23"/>
      <c r="J117" s="145"/>
      <c r="K117" s="44"/>
      <c r="L117" s="231"/>
      <c r="M117" s="27"/>
    </row>
    <row r="118" spans="1:14" ht="15.75" x14ac:dyDescent="0.2">
      <c r="A118" s="21" t="s">
        <v>364</v>
      </c>
      <c r="B118" s="211"/>
      <c r="C118" s="211"/>
      <c r="D118" s="166"/>
      <c r="E118" s="23"/>
      <c r="F118" s="211"/>
      <c r="G118" s="211"/>
      <c r="H118" s="166"/>
      <c r="I118" s="23"/>
      <c r="J118" s="145"/>
      <c r="K118" s="44"/>
      <c r="L118" s="231"/>
      <c r="M118" s="27"/>
    </row>
    <row r="119" spans="1:14" ht="15.75" x14ac:dyDescent="0.2">
      <c r="A119" s="21" t="s">
        <v>362</v>
      </c>
      <c r="B119" s="211"/>
      <c r="C119" s="211"/>
      <c r="D119" s="166"/>
      <c r="E119" s="23"/>
      <c r="F119" s="211"/>
      <c r="G119" s="211"/>
      <c r="H119" s="166"/>
      <c r="I119" s="23"/>
      <c r="J119" s="145"/>
      <c r="K119" s="44"/>
      <c r="L119" s="231"/>
      <c r="M119" s="27"/>
    </row>
    <row r="120" spans="1:14" ht="15.75" x14ac:dyDescent="0.2">
      <c r="A120" s="13" t="s">
        <v>343</v>
      </c>
      <c r="B120" s="284"/>
      <c r="C120" s="159"/>
      <c r="D120" s="171"/>
      <c r="E120" s="24"/>
      <c r="F120" s="284"/>
      <c r="G120" s="159"/>
      <c r="H120" s="171"/>
      <c r="I120" s="24"/>
      <c r="J120" s="159"/>
      <c r="K120" s="213"/>
      <c r="L120" s="402"/>
      <c r="M120" s="11"/>
    </row>
    <row r="121" spans="1:14" x14ac:dyDescent="0.2">
      <c r="A121" s="21" t="s">
        <v>9</v>
      </c>
      <c r="B121" s="211"/>
      <c r="C121" s="145"/>
      <c r="D121" s="166"/>
      <c r="E121" s="23"/>
      <c r="F121" s="211"/>
      <c r="G121" s="145"/>
      <c r="H121" s="166"/>
      <c r="I121" s="23"/>
      <c r="J121" s="145"/>
      <c r="K121" s="44"/>
      <c r="L121" s="231"/>
      <c r="M121" s="27"/>
    </row>
    <row r="122" spans="1:14" x14ac:dyDescent="0.2">
      <c r="A122" s="21" t="s">
        <v>10</v>
      </c>
      <c r="B122" s="211"/>
      <c r="C122" s="145"/>
      <c r="D122" s="166"/>
      <c r="E122" s="23"/>
      <c r="F122" s="211"/>
      <c r="G122" s="145"/>
      <c r="H122" s="166"/>
      <c r="I122" s="23"/>
      <c r="J122" s="145"/>
      <c r="K122" s="44"/>
      <c r="L122" s="231"/>
      <c r="M122" s="27"/>
    </row>
    <row r="123" spans="1:14" x14ac:dyDescent="0.2">
      <c r="A123" s="21" t="s">
        <v>26</v>
      </c>
      <c r="B123" s="211"/>
      <c r="C123" s="145"/>
      <c r="D123" s="166"/>
      <c r="E123" s="23"/>
      <c r="F123" s="211"/>
      <c r="G123" s="145"/>
      <c r="H123" s="166"/>
      <c r="I123" s="23"/>
      <c r="J123" s="145"/>
      <c r="K123" s="44"/>
      <c r="L123" s="231"/>
      <c r="M123" s="27"/>
    </row>
    <row r="124" spans="1:14" x14ac:dyDescent="0.2">
      <c r="A124" s="272" t="s">
        <v>14</v>
      </c>
      <c r="B124" s="258"/>
      <c r="C124" s="258"/>
      <c r="D124" s="166"/>
      <c r="E124" s="23"/>
      <c r="F124" s="665"/>
      <c r="G124" s="258"/>
      <c r="H124" s="166"/>
      <c r="I124" s="23"/>
      <c r="J124" s="667"/>
      <c r="K124" s="267"/>
      <c r="L124" s="166"/>
      <c r="M124" s="23"/>
    </row>
    <row r="125" spans="1:14" ht="15.75" x14ac:dyDescent="0.2">
      <c r="A125" s="21" t="s">
        <v>369</v>
      </c>
      <c r="B125" s="211"/>
      <c r="C125" s="211"/>
      <c r="D125" s="166"/>
      <c r="E125" s="23"/>
      <c r="F125" s="211"/>
      <c r="G125" s="211"/>
      <c r="H125" s="166"/>
      <c r="I125" s="23"/>
      <c r="J125" s="145"/>
      <c r="K125" s="44"/>
      <c r="L125" s="231"/>
      <c r="M125" s="27"/>
    </row>
    <row r="126" spans="1:14" ht="15.75" x14ac:dyDescent="0.2">
      <c r="A126" s="21" t="s">
        <v>361</v>
      </c>
      <c r="B126" s="211"/>
      <c r="C126" s="211"/>
      <c r="D126" s="166"/>
      <c r="E126" s="23"/>
      <c r="F126" s="211"/>
      <c r="G126" s="211"/>
      <c r="H126" s="166"/>
      <c r="I126" s="23"/>
      <c r="J126" s="145"/>
      <c r="K126" s="44"/>
      <c r="L126" s="231"/>
      <c r="M126" s="27"/>
    </row>
    <row r="127" spans="1:14" ht="15.75" x14ac:dyDescent="0.2">
      <c r="A127" s="10" t="s">
        <v>362</v>
      </c>
      <c r="B127" s="45"/>
      <c r="C127" s="45"/>
      <c r="D127" s="167"/>
      <c r="E127" s="22"/>
      <c r="F127" s="666"/>
      <c r="G127" s="45"/>
      <c r="H127" s="167"/>
      <c r="I127" s="22"/>
      <c r="J127" s="668"/>
      <c r="K127" s="45"/>
      <c r="L127" s="232"/>
      <c r="M127" s="22"/>
    </row>
    <row r="128" spans="1:14" x14ac:dyDescent="0.2">
      <c r="A128" s="155"/>
      <c r="L128" s="26"/>
      <c r="M128" s="26"/>
      <c r="N128" s="26"/>
    </row>
    <row r="129" spans="1:14" x14ac:dyDescent="0.2">
      <c r="L129" s="26"/>
      <c r="M129" s="26"/>
      <c r="N129" s="26"/>
    </row>
    <row r="130" spans="1:14" ht="15.75" x14ac:dyDescent="0.25">
      <c r="A130" s="165" t="s">
        <v>27</v>
      </c>
    </row>
    <row r="131" spans="1:14" ht="15.75" x14ac:dyDescent="0.25">
      <c r="B131" s="694"/>
      <c r="C131" s="694"/>
      <c r="D131" s="694"/>
      <c r="E131" s="275"/>
      <c r="F131" s="694"/>
      <c r="G131" s="694"/>
      <c r="H131" s="694"/>
      <c r="I131" s="275"/>
      <c r="J131" s="694"/>
      <c r="K131" s="694"/>
      <c r="L131" s="694"/>
      <c r="M131" s="275"/>
    </row>
    <row r="132" spans="1:14" s="3" customFormat="1" x14ac:dyDescent="0.2">
      <c r="A132" s="144"/>
      <c r="B132" s="695" t="s">
        <v>0</v>
      </c>
      <c r="C132" s="696"/>
      <c r="D132" s="696"/>
      <c r="E132" s="277"/>
      <c r="F132" s="695" t="s">
        <v>1</v>
      </c>
      <c r="G132" s="696"/>
      <c r="H132" s="696"/>
      <c r="I132" s="280"/>
      <c r="J132" s="695" t="s">
        <v>2</v>
      </c>
      <c r="K132" s="696"/>
      <c r="L132" s="696"/>
      <c r="M132" s="280"/>
      <c r="N132" s="148"/>
    </row>
    <row r="133" spans="1:14" s="3" customFormat="1" x14ac:dyDescent="0.2">
      <c r="A133" s="140"/>
      <c r="B133" s="152" t="s">
        <v>412</v>
      </c>
      <c r="C133" s="152" t="s">
        <v>413</v>
      </c>
      <c r="D133" s="222" t="s">
        <v>3</v>
      </c>
      <c r="E133" s="281" t="s">
        <v>29</v>
      </c>
      <c r="F133" s="152" t="s">
        <v>412</v>
      </c>
      <c r="G133" s="152" t="s">
        <v>413</v>
      </c>
      <c r="H133" s="203" t="s">
        <v>3</v>
      </c>
      <c r="I133" s="162" t="s">
        <v>29</v>
      </c>
      <c r="J133" s="152" t="s">
        <v>412</v>
      </c>
      <c r="K133" s="152" t="s">
        <v>413</v>
      </c>
      <c r="L133" s="223" t="s">
        <v>3</v>
      </c>
      <c r="M133" s="162" t="s">
        <v>29</v>
      </c>
      <c r="N133" s="148"/>
    </row>
    <row r="134" spans="1:14" s="3" customFormat="1" x14ac:dyDescent="0.2">
      <c r="A134" s="662"/>
      <c r="B134" s="156"/>
      <c r="C134" s="156"/>
      <c r="D134" s="223" t="s">
        <v>4</v>
      </c>
      <c r="E134" s="156" t="s">
        <v>30</v>
      </c>
      <c r="F134" s="161"/>
      <c r="G134" s="161"/>
      <c r="H134" s="203" t="s">
        <v>4</v>
      </c>
      <c r="I134" s="156" t="s">
        <v>30</v>
      </c>
      <c r="J134" s="156"/>
      <c r="K134" s="156"/>
      <c r="L134" s="150" t="s">
        <v>4</v>
      </c>
      <c r="M134" s="156" t="s">
        <v>30</v>
      </c>
      <c r="N134" s="148"/>
    </row>
    <row r="135" spans="1:14" s="3" customFormat="1" ht="15.75" x14ac:dyDescent="0.2">
      <c r="A135" s="14" t="s">
        <v>365</v>
      </c>
      <c r="B135" s="213"/>
      <c r="C135" s="285"/>
      <c r="D135" s="326"/>
      <c r="E135" s="11"/>
      <c r="F135" s="292"/>
      <c r="G135" s="293"/>
      <c r="H135" s="405"/>
      <c r="I135" s="24"/>
      <c r="J135" s="294"/>
      <c r="K135" s="294"/>
      <c r="L135" s="401"/>
      <c r="M135" s="11"/>
      <c r="N135" s="148"/>
    </row>
    <row r="136" spans="1:14" s="3" customFormat="1" ht="15.75" x14ac:dyDescent="0.2">
      <c r="A136" s="13" t="s">
        <v>370</v>
      </c>
      <c r="B136" s="213"/>
      <c r="C136" s="285"/>
      <c r="D136" s="171"/>
      <c r="E136" s="11"/>
      <c r="F136" s="213"/>
      <c r="G136" s="285"/>
      <c r="H136" s="406"/>
      <c r="I136" s="24"/>
      <c r="J136" s="284"/>
      <c r="K136" s="284"/>
      <c r="L136" s="402"/>
      <c r="M136" s="11"/>
      <c r="N136" s="148"/>
    </row>
    <row r="137" spans="1:14" s="3" customFormat="1" ht="15.75" x14ac:dyDescent="0.2">
      <c r="A137" s="13" t="s">
        <v>367</v>
      </c>
      <c r="B137" s="213"/>
      <c r="C137" s="285"/>
      <c r="D137" s="171"/>
      <c r="E137" s="11"/>
      <c r="F137" s="213"/>
      <c r="G137" s="285"/>
      <c r="H137" s="406"/>
      <c r="I137" s="24"/>
      <c r="J137" s="284"/>
      <c r="K137" s="284"/>
      <c r="L137" s="402"/>
      <c r="M137" s="11"/>
      <c r="N137" s="148"/>
    </row>
    <row r="138" spans="1:14" s="3" customFormat="1" ht="15.75" x14ac:dyDescent="0.2">
      <c r="A138" s="41" t="s">
        <v>368</v>
      </c>
      <c r="B138" s="253"/>
      <c r="C138" s="291"/>
      <c r="D138" s="169"/>
      <c r="E138" s="9"/>
      <c r="F138" s="253"/>
      <c r="G138" s="291"/>
      <c r="H138" s="407"/>
      <c r="I138" s="36"/>
      <c r="J138" s="290"/>
      <c r="K138" s="290"/>
      <c r="L138" s="403"/>
      <c r="M138" s="36"/>
      <c r="N138" s="148"/>
    </row>
    <row r="139" spans="1:14" s="3" customFormat="1"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68"/>
      <c r="B141" s="33"/>
      <c r="C141" s="33"/>
      <c r="D141" s="159"/>
      <c r="E141" s="159"/>
      <c r="F141" s="33"/>
      <c r="G141" s="33"/>
      <c r="H141" s="159"/>
      <c r="I141" s="159"/>
      <c r="J141" s="33"/>
      <c r="K141" s="33"/>
      <c r="L141" s="159"/>
      <c r="M141" s="159"/>
      <c r="N141" s="148"/>
    </row>
    <row r="142" spans="1:14" x14ac:dyDescent="0.2">
      <c r="A142" s="146"/>
      <c r="B142" s="146"/>
      <c r="C142" s="146"/>
      <c r="D142" s="146"/>
      <c r="E142" s="146"/>
      <c r="F142" s="146"/>
      <c r="G142" s="146"/>
      <c r="H142" s="146"/>
      <c r="I142" s="146"/>
      <c r="J142" s="146"/>
      <c r="K142" s="146"/>
      <c r="L142" s="146"/>
      <c r="M142" s="146"/>
      <c r="N142" s="146"/>
    </row>
    <row r="143" spans="1:14" ht="15.75" x14ac:dyDescent="0.25">
      <c r="B143" s="142"/>
      <c r="C143" s="142"/>
      <c r="D143" s="142"/>
      <c r="E143" s="142"/>
      <c r="F143" s="142"/>
      <c r="G143" s="142"/>
      <c r="H143" s="142"/>
      <c r="I143" s="142"/>
      <c r="J143" s="142"/>
      <c r="K143" s="142"/>
      <c r="L143" s="142"/>
      <c r="M143" s="142"/>
      <c r="N143" s="142"/>
    </row>
    <row r="144" spans="1:14" ht="15.75" x14ac:dyDescent="0.25">
      <c r="B144" s="157"/>
      <c r="C144" s="157"/>
      <c r="D144" s="157"/>
      <c r="E144" s="157"/>
      <c r="F144" s="157"/>
      <c r="G144" s="157"/>
      <c r="H144" s="157"/>
      <c r="I144" s="157"/>
      <c r="J144" s="157"/>
      <c r="K144" s="157"/>
      <c r="L144" s="157"/>
      <c r="M144" s="157"/>
      <c r="N144" s="157"/>
    </row>
    <row r="145" spans="2:14" ht="15.75" x14ac:dyDescent="0.25">
      <c r="B145" s="157"/>
      <c r="C145" s="157"/>
      <c r="D145" s="157"/>
      <c r="E145" s="157"/>
      <c r="F145" s="157"/>
      <c r="G145" s="157"/>
      <c r="H145" s="157"/>
      <c r="I145" s="157"/>
      <c r="J145" s="157"/>
      <c r="K145" s="157"/>
      <c r="L145" s="157"/>
      <c r="M145" s="157"/>
      <c r="N145" s="157"/>
    </row>
  </sheetData>
  <mergeCells count="31">
    <mergeCell ref="B132:D132"/>
    <mergeCell ref="F132:H132"/>
    <mergeCell ref="J132:L132"/>
    <mergeCell ref="B63:D63"/>
    <mergeCell ref="F63:H63"/>
    <mergeCell ref="J63:L63"/>
    <mergeCell ref="B131:D131"/>
    <mergeCell ref="F131:H131"/>
    <mergeCell ref="J131:L131"/>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6">
    <cfRule type="expression" dxfId="408" priority="76">
      <formula>kvartal &lt; 4</formula>
    </cfRule>
  </conditionalFormatting>
  <conditionalFormatting sqref="C116">
    <cfRule type="expression" dxfId="407" priority="75">
      <formula>kvartal &lt; 4</formula>
    </cfRule>
  </conditionalFormatting>
  <conditionalFormatting sqref="B124">
    <cfRule type="expression" dxfId="406" priority="74">
      <formula>kvartal &lt; 4</formula>
    </cfRule>
  </conditionalFormatting>
  <conditionalFormatting sqref="C124">
    <cfRule type="expression" dxfId="405" priority="73">
      <formula>kvartal &lt; 4</formula>
    </cfRule>
  </conditionalFormatting>
  <conditionalFormatting sqref="F116">
    <cfRule type="expression" dxfId="404" priority="58">
      <formula>kvartal &lt; 4</formula>
    </cfRule>
  </conditionalFormatting>
  <conditionalFormatting sqref="G116">
    <cfRule type="expression" dxfId="403" priority="57">
      <formula>kvartal &lt; 4</formula>
    </cfRule>
  </conditionalFormatting>
  <conditionalFormatting sqref="F124:G124">
    <cfRule type="expression" dxfId="402" priority="56">
      <formula>kvartal &lt; 4</formula>
    </cfRule>
  </conditionalFormatting>
  <conditionalFormatting sqref="J116:K116">
    <cfRule type="expression" dxfId="401" priority="32">
      <formula>kvartal &lt; 4</formula>
    </cfRule>
  </conditionalFormatting>
  <conditionalFormatting sqref="J124:K124">
    <cfRule type="expression" dxfId="400" priority="31">
      <formula>kvartal &lt; 4</formula>
    </cfRule>
  </conditionalFormatting>
  <conditionalFormatting sqref="A50:A52">
    <cfRule type="expression" dxfId="399" priority="12">
      <formula>kvartal &lt; 4</formula>
    </cfRule>
  </conditionalFormatting>
  <conditionalFormatting sqref="A69:A74">
    <cfRule type="expression" dxfId="398" priority="10">
      <formula>kvartal &lt; 4</formula>
    </cfRule>
  </conditionalFormatting>
  <conditionalFormatting sqref="A80:A85">
    <cfRule type="expression" dxfId="397" priority="9">
      <formula>kvartal &lt; 4</formula>
    </cfRule>
  </conditionalFormatting>
  <conditionalFormatting sqref="A90:A95">
    <cfRule type="expression" dxfId="396" priority="6">
      <formula>kvartal &lt; 4</formula>
    </cfRule>
  </conditionalFormatting>
  <conditionalFormatting sqref="A102:A107">
    <cfRule type="expression" dxfId="395" priority="5">
      <formula>kvartal &lt; 4</formula>
    </cfRule>
  </conditionalFormatting>
  <conditionalFormatting sqref="A116">
    <cfRule type="expression" dxfId="394" priority="4">
      <formula>kvartal &lt; 4</formula>
    </cfRule>
  </conditionalFormatting>
  <conditionalFormatting sqref="A124">
    <cfRule type="expression" dxfId="393" priority="3">
      <formula>kvartal &lt; 4</formula>
    </cfRule>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25"/>
  <dimension ref="A1:N145"/>
  <sheetViews>
    <sheetView showGridLines="0" zoomScaleNormal="100" workbookViewId="0">
      <selection activeCell="A111" sqref="A111"/>
    </sheetView>
  </sheetViews>
  <sheetFormatPr baseColWidth="10" defaultColWidth="11.42578125" defaultRowHeight="12.75" x14ac:dyDescent="0.2"/>
  <cols>
    <col min="1" max="1" width="41.57031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134</v>
      </c>
      <c r="B1" s="663"/>
      <c r="C1" s="225" t="s">
        <v>130</v>
      </c>
      <c r="D1" s="26"/>
      <c r="E1" s="26"/>
      <c r="F1" s="26"/>
      <c r="G1" s="26"/>
      <c r="H1" s="26"/>
      <c r="I1" s="26"/>
      <c r="J1" s="26"/>
      <c r="K1" s="26"/>
      <c r="L1" s="26"/>
      <c r="M1" s="26"/>
    </row>
    <row r="2" spans="1:14" ht="15.75" x14ac:dyDescent="0.25">
      <c r="A2" s="165" t="s">
        <v>28</v>
      </c>
      <c r="B2" s="699"/>
      <c r="C2" s="699"/>
      <c r="D2" s="699"/>
      <c r="E2" s="275"/>
      <c r="F2" s="699"/>
      <c r="G2" s="699"/>
      <c r="H2" s="699"/>
      <c r="I2" s="275"/>
      <c r="J2" s="699"/>
      <c r="K2" s="699"/>
      <c r="L2" s="699"/>
      <c r="M2" s="275"/>
    </row>
    <row r="3" spans="1:14" ht="15.75" x14ac:dyDescent="0.25">
      <c r="A3" s="163"/>
      <c r="B3" s="275"/>
      <c r="C3" s="275"/>
      <c r="D3" s="275"/>
      <c r="E3" s="275"/>
      <c r="F3" s="275"/>
      <c r="G3" s="275"/>
      <c r="H3" s="275"/>
      <c r="I3" s="275"/>
      <c r="J3" s="275"/>
      <c r="K3" s="275"/>
      <c r="L3" s="275"/>
      <c r="M3" s="275"/>
    </row>
    <row r="4" spans="1:14" x14ac:dyDescent="0.2">
      <c r="A4" s="144"/>
      <c r="B4" s="695" t="s">
        <v>0</v>
      </c>
      <c r="C4" s="696"/>
      <c r="D4" s="696"/>
      <c r="E4" s="277"/>
      <c r="F4" s="695" t="s">
        <v>1</v>
      </c>
      <c r="G4" s="696"/>
      <c r="H4" s="696"/>
      <c r="I4" s="280"/>
      <c r="J4" s="695" t="s">
        <v>2</v>
      </c>
      <c r="K4" s="696"/>
      <c r="L4" s="696"/>
      <c r="M4" s="280"/>
    </row>
    <row r="5" spans="1:14" x14ac:dyDescent="0.2">
      <c r="A5" s="158"/>
      <c r="B5" s="152" t="s">
        <v>412</v>
      </c>
      <c r="C5" s="152" t="s">
        <v>413</v>
      </c>
      <c r="D5" s="222" t="s">
        <v>3</v>
      </c>
      <c r="E5" s="281" t="s">
        <v>29</v>
      </c>
      <c r="F5" s="152" t="s">
        <v>412</v>
      </c>
      <c r="G5" s="152" t="s">
        <v>413</v>
      </c>
      <c r="H5" s="222" t="s">
        <v>3</v>
      </c>
      <c r="I5" s="162" t="s">
        <v>29</v>
      </c>
      <c r="J5" s="152" t="s">
        <v>412</v>
      </c>
      <c r="K5" s="152" t="s">
        <v>413</v>
      </c>
      <c r="L5" s="222" t="s">
        <v>3</v>
      </c>
      <c r="M5" s="162" t="s">
        <v>29</v>
      </c>
    </row>
    <row r="6" spans="1:14" x14ac:dyDescent="0.2">
      <c r="A6" s="661"/>
      <c r="B6" s="156"/>
      <c r="C6" s="156"/>
      <c r="D6" s="223" t="s">
        <v>4</v>
      </c>
      <c r="E6" s="156" t="s">
        <v>30</v>
      </c>
      <c r="F6" s="161"/>
      <c r="G6" s="161"/>
      <c r="H6" s="222" t="s">
        <v>4</v>
      </c>
      <c r="I6" s="156" t="s">
        <v>30</v>
      </c>
      <c r="J6" s="161"/>
      <c r="K6" s="161"/>
      <c r="L6" s="222" t="s">
        <v>4</v>
      </c>
      <c r="M6" s="156" t="s">
        <v>30</v>
      </c>
    </row>
    <row r="7" spans="1:14" ht="15.75" x14ac:dyDescent="0.2">
      <c r="A7" s="14" t="s">
        <v>23</v>
      </c>
      <c r="B7" s="282">
        <v>121739.563085699</v>
      </c>
      <c r="C7" s="283">
        <v>127137</v>
      </c>
      <c r="D7" s="326">
        <f t="shared" ref="D7:D10" si="0">IF(B7=0, "    ---- ", IF(ABS(ROUND(100/B7*C7-100,1))&lt;999,ROUND(100/B7*C7-100,1),IF(ROUND(100/B7*C7-100,1)&gt;999,999,-999)))</f>
        <v>4.4000000000000004</v>
      </c>
      <c r="E7" s="11">
        <f>IFERROR(100/'Skjema total MA'!C7*C7,0)</f>
        <v>7.5447838050946485</v>
      </c>
      <c r="F7" s="282">
        <v>1759602.9376999999</v>
      </c>
      <c r="G7" s="283">
        <v>2978498.4797399999</v>
      </c>
      <c r="H7" s="326">
        <f t="shared" ref="H7:H12" si="1">IF(F7=0, "    ---- ", IF(ABS(ROUND(100/F7*G7-100,1))&lt;999,ROUND(100/F7*G7-100,1),IF(ROUND(100/F7*G7-100,1)&gt;999,999,-999)))</f>
        <v>69.3</v>
      </c>
      <c r="I7" s="160">
        <f>IFERROR(100/'Skjema total MA'!F7*G7,0)</f>
        <v>76.321719575918323</v>
      </c>
      <c r="J7" s="284">
        <f t="shared" ref="J7:K12" si="2">SUM(B7,F7)</f>
        <v>1881342.5007856989</v>
      </c>
      <c r="K7" s="285">
        <f t="shared" si="2"/>
        <v>3105635.4797399999</v>
      </c>
      <c r="L7" s="401">
        <f t="shared" ref="L7:L12" si="3">IF(J7=0, "    ---- ", IF(ABS(ROUND(100/J7*K7-100,1))&lt;999,ROUND(100/J7*K7-100,1),IF(ROUND(100/J7*K7-100,1)&gt;999,999,-999)))</f>
        <v>65.099999999999994</v>
      </c>
      <c r="M7" s="11">
        <f>IFERROR(100/'Skjema total MA'!I7*K7,0)</f>
        <v>55.580303040767895</v>
      </c>
    </row>
    <row r="8" spans="1:14" ht="15.75" x14ac:dyDescent="0.2">
      <c r="A8" s="21" t="s">
        <v>25</v>
      </c>
      <c r="B8" s="258">
        <v>101129.504489602</v>
      </c>
      <c r="C8" s="259">
        <v>107174</v>
      </c>
      <c r="D8" s="166">
        <f t="shared" si="0"/>
        <v>6</v>
      </c>
      <c r="E8" s="27">
        <f>IFERROR(100/'Skjema total MA'!C8*C8,0)</f>
        <v>9.3992215994557586</v>
      </c>
      <c r="F8" s="262"/>
      <c r="G8" s="263"/>
      <c r="H8" s="166"/>
      <c r="I8" s="175"/>
      <c r="J8" s="211">
        <f t="shared" si="2"/>
        <v>101129.504489602</v>
      </c>
      <c r="K8" s="264">
        <f t="shared" si="2"/>
        <v>107174</v>
      </c>
      <c r="L8" s="166">
        <f t="shared" si="3"/>
        <v>6</v>
      </c>
      <c r="M8" s="27">
        <f>IFERROR(100/'Skjema total MA'!I8*K8,0)</f>
        <v>9.3992215994557586</v>
      </c>
    </row>
    <row r="9" spans="1:14" ht="15.75" x14ac:dyDescent="0.2">
      <c r="A9" s="21" t="s">
        <v>24</v>
      </c>
      <c r="B9" s="258">
        <v>18811.383765273498</v>
      </c>
      <c r="C9" s="259">
        <v>18248</v>
      </c>
      <c r="D9" s="166">
        <f t="shared" si="0"/>
        <v>-3</v>
      </c>
      <c r="E9" s="27">
        <f>IFERROR(100/'Skjema total MA'!C9*C9,0)</f>
        <v>5.116260111030039</v>
      </c>
      <c r="F9" s="262"/>
      <c r="G9" s="263"/>
      <c r="H9" s="166"/>
      <c r="I9" s="175"/>
      <c r="J9" s="211">
        <f t="shared" si="2"/>
        <v>18811.383765273498</v>
      </c>
      <c r="K9" s="264">
        <f t="shared" si="2"/>
        <v>18248</v>
      </c>
      <c r="L9" s="166">
        <f t="shared" si="3"/>
        <v>-3</v>
      </c>
      <c r="M9" s="27">
        <f>IFERROR(100/'Skjema total MA'!I9*K9,0)</f>
        <v>5.116260111030039</v>
      </c>
    </row>
    <row r="10" spans="1:14" ht="15.75" x14ac:dyDescent="0.2">
      <c r="A10" s="13" t="s">
        <v>341</v>
      </c>
      <c r="B10" s="286">
        <v>780281.48236283998</v>
      </c>
      <c r="C10" s="287">
        <v>730168.153618193</v>
      </c>
      <c r="D10" s="171">
        <f t="shared" si="0"/>
        <v>-6.4</v>
      </c>
      <c r="E10" s="11">
        <f>IFERROR(100/'Skjema total MA'!C10*C10,0)</f>
        <v>4.1380216079057828</v>
      </c>
      <c r="F10" s="286">
        <v>28403585.084109999</v>
      </c>
      <c r="G10" s="287">
        <v>39940479.83309</v>
      </c>
      <c r="H10" s="171">
        <f t="shared" si="1"/>
        <v>40.6</v>
      </c>
      <c r="I10" s="160">
        <f>IFERROR(100/'Skjema total MA'!F10*G10,0)</f>
        <v>61.226314937841423</v>
      </c>
      <c r="J10" s="284">
        <f t="shared" si="2"/>
        <v>29183866.56647284</v>
      </c>
      <c r="K10" s="285">
        <f t="shared" si="2"/>
        <v>40670647.986708194</v>
      </c>
      <c r="L10" s="402">
        <f t="shared" si="3"/>
        <v>39.4</v>
      </c>
      <c r="M10" s="11">
        <f>IFERROR(100/'Skjema total MA'!I10*K10,0)</f>
        <v>49.072014035518848</v>
      </c>
    </row>
    <row r="11" spans="1:14" s="43" customFormat="1" ht="15.75" x14ac:dyDescent="0.2">
      <c r="A11" s="13" t="s">
        <v>342</v>
      </c>
      <c r="B11" s="286"/>
      <c r="C11" s="287"/>
      <c r="D11" s="171"/>
      <c r="E11" s="11"/>
      <c r="F11" s="286">
        <v>67098.595140000005</v>
      </c>
      <c r="G11" s="287">
        <v>74034.434940000006</v>
      </c>
      <c r="H11" s="171">
        <f t="shared" si="1"/>
        <v>10.3</v>
      </c>
      <c r="I11" s="160">
        <f>IFERROR(100/'Skjema total MA'!F11*G11,0)</f>
        <v>69.03152418119106</v>
      </c>
      <c r="J11" s="284">
        <f t="shared" si="2"/>
        <v>67098.595140000005</v>
      </c>
      <c r="K11" s="285">
        <f t="shared" si="2"/>
        <v>74034.434940000006</v>
      </c>
      <c r="L11" s="402">
        <f t="shared" si="3"/>
        <v>10.3</v>
      </c>
      <c r="M11" s="11">
        <f>IFERROR(100/'Skjema total MA'!I11*K11,0)</f>
        <v>63.779746089013997</v>
      </c>
      <c r="N11" s="143"/>
    </row>
    <row r="12" spans="1:14" s="43" customFormat="1" ht="15.75" x14ac:dyDescent="0.2">
      <c r="A12" s="41" t="s">
        <v>343</v>
      </c>
      <c r="B12" s="288"/>
      <c r="C12" s="289"/>
      <c r="D12" s="169"/>
      <c r="E12" s="36"/>
      <c r="F12" s="288">
        <v>23590.64443</v>
      </c>
      <c r="G12" s="289">
        <v>18308.202120000002</v>
      </c>
      <c r="H12" s="169">
        <f t="shared" si="1"/>
        <v>-22.4</v>
      </c>
      <c r="I12" s="169">
        <f>IFERROR(100/'Skjema total MA'!F12*G12,0)</f>
        <v>37.999256966232565</v>
      </c>
      <c r="J12" s="290">
        <f t="shared" si="2"/>
        <v>23590.64443</v>
      </c>
      <c r="K12" s="291">
        <f t="shared" si="2"/>
        <v>18308.202120000002</v>
      </c>
      <c r="L12" s="403">
        <f t="shared" si="3"/>
        <v>-22.4</v>
      </c>
      <c r="M12" s="36">
        <f>IFERROR(100/'Skjema total MA'!I12*K12,0)</f>
        <v>35.425113393204867</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251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248</v>
      </c>
      <c r="B17" s="157"/>
      <c r="C17" s="157"/>
      <c r="D17" s="151"/>
      <c r="E17" s="151"/>
      <c r="F17" s="157"/>
      <c r="G17" s="157"/>
      <c r="H17" s="157"/>
      <c r="I17" s="157"/>
      <c r="J17" s="157"/>
      <c r="K17" s="157"/>
      <c r="L17" s="157"/>
      <c r="M17" s="157"/>
    </row>
    <row r="18" spans="1:14" ht="15.75" x14ac:dyDescent="0.25">
      <c r="B18" s="694"/>
      <c r="C18" s="694"/>
      <c r="D18" s="694"/>
      <c r="E18" s="275"/>
      <c r="F18" s="694"/>
      <c r="G18" s="694"/>
      <c r="H18" s="694"/>
      <c r="I18" s="275"/>
      <c r="J18" s="694"/>
      <c r="K18" s="694"/>
      <c r="L18" s="694"/>
      <c r="M18" s="275"/>
    </row>
    <row r="19" spans="1:14" x14ac:dyDescent="0.2">
      <c r="A19" s="144"/>
      <c r="B19" s="695" t="s">
        <v>0</v>
      </c>
      <c r="C19" s="696"/>
      <c r="D19" s="696"/>
      <c r="E19" s="277"/>
      <c r="F19" s="695" t="s">
        <v>1</v>
      </c>
      <c r="G19" s="696"/>
      <c r="H19" s="696"/>
      <c r="I19" s="280"/>
      <c r="J19" s="695" t="s">
        <v>2</v>
      </c>
      <c r="K19" s="696"/>
      <c r="L19" s="696"/>
      <c r="M19" s="280"/>
    </row>
    <row r="20" spans="1:14" x14ac:dyDescent="0.2">
      <c r="A20" s="140" t="s">
        <v>5</v>
      </c>
      <c r="B20" s="152" t="s">
        <v>412</v>
      </c>
      <c r="C20" s="152" t="s">
        <v>413</v>
      </c>
      <c r="D20" s="162" t="s">
        <v>3</v>
      </c>
      <c r="E20" s="281" t="s">
        <v>29</v>
      </c>
      <c r="F20" s="152" t="s">
        <v>412</v>
      </c>
      <c r="G20" s="152" t="s">
        <v>413</v>
      </c>
      <c r="H20" s="162" t="s">
        <v>3</v>
      </c>
      <c r="I20" s="162" t="s">
        <v>29</v>
      </c>
      <c r="J20" s="152" t="s">
        <v>412</v>
      </c>
      <c r="K20" s="152" t="s">
        <v>413</v>
      </c>
      <c r="L20" s="162" t="s">
        <v>3</v>
      </c>
      <c r="M20" s="162" t="s">
        <v>29</v>
      </c>
    </row>
    <row r="21" spans="1:14" x14ac:dyDescent="0.2">
      <c r="A21" s="662"/>
      <c r="B21" s="156"/>
      <c r="C21" s="156"/>
      <c r="D21" s="223" t="s">
        <v>4</v>
      </c>
      <c r="E21" s="156" t="s">
        <v>30</v>
      </c>
      <c r="F21" s="161"/>
      <c r="G21" s="161"/>
      <c r="H21" s="222" t="s">
        <v>4</v>
      </c>
      <c r="I21" s="156" t="s">
        <v>30</v>
      </c>
      <c r="J21" s="161"/>
      <c r="K21" s="161"/>
      <c r="L21" s="156" t="s">
        <v>4</v>
      </c>
      <c r="M21" s="156" t="s">
        <v>30</v>
      </c>
    </row>
    <row r="22" spans="1:14" ht="15.75" x14ac:dyDescent="0.2">
      <c r="A22" s="14" t="s">
        <v>23</v>
      </c>
      <c r="B22" s="286">
        <v>41128.9793700757</v>
      </c>
      <c r="C22" s="286">
        <v>45830</v>
      </c>
      <c r="D22" s="326">
        <f t="shared" ref="D22:D32" si="4">IF(B22=0, "    ---- ", IF(ABS(ROUND(100/B22*C22-100,1))&lt;999,ROUND(100/B22*C22-100,1),IF(ROUND(100/B22*C22-100,1)&gt;999,999,-999)))</f>
        <v>11.4</v>
      </c>
      <c r="E22" s="11">
        <f>IFERROR(100/'Skjema total MA'!C22*C22,0)</f>
        <v>6.7286681618408233</v>
      </c>
      <c r="F22" s="294">
        <v>85391.906940000001</v>
      </c>
      <c r="G22" s="294">
        <v>93028.321979999993</v>
      </c>
      <c r="H22" s="326">
        <f t="shared" ref="H22:H35" si="5">IF(F22=0, "    ---- ", IF(ABS(ROUND(100/F22*G22-100,1))&lt;999,ROUND(100/F22*G22-100,1),IF(ROUND(100/F22*G22-100,1)&gt;999,999,-999)))</f>
        <v>8.9</v>
      </c>
      <c r="I22" s="11">
        <f>IFERROR(100/'Skjema total MA'!F22*G22,0)</f>
        <v>21.976937837267947</v>
      </c>
      <c r="J22" s="292">
        <f t="shared" ref="J22:J35" si="6">SUM(B22,F22)</f>
        <v>126520.8863100757</v>
      </c>
      <c r="K22" s="292">
        <f t="shared" ref="K22:K35" si="7">SUM(C22,G22)</f>
        <v>138858.32198000001</v>
      </c>
      <c r="L22" s="401">
        <f t="shared" ref="L22:L35" si="8">IF(J22=0, "    ---- ", IF(ABS(ROUND(100/J22*K22-100,1))&lt;999,ROUND(100/J22*K22-100,1),IF(ROUND(100/J22*K22-100,1)&gt;999,999,-999)))</f>
        <v>9.8000000000000007</v>
      </c>
      <c r="M22" s="24">
        <f>IFERROR(100/'Skjema total MA'!I22*K22,0)</f>
        <v>12.573017791211143</v>
      </c>
    </row>
    <row r="23" spans="1:14" ht="15.75" x14ac:dyDescent="0.2">
      <c r="A23" s="545" t="s">
        <v>344</v>
      </c>
      <c r="B23" s="258">
        <v>40946.889370075703</v>
      </c>
      <c r="C23" s="258">
        <v>45461</v>
      </c>
      <c r="D23" s="166">
        <f t="shared" si="4"/>
        <v>11</v>
      </c>
      <c r="E23" s="11">
        <f>IFERROR(100/'Skjema total MA'!C23*C23,0)</f>
        <v>13.626456377414257</v>
      </c>
      <c r="F23" s="267">
        <v>977.06</v>
      </c>
      <c r="G23" s="267">
        <v>837.14599999999996</v>
      </c>
      <c r="H23" s="166">
        <f t="shared" si="5"/>
        <v>-14.3</v>
      </c>
      <c r="I23" s="391">
        <f>IFERROR(100/'Skjema total MA'!F23*G23,0)</f>
        <v>1.2438296810392688</v>
      </c>
      <c r="J23" s="267">
        <f t="shared" si="6"/>
        <v>41923.949370075701</v>
      </c>
      <c r="K23" s="267">
        <f t="shared" si="7"/>
        <v>46298.146000000001</v>
      </c>
      <c r="L23" s="166">
        <f t="shared" si="8"/>
        <v>10.4</v>
      </c>
      <c r="M23" s="23">
        <f>IFERROR(100/'Skjema total MA'!I23*K23,0)</f>
        <v>11.547775573175965</v>
      </c>
    </row>
    <row r="24" spans="1:14" ht="15.75" x14ac:dyDescent="0.2">
      <c r="A24" s="545" t="s">
        <v>345</v>
      </c>
      <c r="B24" s="258">
        <v>182.09</v>
      </c>
      <c r="C24" s="258">
        <v>281</v>
      </c>
      <c r="D24" s="166">
        <f t="shared" si="4"/>
        <v>54.3</v>
      </c>
      <c r="E24" s="11">
        <f>IFERROR(100/'Skjema total MA'!C24*C24,0)</f>
        <v>3.78659879141758</v>
      </c>
      <c r="F24" s="267"/>
      <c r="G24" s="267"/>
      <c r="H24" s="166"/>
      <c r="I24" s="391"/>
      <c r="J24" s="267">
        <f t="shared" si="6"/>
        <v>182.09</v>
      </c>
      <c r="K24" s="267">
        <f t="shared" si="7"/>
        <v>281</v>
      </c>
      <c r="L24" s="166">
        <f t="shared" si="8"/>
        <v>54.3</v>
      </c>
      <c r="M24" s="23">
        <f>IFERROR(100/'Skjema total MA'!I24*K24,0)</f>
        <v>3.7622530760975206</v>
      </c>
    </row>
    <row r="25" spans="1:14" ht="15.75" x14ac:dyDescent="0.2">
      <c r="A25" s="545" t="s">
        <v>346</v>
      </c>
      <c r="B25" s="258">
        <v>0</v>
      </c>
      <c r="C25" s="258">
        <v>88</v>
      </c>
      <c r="D25" s="166" t="str">
        <f t="shared" si="4"/>
        <v xml:space="preserve">    ---- </v>
      </c>
      <c r="E25" s="11">
        <f>IFERROR(100/'Skjema total MA'!C25*C25,0)</f>
        <v>0.89443585442025386</v>
      </c>
      <c r="F25" s="267">
        <v>288.74799999999999</v>
      </c>
      <c r="G25" s="267">
        <v>272.84800000000001</v>
      </c>
      <c r="H25" s="166">
        <f t="shared" si="5"/>
        <v>-5.5</v>
      </c>
      <c r="I25" s="391">
        <f>IFERROR(100/'Skjema total MA'!F25*G25,0)</f>
        <v>7.4492110853602505</v>
      </c>
      <c r="J25" s="267">
        <f t="shared" si="6"/>
        <v>288.74799999999999</v>
      </c>
      <c r="K25" s="267">
        <f t="shared" si="7"/>
        <v>360.84800000000001</v>
      </c>
      <c r="L25" s="166">
        <f t="shared" si="8"/>
        <v>25</v>
      </c>
      <c r="M25" s="23">
        <f>IFERROR(100/'Skjema total MA'!I25*K25,0)</f>
        <v>2.6726747564266953</v>
      </c>
    </row>
    <row r="26" spans="1:14" ht="15.75" x14ac:dyDescent="0.2">
      <c r="A26" s="545" t="s">
        <v>347</v>
      </c>
      <c r="B26" s="258"/>
      <c r="C26" s="258"/>
      <c r="D26" s="166"/>
      <c r="E26" s="11"/>
      <c r="F26" s="267">
        <v>84126.098939999996</v>
      </c>
      <c r="G26" s="267">
        <v>91918.327980000002</v>
      </c>
      <c r="H26" s="166">
        <f t="shared" si="5"/>
        <v>9.3000000000000007</v>
      </c>
      <c r="I26" s="391">
        <f>IFERROR(100/'Skjema total MA'!F26*G26,0)</f>
        <v>26.092032869574073</v>
      </c>
      <c r="J26" s="267">
        <f t="shared" si="6"/>
        <v>84126.098939999996</v>
      </c>
      <c r="K26" s="267">
        <f t="shared" si="7"/>
        <v>91918.327980000002</v>
      </c>
      <c r="L26" s="166">
        <f t="shared" si="8"/>
        <v>9.3000000000000007</v>
      </c>
      <c r="M26" s="23">
        <f>IFERROR(100/'Skjema total MA'!I26*K26,0)</f>
        <v>26.092032869574073</v>
      </c>
    </row>
    <row r="27" spans="1:14" x14ac:dyDescent="0.2">
      <c r="A27" s="545" t="s">
        <v>11</v>
      </c>
      <c r="B27" s="258"/>
      <c r="C27" s="258"/>
      <c r="D27" s="166"/>
      <c r="E27" s="11"/>
      <c r="F27" s="267"/>
      <c r="G27" s="267"/>
      <c r="H27" s="166"/>
      <c r="I27" s="391"/>
      <c r="J27" s="267"/>
      <c r="K27" s="267"/>
      <c r="L27" s="166"/>
      <c r="M27" s="23"/>
    </row>
    <row r="28" spans="1:14" ht="15.75" x14ac:dyDescent="0.2">
      <c r="A28" s="49" t="s">
        <v>252</v>
      </c>
      <c r="B28" s="44">
        <v>42285.148528833801</v>
      </c>
      <c r="C28" s="264">
        <v>47123</v>
      </c>
      <c r="D28" s="166">
        <f t="shared" si="4"/>
        <v>11.4</v>
      </c>
      <c r="E28" s="11">
        <f>IFERROR(100/'Skjema total MA'!C28*C28,0)</f>
        <v>6.4776639253316768</v>
      </c>
      <c r="F28" s="211"/>
      <c r="G28" s="264"/>
      <c r="H28" s="166"/>
      <c r="I28" s="27"/>
      <c r="J28" s="44">
        <f t="shared" si="6"/>
        <v>42285.148528833801</v>
      </c>
      <c r="K28" s="44">
        <f t="shared" si="7"/>
        <v>47123</v>
      </c>
      <c r="L28" s="231">
        <f t="shared" si="8"/>
        <v>11.4</v>
      </c>
      <c r="M28" s="23">
        <f>IFERROR(100/'Skjema total MA'!I28*K28,0)</f>
        <v>6.4776639253316768</v>
      </c>
    </row>
    <row r="29" spans="1:14" s="3" customFormat="1" ht="15.75" x14ac:dyDescent="0.2">
      <c r="A29" s="13" t="s">
        <v>341</v>
      </c>
      <c r="B29" s="213">
        <v>3808271.3862410798</v>
      </c>
      <c r="C29" s="213">
        <v>3965871.2067171899</v>
      </c>
      <c r="D29" s="171">
        <f t="shared" si="4"/>
        <v>4.0999999999999996</v>
      </c>
      <c r="E29" s="11">
        <f>IFERROR(100/'Skjema total MA'!C29*C29,0)</f>
        <v>8.6564477510229718</v>
      </c>
      <c r="F29" s="284">
        <v>3908942.4</v>
      </c>
      <c r="G29" s="284">
        <v>5129864.9800000004</v>
      </c>
      <c r="H29" s="171">
        <f t="shared" si="5"/>
        <v>31.2</v>
      </c>
      <c r="I29" s="11">
        <f>IFERROR(100/'Skjema total MA'!F29*G29,0)</f>
        <v>20.184648298627856</v>
      </c>
      <c r="J29" s="213">
        <f t="shared" si="6"/>
        <v>7717213.7862410797</v>
      </c>
      <c r="K29" s="213">
        <f t="shared" si="7"/>
        <v>9095736.1867171898</v>
      </c>
      <c r="L29" s="402">
        <f t="shared" si="8"/>
        <v>17.899999999999999</v>
      </c>
      <c r="M29" s="24">
        <f>IFERROR(100/'Skjema total MA'!I29*K29,0)</f>
        <v>12.769752615894507</v>
      </c>
      <c r="N29" s="148"/>
    </row>
    <row r="30" spans="1:14" s="3" customFormat="1" ht="15.75" x14ac:dyDescent="0.2">
      <c r="A30" s="545" t="s">
        <v>344</v>
      </c>
      <c r="B30" s="258">
        <v>683889.68554401095</v>
      </c>
      <c r="C30" s="258">
        <v>639485.44319273799</v>
      </c>
      <c r="D30" s="166">
        <f t="shared" si="4"/>
        <v>-6.5</v>
      </c>
      <c r="E30" s="11">
        <f>IFERROR(100/'Skjema total MA'!C30*C30,0)</f>
        <v>4.6636352509447301</v>
      </c>
      <c r="F30" s="267">
        <v>441315.597929966</v>
      </c>
      <c r="G30" s="267">
        <v>478482.60882442002</v>
      </c>
      <c r="H30" s="166">
        <f t="shared" si="5"/>
        <v>8.4</v>
      </c>
      <c r="I30" s="391">
        <f>IFERROR(100/'Skjema total MA'!F30*G30,0)</f>
        <v>10.365976798270127</v>
      </c>
      <c r="J30" s="267">
        <f t="shared" si="6"/>
        <v>1125205.2834739769</v>
      </c>
      <c r="K30" s="267">
        <f t="shared" si="7"/>
        <v>1117968.0520171579</v>
      </c>
      <c r="L30" s="166">
        <f t="shared" si="8"/>
        <v>-0.6</v>
      </c>
      <c r="M30" s="23">
        <f>IFERROR(100/'Skjema total MA'!I30*K30,0)</f>
        <v>6.0997614673507847</v>
      </c>
      <c r="N30" s="148"/>
    </row>
    <row r="31" spans="1:14" s="3" customFormat="1" ht="15.75" x14ac:dyDescent="0.2">
      <c r="A31" s="545" t="s">
        <v>345</v>
      </c>
      <c r="B31" s="258">
        <v>2692002.7954797298</v>
      </c>
      <c r="C31" s="258">
        <v>2774208.2231179299</v>
      </c>
      <c r="D31" s="166">
        <f t="shared" si="4"/>
        <v>3.1</v>
      </c>
      <c r="E31" s="11">
        <f>IFERROR(100/'Skjema total MA'!C31*C31,0)</f>
        <v>11.967876739245741</v>
      </c>
      <c r="F31" s="267">
        <v>766686.63866003102</v>
      </c>
      <c r="G31" s="267">
        <v>831076.65987991204</v>
      </c>
      <c r="H31" s="166">
        <f t="shared" si="5"/>
        <v>8.4</v>
      </c>
      <c r="I31" s="391">
        <f>IFERROR(100/'Skjema total MA'!F31*G31,0)</f>
        <v>8.5208091794212724</v>
      </c>
      <c r="J31" s="267">
        <f t="shared" si="6"/>
        <v>3458689.4341397607</v>
      </c>
      <c r="K31" s="267">
        <f t="shared" si="7"/>
        <v>3605284.882997842</v>
      </c>
      <c r="L31" s="166">
        <f t="shared" si="8"/>
        <v>4.2</v>
      </c>
      <c r="M31" s="23">
        <f>IFERROR(100/'Skjema total MA'!I31*K31,0)</f>
        <v>10.947016634494387</v>
      </c>
      <c r="N31" s="148"/>
    </row>
    <row r="32" spans="1:14" ht="15.75" x14ac:dyDescent="0.2">
      <c r="A32" s="545" t="s">
        <v>346</v>
      </c>
      <c r="B32" s="258">
        <v>432378.90521734301</v>
      </c>
      <c r="C32" s="258">
        <v>552177.54040652199</v>
      </c>
      <c r="D32" s="166">
        <f t="shared" si="4"/>
        <v>27.7</v>
      </c>
      <c r="E32" s="11">
        <f>IFERROR(100/'Skjema total MA'!C32*C32,0)</f>
        <v>18.727943606777906</v>
      </c>
      <c r="F32" s="267">
        <v>1856605.1223243701</v>
      </c>
      <c r="G32" s="267">
        <v>2349952.4527302599</v>
      </c>
      <c r="H32" s="166">
        <f t="shared" si="5"/>
        <v>26.6</v>
      </c>
      <c r="I32" s="391">
        <f>IFERROR(100/'Skjema total MA'!F32*G32,0)</f>
        <v>43.143350958310343</v>
      </c>
      <c r="J32" s="267">
        <f t="shared" si="6"/>
        <v>2288984.0275417129</v>
      </c>
      <c r="K32" s="267">
        <f t="shared" si="7"/>
        <v>2902129.9931367817</v>
      </c>
      <c r="L32" s="166">
        <f t="shared" si="8"/>
        <v>26.8</v>
      </c>
      <c r="M32" s="23">
        <f>IFERROR(100/'Skjema total MA'!I32*K32,0)</f>
        <v>34.56866274473667</v>
      </c>
    </row>
    <row r="33" spans="1:14" ht="15.75" x14ac:dyDescent="0.2">
      <c r="A33" s="545" t="s">
        <v>347</v>
      </c>
      <c r="B33" s="258"/>
      <c r="C33" s="258"/>
      <c r="D33" s="166"/>
      <c r="E33" s="11"/>
      <c r="F33" s="267">
        <v>844335.04108563205</v>
      </c>
      <c r="G33" s="267">
        <v>1470353.25856541</v>
      </c>
      <c r="H33" s="166">
        <f t="shared" si="5"/>
        <v>74.099999999999994</v>
      </c>
      <c r="I33" s="391">
        <f>IFERROR(100/'Skjema total MA'!F34*G33,0)</f>
        <v>-5699.2448477016669</v>
      </c>
      <c r="J33" s="267">
        <f t="shared" si="6"/>
        <v>844335.04108563205</v>
      </c>
      <c r="K33" s="267">
        <f t="shared" si="7"/>
        <v>1470353.25856541</v>
      </c>
      <c r="L33" s="166">
        <f t="shared" si="8"/>
        <v>74.099999999999994</v>
      </c>
      <c r="M33" s="23">
        <f>IFERROR(100/'Skjema total MA'!I34*K33,0)</f>
        <v>-6883.9218371363222</v>
      </c>
    </row>
    <row r="34" spans="1:14" ht="15.75" x14ac:dyDescent="0.2">
      <c r="A34" s="13" t="s">
        <v>342</v>
      </c>
      <c r="B34" s="213"/>
      <c r="C34" s="285"/>
      <c r="D34" s="171"/>
      <c r="E34" s="11"/>
      <c r="F34" s="284">
        <v>1883.8627799999999</v>
      </c>
      <c r="G34" s="285">
        <v>3697.76683</v>
      </c>
      <c r="H34" s="171">
        <f t="shared" si="5"/>
        <v>96.3</v>
      </c>
      <c r="I34" s="11">
        <f>IFERROR(100/'Skjema total MA'!F34*G34,0)</f>
        <v>-14.33293559293466</v>
      </c>
      <c r="J34" s="213">
        <f t="shared" si="6"/>
        <v>1883.8627799999999</v>
      </c>
      <c r="K34" s="213">
        <f t="shared" si="7"/>
        <v>3697.76683</v>
      </c>
      <c r="L34" s="402">
        <f t="shared" si="8"/>
        <v>96.3</v>
      </c>
      <c r="M34" s="24">
        <f>IFERROR(100/'Skjema total MA'!I34*K34,0)</f>
        <v>-17.31225994936166</v>
      </c>
    </row>
    <row r="35" spans="1:14" ht="15.75" x14ac:dyDescent="0.2">
      <c r="A35" s="13" t="s">
        <v>343</v>
      </c>
      <c r="B35" s="213"/>
      <c r="C35" s="285"/>
      <c r="D35" s="171"/>
      <c r="E35" s="11"/>
      <c r="F35" s="284">
        <v>6502.2124599999997</v>
      </c>
      <c r="G35" s="285">
        <v>14174.36974</v>
      </c>
      <c r="H35" s="171">
        <f t="shared" si="5"/>
        <v>118</v>
      </c>
      <c r="I35" s="11">
        <f>IFERROR(100/'Skjema total MA'!F35*G35,0)</f>
        <v>23.48133026744582</v>
      </c>
      <c r="J35" s="213">
        <f t="shared" si="6"/>
        <v>6502.2124599999997</v>
      </c>
      <c r="K35" s="213">
        <f t="shared" si="7"/>
        <v>14174.36974</v>
      </c>
      <c r="L35" s="402">
        <f t="shared" si="8"/>
        <v>118</v>
      </c>
      <c r="M35" s="24">
        <f>IFERROR(100/'Skjema total MA'!I35*K35,0)</f>
        <v>162.4190235268714</v>
      </c>
    </row>
    <row r="36" spans="1:14" ht="15.75" x14ac:dyDescent="0.2">
      <c r="A36" s="12" t="s">
        <v>260</v>
      </c>
      <c r="B36" s="213"/>
      <c r="C36" s="285"/>
      <c r="D36" s="171"/>
      <c r="E36" s="11"/>
      <c r="F36" s="295"/>
      <c r="G36" s="296"/>
      <c r="H36" s="171"/>
      <c r="I36" s="408"/>
      <c r="J36" s="213"/>
      <c r="K36" s="213"/>
      <c r="L36" s="402"/>
      <c r="M36" s="24"/>
    </row>
    <row r="37" spans="1:14" ht="15.75" x14ac:dyDescent="0.2">
      <c r="A37" s="12" t="s">
        <v>349</v>
      </c>
      <c r="B37" s="213"/>
      <c r="C37" s="285"/>
      <c r="D37" s="171"/>
      <c r="E37" s="11"/>
      <c r="F37" s="295"/>
      <c r="G37" s="297"/>
      <c r="H37" s="171"/>
      <c r="I37" s="408"/>
      <c r="J37" s="213"/>
      <c r="K37" s="213"/>
      <c r="L37" s="402"/>
      <c r="M37" s="24"/>
    </row>
    <row r="38" spans="1:14" ht="15.75" x14ac:dyDescent="0.2">
      <c r="A38" s="12" t="s">
        <v>350</v>
      </c>
      <c r="B38" s="213"/>
      <c r="C38" s="285"/>
      <c r="D38" s="171"/>
      <c r="E38" s="24"/>
      <c r="F38" s="295"/>
      <c r="G38" s="296"/>
      <c r="H38" s="171"/>
      <c r="I38" s="408"/>
      <c r="J38" s="213"/>
      <c r="K38" s="213"/>
      <c r="L38" s="402"/>
      <c r="M38" s="24"/>
    </row>
    <row r="39" spans="1:14" ht="15.75" x14ac:dyDescent="0.2">
      <c r="A39" s="18" t="s">
        <v>351</v>
      </c>
      <c r="B39" s="253"/>
      <c r="C39" s="291"/>
      <c r="D39" s="169"/>
      <c r="E39" s="36"/>
      <c r="F39" s="298"/>
      <c r="G39" s="299"/>
      <c r="H39" s="169"/>
      <c r="I39" s="36"/>
      <c r="J39" s="213"/>
      <c r="K39" s="213"/>
      <c r="L39" s="403"/>
      <c r="M39" s="36"/>
    </row>
    <row r="40" spans="1:14" ht="15.75" x14ac:dyDescent="0.25">
      <c r="A40" s="47"/>
      <c r="B40" s="230"/>
      <c r="C40" s="230"/>
      <c r="D40" s="698"/>
      <c r="E40" s="698"/>
      <c r="F40" s="698"/>
      <c r="G40" s="698"/>
      <c r="H40" s="698"/>
      <c r="I40" s="698"/>
      <c r="J40" s="698"/>
      <c r="K40" s="698"/>
      <c r="L40" s="698"/>
      <c r="M40" s="278"/>
    </row>
    <row r="41" spans="1:14" x14ac:dyDescent="0.2">
      <c r="A41" s="155"/>
    </row>
    <row r="42" spans="1:14" ht="15.75" x14ac:dyDescent="0.25">
      <c r="A42" s="147" t="s">
        <v>249</v>
      </c>
      <c r="B42" s="699"/>
      <c r="C42" s="699"/>
      <c r="D42" s="699"/>
      <c r="E42" s="275"/>
      <c r="F42" s="700"/>
      <c r="G42" s="700"/>
      <c r="H42" s="700"/>
      <c r="I42" s="278"/>
      <c r="J42" s="700"/>
      <c r="K42" s="700"/>
      <c r="L42" s="700"/>
      <c r="M42" s="278"/>
    </row>
    <row r="43" spans="1:14" ht="15.75" x14ac:dyDescent="0.25">
      <c r="A43" s="163"/>
      <c r="B43" s="279"/>
      <c r="C43" s="279"/>
      <c r="D43" s="279"/>
      <c r="E43" s="279"/>
      <c r="F43" s="278"/>
      <c r="G43" s="278"/>
      <c r="H43" s="278"/>
      <c r="I43" s="278"/>
      <c r="J43" s="278"/>
      <c r="K43" s="278"/>
      <c r="L43" s="278"/>
      <c r="M43" s="278"/>
    </row>
    <row r="44" spans="1:14" ht="15.75" x14ac:dyDescent="0.25">
      <c r="A44" s="224"/>
      <c r="B44" s="695" t="s">
        <v>0</v>
      </c>
      <c r="C44" s="696"/>
      <c r="D44" s="696"/>
      <c r="E44" s="220"/>
      <c r="F44" s="278"/>
      <c r="G44" s="278"/>
      <c r="H44" s="278"/>
      <c r="I44" s="278"/>
      <c r="J44" s="278"/>
      <c r="K44" s="278"/>
      <c r="L44" s="278"/>
      <c r="M44" s="278"/>
    </row>
    <row r="45" spans="1:14" s="3" customFormat="1" x14ac:dyDescent="0.2">
      <c r="A45" s="140"/>
      <c r="B45" s="152" t="s">
        <v>412</v>
      </c>
      <c r="C45" s="152" t="s">
        <v>413</v>
      </c>
      <c r="D45" s="162" t="s">
        <v>3</v>
      </c>
      <c r="E45" s="162" t="s">
        <v>29</v>
      </c>
      <c r="F45" s="174"/>
      <c r="G45" s="174"/>
      <c r="H45" s="173"/>
      <c r="I45" s="173"/>
      <c r="J45" s="174"/>
      <c r="K45" s="174"/>
      <c r="L45" s="173"/>
      <c r="M45" s="173"/>
      <c r="N45" s="148"/>
    </row>
    <row r="46" spans="1:14" s="3" customFormat="1" x14ac:dyDescent="0.2">
      <c r="A46" s="662"/>
      <c r="B46" s="221"/>
      <c r="C46" s="221"/>
      <c r="D46" s="222" t="s">
        <v>4</v>
      </c>
      <c r="E46" s="156" t="s">
        <v>30</v>
      </c>
      <c r="F46" s="173"/>
      <c r="G46" s="173"/>
      <c r="H46" s="173"/>
      <c r="I46" s="173"/>
      <c r="J46" s="173"/>
      <c r="K46" s="173"/>
      <c r="L46" s="173"/>
      <c r="M46" s="173"/>
      <c r="N46" s="148"/>
    </row>
    <row r="47" spans="1:14" s="3" customFormat="1" ht="15.75" x14ac:dyDescent="0.2">
      <c r="A47" s="14" t="s">
        <v>23</v>
      </c>
      <c r="B47" s="286"/>
      <c r="C47" s="287"/>
      <c r="D47" s="401"/>
      <c r="E47" s="11"/>
      <c r="F47" s="145"/>
      <c r="G47" s="33"/>
      <c r="H47" s="159"/>
      <c r="I47" s="159"/>
      <c r="J47" s="37"/>
      <c r="K47" s="37"/>
      <c r="L47" s="159"/>
      <c r="M47" s="159"/>
      <c r="N47" s="148"/>
    </row>
    <row r="48" spans="1:14" s="3" customFormat="1" ht="15.75" x14ac:dyDescent="0.2">
      <c r="A48" s="38" t="s">
        <v>352</v>
      </c>
      <c r="B48" s="258"/>
      <c r="C48" s="259"/>
      <c r="D48" s="231"/>
      <c r="E48" s="27"/>
      <c r="F48" s="145"/>
      <c r="G48" s="33"/>
      <c r="H48" s="145"/>
      <c r="I48" s="145"/>
      <c r="J48" s="33"/>
      <c r="K48" s="33"/>
      <c r="L48" s="159"/>
      <c r="M48" s="159"/>
      <c r="N48" s="148"/>
    </row>
    <row r="49" spans="1:14" s="3" customFormat="1" ht="15.75" x14ac:dyDescent="0.2">
      <c r="A49" s="38" t="s">
        <v>353</v>
      </c>
      <c r="B49" s="44"/>
      <c r="C49" s="264"/>
      <c r="D49" s="231"/>
      <c r="E49" s="27"/>
      <c r="F49" s="145"/>
      <c r="G49" s="33"/>
      <c r="H49" s="145"/>
      <c r="I49" s="145"/>
      <c r="J49" s="37"/>
      <c r="K49" s="37"/>
      <c r="L49" s="159"/>
      <c r="M49" s="159"/>
      <c r="N49" s="148"/>
    </row>
    <row r="50" spans="1:14" s="3" customFormat="1" x14ac:dyDescent="0.2">
      <c r="A50" s="272" t="s">
        <v>6</v>
      </c>
      <c r="B50" s="295"/>
      <c r="C50" s="295"/>
      <c r="D50" s="231"/>
      <c r="E50" s="23"/>
      <c r="F50" s="145"/>
      <c r="G50" s="33"/>
      <c r="H50" s="145"/>
      <c r="I50" s="145"/>
      <c r="J50" s="33"/>
      <c r="K50" s="33"/>
      <c r="L50" s="159"/>
      <c r="M50" s="159"/>
      <c r="N50" s="148"/>
    </row>
    <row r="51" spans="1:14" s="3" customFormat="1" x14ac:dyDescent="0.2">
      <c r="A51" s="272" t="s">
        <v>7</v>
      </c>
      <c r="B51" s="295"/>
      <c r="C51" s="295"/>
      <c r="D51" s="231"/>
      <c r="E51" s="23"/>
      <c r="F51" s="145"/>
      <c r="G51" s="33"/>
      <c r="H51" s="145"/>
      <c r="I51" s="145"/>
      <c r="J51" s="33"/>
      <c r="K51" s="33"/>
      <c r="L51" s="159"/>
      <c r="M51" s="159"/>
      <c r="N51" s="148"/>
    </row>
    <row r="52" spans="1:14" s="3" customFormat="1" x14ac:dyDescent="0.2">
      <c r="A52" s="272" t="s">
        <v>8</v>
      </c>
      <c r="B52" s="295"/>
      <c r="C52" s="295"/>
      <c r="D52" s="231"/>
      <c r="E52" s="23"/>
      <c r="F52" s="145"/>
      <c r="G52" s="33"/>
      <c r="H52" s="145"/>
      <c r="I52" s="145"/>
      <c r="J52" s="33"/>
      <c r="K52" s="33"/>
      <c r="L52" s="159"/>
      <c r="M52" s="159"/>
      <c r="N52" s="148"/>
    </row>
    <row r="53" spans="1:14" s="3" customFormat="1" ht="15.75" x14ac:dyDescent="0.2">
      <c r="A53" s="39" t="s">
        <v>354</v>
      </c>
      <c r="B53" s="286"/>
      <c r="C53" s="287"/>
      <c r="D53" s="402"/>
      <c r="E53" s="11"/>
      <c r="F53" s="145"/>
      <c r="G53" s="33"/>
      <c r="H53" s="145"/>
      <c r="I53" s="145"/>
      <c r="J53" s="33"/>
      <c r="K53" s="33"/>
      <c r="L53" s="159"/>
      <c r="M53" s="159"/>
      <c r="N53" s="148"/>
    </row>
    <row r="54" spans="1:14" s="3" customFormat="1" ht="15.75" x14ac:dyDescent="0.2">
      <c r="A54" s="38" t="s">
        <v>352</v>
      </c>
      <c r="B54" s="258"/>
      <c r="C54" s="259"/>
      <c r="D54" s="231"/>
      <c r="E54" s="27"/>
      <c r="F54" s="145"/>
      <c r="G54" s="33"/>
      <c r="H54" s="145"/>
      <c r="I54" s="145"/>
      <c r="J54" s="33"/>
      <c r="K54" s="33"/>
      <c r="L54" s="159"/>
      <c r="M54" s="159"/>
      <c r="N54" s="148"/>
    </row>
    <row r="55" spans="1:14" s="3" customFormat="1" ht="15.75" x14ac:dyDescent="0.2">
      <c r="A55" s="38" t="s">
        <v>353</v>
      </c>
      <c r="B55" s="258"/>
      <c r="C55" s="259"/>
      <c r="D55" s="231"/>
      <c r="E55" s="27"/>
      <c r="F55" s="145"/>
      <c r="G55" s="33"/>
      <c r="H55" s="145"/>
      <c r="I55" s="145"/>
      <c r="J55" s="33"/>
      <c r="K55" s="33"/>
      <c r="L55" s="159"/>
      <c r="M55" s="159"/>
      <c r="N55" s="148"/>
    </row>
    <row r="56" spans="1:14" s="3" customFormat="1" ht="15.75" x14ac:dyDescent="0.2">
      <c r="A56" s="39" t="s">
        <v>355</v>
      </c>
      <c r="B56" s="286"/>
      <c r="C56" s="287"/>
      <c r="D56" s="402"/>
      <c r="E56" s="11"/>
      <c r="F56" s="145"/>
      <c r="G56" s="33"/>
      <c r="H56" s="145"/>
      <c r="I56" s="145"/>
      <c r="J56" s="33"/>
      <c r="K56" s="33"/>
      <c r="L56" s="159"/>
      <c r="M56" s="159"/>
      <c r="N56" s="148"/>
    </row>
    <row r="57" spans="1:14" s="3" customFormat="1" ht="15.75" x14ac:dyDescent="0.2">
      <c r="A57" s="38" t="s">
        <v>352</v>
      </c>
      <c r="B57" s="258"/>
      <c r="C57" s="259"/>
      <c r="D57" s="231"/>
      <c r="E57" s="27"/>
      <c r="F57" s="145"/>
      <c r="G57" s="33"/>
      <c r="H57" s="145"/>
      <c r="I57" s="145"/>
      <c r="J57" s="33"/>
      <c r="K57" s="33"/>
      <c r="L57" s="159"/>
      <c r="M57" s="159"/>
      <c r="N57" s="148"/>
    </row>
    <row r="58" spans="1:14" s="3" customFormat="1" ht="15.75" x14ac:dyDescent="0.2">
      <c r="A58" s="46" t="s">
        <v>353</v>
      </c>
      <c r="B58" s="260"/>
      <c r="C58" s="261"/>
      <c r="D58" s="232"/>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250</v>
      </c>
      <c r="C61" s="26"/>
      <c r="D61" s="26"/>
      <c r="E61" s="26"/>
      <c r="F61" s="26"/>
      <c r="G61" s="26"/>
      <c r="H61" s="26"/>
      <c r="I61" s="26"/>
      <c r="J61" s="26"/>
      <c r="K61" s="26"/>
      <c r="L61" s="26"/>
      <c r="M61" s="26"/>
    </row>
    <row r="62" spans="1:14" ht="15.75" x14ac:dyDescent="0.25">
      <c r="B62" s="694"/>
      <c r="C62" s="694"/>
      <c r="D62" s="694"/>
      <c r="E62" s="275"/>
      <c r="F62" s="694"/>
      <c r="G62" s="694"/>
      <c r="H62" s="694"/>
      <c r="I62" s="275"/>
      <c r="J62" s="694"/>
      <c r="K62" s="694"/>
      <c r="L62" s="694"/>
      <c r="M62" s="275"/>
    </row>
    <row r="63" spans="1:14" x14ac:dyDescent="0.2">
      <c r="A63" s="144"/>
      <c r="B63" s="695" t="s">
        <v>0</v>
      </c>
      <c r="C63" s="696"/>
      <c r="D63" s="697"/>
      <c r="E63" s="276"/>
      <c r="F63" s="696" t="s">
        <v>1</v>
      </c>
      <c r="G63" s="696"/>
      <c r="H63" s="696"/>
      <c r="I63" s="280"/>
      <c r="J63" s="695" t="s">
        <v>2</v>
      </c>
      <c r="K63" s="696"/>
      <c r="L63" s="696"/>
      <c r="M63" s="280"/>
    </row>
    <row r="64" spans="1:14" x14ac:dyDescent="0.2">
      <c r="A64" s="140"/>
      <c r="B64" s="152" t="s">
        <v>412</v>
      </c>
      <c r="C64" s="152" t="s">
        <v>413</v>
      </c>
      <c r="D64" s="222" t="s">
        <v>3</v>
      </c>
      <c r="E64" s="281" t="s">
        <v>29</v>
      </c>
      <c r="F64" s="152" t="s">
        <v>412</v>
      </c>
      <c r="G64" s="152" t="s">
        <v>413</v>
      </c>
      <c r="H64" s="222" t="s">
        <v>3</v>
      </c>
      <c r="I64" s="281" t="s">
        <v>29</v>
      </c>
      <c r="J64" s="152" t="s">
        <v>412</v>
      </c>
      <c r="K64" s="152" t="s">
        <v>413</v>
      </c>
      <c r="L64" s="222" t="s">
        <v>3</v>
      </c>
      <c r="M64" s="162" t="s">
        <v>29</v>
      </c>
    </row>
    <row r="65" spans="1:14" x14ac:dyDescent="0.2">
      <c r="A65" s="662"/>
      <c r="B65" s="156"/>
      <c r="C65" s="156"/>
      <c r="D65" s="223" t="s">
        <v>4</v>
      </c>
      <c r="E65" s="156" t="s">
        <v>30</v>
      </c>
      <c r="F65" s="161"/>
      <c r="G65" s="161"/>
      <c r="H65" s="222" t="s">
        <v>4</v>
      </c>
      <c r="I65" s="156" t="s">
        <v>30</v>
      </c>
      <c r="J65" s="161"/>
      <c r="K65" s="203"/>
      <c r="L65" s="156" t="s">
        <v>4</v>
      </c>
      <c r="M65" s="156" t="s">
        <v>30</v>
      </c>
    </row>
    <row r="66" spans="1:14" ht="15.75" x14ac:dyDescent="0.2">
      <c r="A66" s="14" t="s">
        <v>23</v>
      </c>
      <c r="B66" s="329">
        <v>466662</v>
      </c>
      <c r="C66" s="329">
        <v>467656</v>
      </c>
      <c r="D66" s="326">
        <f>IF(B66=0, "    ---- ", IF(ABS(ROUND(100/B66*C66-100,1))&lt;999,ROUND(100/B66*C66-100,1),IF(ROUND(100/B66*C66-100,1)&gt;999,999,-999)))</f>
        <v>0.2</v>
      </c>
      <c r="E66" s="11">
        <f>IFERROR(100/'Skjema total MA'!C66*C66,0)</f>
        <v>14.986655363215389</v>
      </c>
      <c r="F66" s="328">
        <v>1211098.9339999999</v>
      </c>
      <c r="G66" s="328">
        <v>1520461</v>
      </c>
      <c r="H66" s="326">
        <f>IF(F66=0, "    ---- ", IF(ABS(ROUND(100/F66*G66-100,1))&lt;999,ROUND(100/F66*G66-100,1),IF(ROUND(100/F66*G66-100,1)&gt;999,999,-999)))</f>
        <v>25.5</v>
      </c>
      <c r="I66" s="24">
        <f>IFERROR(100/'Skjema total MA'!F66*G66,0)</f>
        <v>15.954499276741256</v>
      </c>
      <c r="J66" s="159">
        <f t="shared" ref="J66:K68" si="9">SUM(B66,F66)</f>
        <v>1677760.9339999999</v>
      </c>
      <c r="K66" s="292">
        <f t="shared" si="9"/>
        <v>1988117</v>
      </c>
      <c r="L66" s="402">
        <f>IF(J66=0, "    ---- ", IF(ABS(ROUND(100/J66*K66-100,1))&lt;999,ROUND(100/J66*K66-100,1),IF(ROUND(100/J66*K66-100,1)&gt;999,999,-999)))</f>
        <v>18.5</v>
      </c>
      <c r="M66" s="11">
        <f>IFERROR(100/'Skjema total MA'!I66*K66,0)</f>
        <v>15.715761792934551</v>
      </c>
    </row>
    <row r="67" spans="1:14" x14ac:dyDescent="0.2">
      <c r="A67" s="393" t="s">
        <v>9</v>
      </c>
      <c r="B67" s="44">
        <v>411448</v>
      </c>
      <c r="C67" s="145">
        <v>412133.21799999999</v>
      </c>
      <c r="D67" s="166">
        <f>IF(B67=0, "    ---- ", IF(ABS(ROUND(100/B67*C67-100,1))&lt;999,ROUND(100/B67*C67-100,1),IF(ROUND(100/B67*C67-100,1)&gt;999,999,-999)))</f>
        <v>0.2</v>
      </c>
      <c r="E67" s="23">
        <f>IFERROR(100/'Skjema total MA'!C67*C67,0)</f>
        <v>17.012519554034011</v>
      </c>
      <c r="F67" s="211"/>
      <c r="G67" s="145"/>
      <c r="H67" s="166"/>
      <c r="I67" s="23"/>
      <c r="J67" s="145">
        <f t="shared" si="9"/>
        <v>411448</v>
      </c>
      <c r="K67" s="44">
        <f t="shared" si="9"/>
        <v>412133.21799999999</v>
      </c>
      <c r="L67" s="231">
        <f>IF(J67=0, "    ---- ", IF(ABS(ROUND(100/J67*K67-100,1))&lt;999,ROUND(100/J67*K67-100,1),IF(ROUND(100/J67*K67-100,1)&gt;999,999,-999)))</f>
        <v>0.2</v>
      </c>
      <c r="M67" s="27">
        <f>IFERROR(100/'Skjema total MA'!I67*K67,0)</f>
        <v>17.012519554034011</v>
      </c>
    </row>
    <row r="68" spans="1:14" x14ac:dyDescent="0.2">
      <c r="A68" s="21" t="s">
        <v>10</v>
      </c>
      <c r="B68" s="268">
        <v>5041</v>
      </c>
      <c r="C68" s="269">
        <v>4766</v>
      </c>
      <c r="D68" s="166">
        <f>IF(B68=0, "    ---- ", IF(ABS(ROUND(100/B68*C68-100,1))&lt;999,ROUND(100/B68*C68-100,1),IF(ROUND(100/B68*C68-100,1)&gt;999,999,-999)))</f>
        <v>-5.5</v>
      </c>
      <c r="E68" s="23">
        <f>IFERROR(100/'Skjema total MA'!C68*C68,0)</f>
        <v>34.523674772959758</v>
      </c>
      <c r="F68" s="268">
        <v>1211098.9339999999</v>
      </c>
      <c r="G68" s="269">
        <v>1520461</v>
      </c>
      <c r="H68" s="166">
        <f>IF(F68=0, "    ---- ", IF(ABS(ROUND(100/F68*G68-100,1))&lt;999,ROUND(100/F68*G68-100,1),IF(ROUND(100/F68*G68-100,1)&gt;999,999,-999)))</f>
        <v>25.5</v>
      </c>
      <c r="I68" s="23">
        <f>IFERROR(100/'Skjema total MA'!F68*G68,0)</f>
        <v>16.601376863100878</v>
      </c>
      <c r="J68" s="145">
        <f t="shared" si="9"/>
        <v>1216139.9339999999</v>
      </c>
      <c r="K68" s="44">
        <f t="shared" si="9"/>
        <v>1525227</v>
      </c>
      <c r="L68" s="231">
        <f>IF(J68=0, "    ---- ", IF(ABS(ROUND(100/J68*K68-100,1))&lt;999,ROUND(100/J68*K68-100,1),IF(ROUND(100/J68*K68-100,1)&gt;999,999,-999)))</f>
        <v>25.4</v>
      </c>
      <c r="M68" s="27">
        <f>IFERROR(100/'Skjema total MA'!I68*K68,0)</f>
        <v>16.628350866530941</v>
      </c>
    </row>
    <row r="69" spans="1:14" ht="15.75" x14ac:dyDescent="0.2">
      <c r="A69" s="272" t="s">
        <v>356</v>
      </c>
      <c r="B69" s="295"/>
      <c r="C69" s="295"/>
      <c r="D69" s="166"/>
      <c r="E69" s="23"/>
      <c r="F69" s="295"/>
      <c r="G69" s="295"/>
      <c r="H69" s="166"/>
      <c r="I69" s="23"/>
      <c r="J69" s="295"/>
      <c r="K69" s="295"/>
      <c r="L69" s="166"/>
      <c r="M69" s="23"/>
    </row>
    <row r="70" spans="1:14" x14ac:dyDescent="0.2">
      <c r="A70" s="272" t="s">
        <v>12</v>
      </c>
      <c r="B70" s="270"/>
      <c r="C70" s="271"/>
      <c r="D70" s="166"/>
      <c r="E70" s="23"/>
      <c r="F70" s="270"/>
      <c r="G70" s="271"/>
      <c r="H70" s="166"/>
      <c r="I70" s="23"/>
      <c r="J70" s="270"/>
      <c r="K70" s="271"/>
      <c r="L70" s="166"/>
      <c r="M70" s="23"/>
    </row>
    <row r="71" spans="1:14" x14ac:dyDescent="0.2">
      <c r="A71" s="272" t="s">
        <v>13</v>
      </c>
      <c r="B71" s="212"/>
      <c r="C71" s="266"/>
      <c r="D71" s="166"/>
      <c r="E71" s="23"/>
      <c r="F71" s="212"/>
      <c r="G71" s="266"/>
      <c r="H71" s="166"/>
      <c r="I71" s="23"/>
      <c r="J71" s="212"/>
      <c r="K71" s="266"/>
      <c r="L71" s="166"/>
      <c r="M71" s="23"/>
    </row>
    <row r="72" spans="1:14" ht="15.75" x14ac:dyDescent="0.2">
      <c r="A72" s="272" t="s">
        <v>357</v>
      </c>
      <c r="B72" s="295"/>
      <c r="C72" s="295"/>
      <c r="D72" s="166"/>
      <c r="E72" s="23"/>
      <c r="F72" s="295"/>
      <c r="G72" s="295"/>
      <c r="H72" s="166"/>
      <c r="I72" s="23"/>
      <c r="J72" s="295"/>
      <c r="K72" s="295"/>
      <c r="L72" s="166"/>
      <c r="M72" s="23"/>
    </row>
    <row r="73" spans="1:14" x14ac:dyDescent="0.2">
      <c r="A73" s="272" t="s">
        <v>12</v>
      </c>
      <c r="B73" s="212"/>
      <c r="C73" s="266"/>
      <c r="D73" s="166"/>
      <c r="E73" s="23"/>
      <c r="F73" s="212"/>
      <c r="G73" s="266"/>
      <c r="H73" s="166"/>
      <c r="I73" s="23"/>
      <c r="J73" s="212"/>
      <c r="K73" s="266"/>
      <c r="L73" s="166"/>
      <c r="M73" s="23"/>
    </row>
    <row r="74" spans="1:14" s="3" customFormat="1" x14ac:dyDescent="0.2">
      <c r="A74" s="272" t="s">
        <v>13</v>
      </c>
      <c r="B74" s="212"/>
      <c r="C74" s="266"/>
      <c r="D74" s="166"/>
      <c r="E74" s="23"/>
      <c r="F74" s="212"/>
      <c r="G74" s="266"/>
      <c r="H74" s="166"/>
      <c r="I74" s="23"/>
      <c r="J74" s="212"/>
      <c r="K74" s="266"/>
      <c r="L74" s="166"/>
      <c r="M74" s="23"/>
      <c r="N74" s="148"/>
    </row>
    <row r="75" spans="1:14" s="3" customFormat="1" x14ac:dyDescent="0.2">
      <c r="A75" s="21" t="s">
        <v>326</v>
      </c>
      <c r="B75" s="211"/>
      <c r="C75" s="145"/>
      <c r="D75" s="166"/>
      <c r="E75" s="23"/>
      <c r="F75" s="211"/>
      <c r="G75" s="145"/>
      <c r="H75" s="166"/>
      <c r="I75" s="23"/>
      <c r="J75" s="145"/>
      <c r="K75" s="44"/>
      <c r="L75" s="231"/>
      <c r="M75" s="27"/>
      <c r="N75" s="148"/>
    </row>
    <row r="76" spans="1:14" s="3" customFormat="1" x14ac:dyDescent="0.2">
      <c r="A76" s="21" t="s">
        <v>325</v>
      </c>
      <c r="B76" s="211">
        <v>50173</v>
      </c>
      <c r="C76" s="145">
        <v>50756.781999999999</v>
      </c>
      <c r="D76" s="166">
        <f>IF(B76=0, "    ---- ", IF(ABS(ROUND(100/B76*C76-100,1))&lt;999,ROUND(100/B76*C76-100,1),IF(ROUND(100/B76*C76-100,1)&gt;999,999,-999)))</f>
        <v>1.2</v>
      </c>
      <c r="E76" s="23">
        <f>IFERROR(100/'Skjema total MA'!C77*C76,0)</f>
        <v>2.1639106156712642</v>
      </c>
      <c r="F76" s="211"/>
      <c r="G76" s="145"/>
      <c r="H76" s="166"/>
      <c r="I76" s="23"/>
      <c r="J76" s="145">
        <f t="shared" ref="J76:K79" si="10">SUM(B76,F76)</f>
        <v>50173</v>
      </c>
      <c r="K76" s="44">
        <f t="shared" si="10"/>
        <v>50756.781999999999</v>
      </c>
      <c r="L76" s="231">
        <f>IF(J76=0, "    ---- ", IF(ABS(ROUND(100/J76*K76-100,1))&lt;999,ROUND(100/J76*K76-100,1),IF(ROUND(100/J76*K76-100,1)&gt;999,999,-999)))</f>
        <v>1.2</v>
      </c>
      <c r="M76" s="27">
        <f>IFERROR(100/'Skjema total MA'!I77*K76,0)</f>
        <v>0.441315629159725</v>
      </c>
      <c r="N76" s="148"/>
    </row>
    <row r="77" spans="1:14" ht="15.75" x14ac:dyDescent="0.2">
      <c r="A77" s="21" t="s">
        <v>358</v>
      </c>
      <c r="B77" s="211">
        <v>410105</v>
      </c>
      <c r="C77" s="211">
        <v>411027.01</v>
      </c>
      <c r="D77" s="166">
        <f>IF(B77=0, "    ---- ", IF(ABS(ROUND(100/B77*C77-100,1))&lt;999,ROUND(100/B77*C77-100,1),IF(ROUND(100/B77*C77-100,1)&gt;999,999,-999)))</f>
        <v>0.2</v>
      </c>
      <c r="E77" s="23">
        <f>IFERROR(100/'Skjema total MA'!C77*C77,0)</f>
        <v>17.52328802615223</v>
      </c>
      <c r="F77" s="211">
        <v>1210181.645</v>
      </c>
      <c r="G77" s="145">
        <v>1519640</v>
      </c>
      <c r="H77" s="166">
        <f>IF(F77=0, "    ---- ", IF(ABS(ROUND(100/F77*G77-100,1))&lt;999,ROUND(100/F77*G77-100,1),IF(ROUND(100/F77*G77-100,1)&gt;999,999,-999)))</f>
        <v>25.6</v>
      </c>
      <c r="I77" s="23">
        <f>IFERROR(100/'Skjema total MA'!F77*G77,0)</f>
        <v>16.597859480766409</v>
      </c>
      <c r="J77" s="145">
        <f t="shared" si="10"/>
        <v>1620286.645</v>
      </c>
      <c r="K77" s="44">
        <f t="shared" si="10"/>
        <v>1930667.01</v>
      </c>
      <c r="L77" s="231">
        <f>IF(J77=0, "    ---- ", IF(ABS(ROUND(100/J77*K77-100,1))&lt;999,ROUND(100/J77*K77-100,1),IF(ROUND(100/J77*K77-100,1)&gt;999,999,-999)))</f>
        <v>19.2</v>
      </c>
      <c r="M77" s="27">
        <f>IFERROR(100/'Skjema total MA'!I77*K77,0)</f>
        <v>16.786594670561957</v>
      </c>
    </row>
    <row r="78" spans="1:14" x14ac:dyDescent="0.2">
      <c r="A78" s="21" t="s">
        <v>9</v>
      </c>
      <c r="B78" s="211">
        <v>405981</v>
      </c>
      <c r="C78" s="145">
        <v>407082.01</v>
      </c>
      <c r="D78" s="166">
        <f>IF(B78=0, "    ---- ", IF(ABS(ROUND(100/B78*C78-100,1))&lt;999,ROUND(100/B78*C78-100,1),IF(ROUND(100/B78*C78-100,1)&gt;999,999,-999)))</f>
        <v>0.3</v>
      </c>
      <c r="E78" s="23">
        <f>IFERROR(100/'Skjema total MA'!C78*C78,0)</f>
        <v>17.451704457846791</v>
      </c>
      <c r="F78" s="211"/>
      <c r="G78" s="145"/>
      <c r="H78" s="166"/>
      <c r="I78" s="23"/>
      <c r="J78" s="145">
        <f t="shared" si="10"/>
        <v>405981</v>
      </c>
      <c r="K78" s="44">
        <f t="shared" si="10"/>
        <v>407082.01</v>
      </c>
      <c r="L78" s="231">
        <f>IF(J78=0, "    ---- ", IF(ABS(ROUND(100/J78*K78-100,1))&lt;999,ROUND(100/J78*K78-100,1),IF(ROUND(100/J78*K78-100,1)&gt;999,999,-999)))</f>
        <v>0.3</v>
      </c>
      <c r="M78" s="27">
        <f>IFERROR(100/'Skjema total MA'!I78*K78,0)</f>
        <v>17.451704457846791</v>
      </c>
    </row>
    <row r="79" spans="1:14" x14ac:dyDescent="0.2">
      <c r="A79" s="38" t="s">
        <v>398</v>
      </c>
      <c r="B79" s="268">
        <v>4124</v>
      </c>
      <c r="C79" s="269">
        <v>3945</v>
      </c>
      <c r="D79" s="166">
        <f>IF(B79=0, "    ---- ", IF(ABS(ROUND(100/B79*C79-100,1))&lt;999,ROUND(100/B79*C79-100,1),IF(ROUND(100/B79*C79-100,1)&gt;999,999,-999)))</f>
        <v>-4.3</v>
      </c>
      <c r="E79" s="23">
        <f>IFERROR(100/'Skjema total MA'!C79*C79,0)</f>
        <v>30.383503585954283</v>
      </c>
      <c r="F79" s="268">
        <v>1210181.645</v>
      </c>
      <c r="G79" s="269">
        <v>1519640</v>
      </c>
      <c r="H79" s="166">
        <f>IF(F79=0, "    ---- ", IF(ABS(ROUND(100/F79*G79-100,1))&lt;999,ROUND(100/F79*G79-100,1),IF(ROUND(100/F79*G79-100,1)&gt;999,999,-999)))</f>
        <v>25.6</v>
      </c>
      <c r="I79" s="23">
        <f>IFERROR(100/'Skjema total MA'!F79*G79,0)</f>
        <v>16.597859480766409</v>
      </c>
      <c r="J79" s="145">
        <f t="shared" si="10"/>
        <v>1214305.645</v>
      </c>
      <c r="K79" s="44">
        <f t="shared" si="10"/>
        <v>1523585</v>
      </c>
      <c r="L79" s="231">
        <f>IF(J79=0, "    ---- ", IF(ABS(ROUND(100/J79*K79-100,1))&lt;999,ROUND(100/J79*K79-100,1),IF(ROUND(100/J79*K79-100,1)&gt;999,999,-999)))</f>
        <v>25.5</v>
      </c>
      <c r="M79" s="27">
        <f>IFERROR(100/'Skjema total MA'!I79*K79,0)</f>
        <v>16.617381832311551</v>
      </c>
    </row>
    <row r="80" spans="1:14" ht="15.75" x14ac:dyDescent="0.2">
      <c r="A80" s="272" t="s">
        <v>356</v>
      </c>
      <c r="B80" s="295"/>
      <c r="C80" s="295"/>
      <c r="D80" s="166"/>
      <c r="E80" s="23"/>
      <c r="F80" s="295"/>
      <c r="G80" s="295"/>
      <c r="H80" s="166"/>
      <c r="I80" s="23"/>
      <c r="J80" s="295"/>
      <c r="K80" s="295"/>
      <c r="L80" s="166"/>
      <c r="M80" s="23"/>
    </row>
    <row r="81" spans="1:13" x14ac:dyDescent="0.2">
      <c r="A81" s="272" t="s">
        <v>12</v>
      </c>
      <c r="B81" s="295"/>
      <c r="C81" s="295"/>
      <c r="D81" s="166"/>
      <c r="E81" s="23"/>
      <c r="F81" s="270"/>
      <c r="G81" s="271"/>
      <c r="H81" s="166"/>
      <c r="I81" s="23"/>
      <c r="J81" s="270"/>
      <c r="K81" s="271"/>
      <c r="L81" s="166"/>
      <c r="M81" s="23"/>
    </row>
    <row r="82" spans="1:13" x14ac:dyDescent="0.2">
      <c r="A82" s="272" t="s">
        <v>13</v>
      </c>
      <c r="B82" s="295"/>
      <c r="C82" s="295"/>
      <c r="D82" s="166"/>
      <c r="E82" s="23"/>
      <c r="F82" s="212"/>
      <c r="G82" s="266"/>
      <c r="H82" s="166"/>
      <c r="I82" s="23"/>
      <c r="J82" s="212"/>
      <c r="K82" s="266"/>
      <c r="L82" s="166"/>
      <c r="M82" s="23"/>
    </row>
    <row r="83" spans="1:13" ht="15.75" x14ac:dyDescent="0.2">
      <c r="A83" s="272" t="s">
        <v>357</v>
      </c>
      <c r="B83" s="295"/>
      <c r="C83" s="295"/>
      <c r="D83" s="166"/>
      <c r="E83" s="23"/>
      <c r="F83" s="295"/>
      <c r="G83" s="295"/>
      <c r="H83" s="166"/>
      <c r="I83" s="23"/>
      <c r="J83" s="295"/>
      <c r="K83" s="295"/>
      <c r="L83" s="166"/>
      <c r="M83" s="23"/>
    </row>
    <row r="84" spans="1:13" x14ac:dyDescent="0.2">
      <c r="A84" s="272" t="s">
        <v>12</v>
      </c>
      <c r="B84" s="212"/>
      <c r="C84" s="266"/>
      <c r="D84" s="166"/>
      <c r="E84" s="23"/>
      <c r="F84" s="212"/>
      <c r="G84" s="266"/>
      <c r="H84" s="166"/>
      <c r="I84" s="23"/>
      <c r="J84" s="212"/>
      <c r="K84" s="266"/>
      <c r="L84" s="166"/>
      <c r="M84" s="23"/>
    </row>
    <row r="85" spans="1:13" x14ac:dyDescent="0.2">
      <c r="A85" s="272" t="s">
        <v>13</v>
      </c>
      <c r="B85" s="212"/>
      <c r="C85" s="266"/>
      <c r="D85" s="166"/>
      <c r="E85" s="23"/>
      <c r="F85" s="212"/>
      <c r="G85" s="266"/>
      <c r="H85" s="166"/>
      <c r="I85" s="23"/>
      <c r="J85" s="212"/>
      <c r="K85" s="266"/>
      <c r="L85" s="166"/>
      <c r="M85" s="23"/>
    </row>
    <row r="86" spans="1:13" ht="15.75" x14ac:dyDescent="0.2">
      <c r="A86" s="21" t="s">
        <v>359</v>
      </c>
      <c r="B86" s="211">
        <v>6384</v>
      </c>
      <c r="C86" s="145">
        <v>5872.57</v>
      </c>
      <c r="D86" s="166">
        <f>IF(B86=0, "    ---- ", IF(ABS(ROUND(100/B86*C86-100,1))&lt;999,ROUND(100/B86*C86-100,1),IF(ROUND(100/B86*C86-100,1)&gt;999,999,-999)))</f>
        <v>-8</v>
      </c>
      <c r="E86" s="23">
        <f>IFERROR(100/'Skjema total MA'!C86*C86,0)</f>
        <v>6.4725780499567724</v>
      </c>
      <c r="F86" s="211">
        <v>917.28899999999999</v>
      </c>
      <c r="G86" s="145">
        <v>821.26199999999994</v>
      </c>
      <c r="H86" s="166">
        <f>IF(F86=0, "    ---- ", IF(ABS(ROUND(100/F86*G86-100,1))&lt;999,ROUND(100/F86*G86-100,1),IF(ROUND(100/F86*G86-100,1)&gt;999,999,-999)))</f>
        <v>-10.5</v>
      </c>
      <c r="I86" s="23">
        <f>IFERROR(100/'Skjema total MA'!F86*G86,0)</f>
        <v>27.322548900759301</v>
      </c>
      <c r="J86" s="145">
        <f t="shared" ref="J86:K89" si="11">SUM(B86,F86)</f>
        <v>7301.2889999999998</v>
      </c>
      <c r="K86" s="44">
        <f t="shared" si="11"/>
        <v>6693.8319999999994</v>
      </c>
      <c r="L86" s="231">
        <f>IF(J86=0, "    ---- ", IF(ABS(ROUND(100/J86*K86-100,1))&lt;999,ROUND(100/J86*K86-100,1),IF(ROUND(100/J86*K86-100,1)&gt;999,999,-999)))</f>
        <v>-8.3000000000000007</v>
      </c>
      <c r="M86" s="27">
        <f>IFERROR(100/'Skjema total MA'!I86*K86,0)</f>
        <v>7.1411689618570326</v>
      </c>
    </row>
    <row r="87" spans="1:13" ht="15.75" x14ac:dyDescent="0.2">
      <c r="A87" s="13" t="s">
        <v>341</v>
      </c>
      <c r="B87" s="329">
        <v>46595937.131549709</v>
      </c>
      <c r="C87" s="329">
        <v>49540260.639726602</v>
      </c>
      <c r="D87" s="171">
        <f>IF(B87=0, "    ---- ", IF(ABS(ROUND(100/B87*C87-100,1))&lt;999,ROUND(100/B87*C87-100,1),IF(ROUND(100/B87*C87-100,1)&gt;999,999,-999)))</f>
        <v>6.3</v>
      </c>
      <c r="E87" s="24">
        <f>IFERROR(100/'Skjema total MA'!C87*C87,0)</f>
        <v>12.417052698038773</v>
      </c>
      <c r="F87" s="328">
        <v>37832742.515890002</v>
      </c>
      <c r="G87" s="328">
        <v>60476655.186910003</v>
      </c>
      <c r="H87" s="171">
        <f>IF(F87=0, "    ---- ", IF(ABS(ROUND(100/F87*G87-100,1))&lt;999,ROUND(100/F87*G87-100,1),IF(ROUND(100/F87*G87-100,1)&gt;999,999,-999)))</f>
        <v>59.9</v>
      </c>
      <c r="I87" s="24">
        <f>IFERROR(100/'Skjema total MA'!F87*G87,0)</f>
        <v>15.366192526132309</v>
      </c>
      <c r="J87" s="159">
        <f t="shared" si="11"/>
        <v>84428679.647439718</v>
      </c>
      <c r="K87" s="213">
        <f t="shared" si="11"/>
        <v>110016915.82663661</v>
      </c>
      <c r="L87" s="402">
        <f>IF(J87=0, "    ---- ", IF(ABS(ROUND(100/J87*K87-100,1))&lt;999,ROUND(100/J87*K87-100,1),IF(ROUND(100/J87*K87-100,1)&gt;999,999,-999)))</f>
        <v>30.3</v>
      </c>
      <c r="M87" s="11">
        <f>IFERROR(100/'Skjema total MA'!I87*K87,0)</f>
        <v>13.881575549799413</v>
      </c>
    </row>
    <row r="88" spans="1:13" x14ac:dyDescent="0.2">
      <c r="A88" s="21" t="s">
        <v>9</v>
      </c>
      <c r="B88" s="211">
        <v>45260987.935837097</v>
      </c>
      <c r="C88" s="145">
        <v>48020633.194726601</v>
      </c>
      <c r="D88" s="166">
        <f>IF(B88=0, "    ---- ", IF(ABS(ROUND(100/B88*C88-100,1))&lt;999,ROUND(100/B88*C88-100,1),IF(ROUND(100/B88*C88-100,1)&gt;999,999,-999)))</f>
        <v>6.1</v>
      </c>
      <c r="E88" s="23">
        <f>IFERROR(100/'Skjema total MA'!C88*C88,0)</f>
        <v>12.423510264017571</v>
      </c>
      <c r="F88" s="211"/>
      <c r="G88" s="145"/>
      <c r="H88" s="166"/>
      <c r="I88" s="23"/>
      <c r="J88" s="145">
        <f t="shared" si="11"/>
        <v>45260987.935837097</v>
      </c>
      <c r="K88" s="44">
        <f t="shared" si="11"/>
        <v>48020633.194726601</v>
      </c>
      <c r="L88" s="231">
        <f>IF(J88=0, "    ---- ", IF(ABS(ROUND(100/J88*K88-100,1))&lt;999,ROUND(100/J88*K88-100,1),IF(ROUND(100/J88*K88-100,1)&gt;999,999,-999)))</f>
        <v>6.1</v>
      </c>
      <c r="M88" s="27">
        <f>IFERROR(100/'Skjema total MA'!I88*K88,0)</f>
        <v>12.423510264017571</v>
      </c>
    </row>
    <row r="89" spans="1:13" x14ac:dyDescent="0.2">
      <c r="A89" s="21" t="s">
        <v>10</v>
      </c>
      <c r="B89" s="211">
        <v>1132163.0957126101</v>
      </c>
      <c r="C89" s="145">
        <v>1244058.8030000001</v>
      </c>
      <c r="D89" s="166">
        <f>IF(B89=0, "    ---- ", IF(ABS(ROUND(100/B89*C89-100,1))&lt;999,ROUND(100/B89*C89-100,1),IF(ROUND(100/B89*C89-100,1)&gt;999,999,-999)))</f>
        <v>9.9</v>
      </c>
      <c r="E89" s="23">
        <f>IFERROR(100/'Skjema total MA'!C89*C89,0)</f>
        <v>40.706419366891048</v>
      </c>
      <c r="F89" s="211">
        <v>37832742.515890002</v>
      </c>
      <c r="G89" s="145">
        <v>60476655.186910003</v>
      </c>
      <c r="H89" s="166">
        <f>IF(F89=0, "    ---- ", IF(ABS(ROUND(100/F89*G89-100,1))&lt;999,ROUND(100/F89*G89-100,1),IF(ROUND(100/F89*G89-100,1)&gt;999,999,-999)))</f>
        <v>59.9</v>
      </c>
      <c r="I89" s="23">
        <f>IFERROR(100/'Skjema total MA'!F89*G89,0)</f>
        <v>15.507708349223769</v>
      </c>
      <c r="J89" s="145">
        <f t="shared" si="11"/>
        <v>38964905.611602612</v>
      </c>
      <c r="K89" s="44">
        <f t="shared" si="11"/>
        <v>61720713.989910007</v>
      </c>
      <c r="L89" s="231">
        <f>IF(J89=0, "    ---- ", IF(ABS(ROUND(100/J89*K89-100,1))&lt;999,ROUND(100/J89*K89-100,1),IF(ROUND(100/J89*K89-100,1)&gt;999,999,-999)))</f>
        <v>58.4</v>
      </c>
      <c r="M89" s="27">
        <f>IFERROR(100/'Skjema total MA'!I89*K89,0)</f>
        <v>15.703649650698859</v>
      </c>
    </row>
    <row r="90" spans="1:13" ht="15.75" x14ac:dyDescent="0.2">
      <c r="A90" s="272" t="s">
        <v>356</v>
      </c>
      <c r="B90" s="295"/>
      <c r="C90" s="295"/>
      <c r="D90" s="166"/>
      <c r="E90" s="23"/>
      <c r="F90" s="295"/>
      <c r="G90" s="295"/>
      <c r="H90" s="166"/>
      <c r="I90" s="23"/>
      <c r="J90" s="295"/>
      <c r="K90" s="295"/>
      <c r="L90" s="166"/>
      <c r="M90" s="23"/>
    </row>
    <row r="91" spans="1:13" x14ac:dyDescent="0.2">
      <c r="A91" s="272" t="s">
        <v>12</v>
      </c>
      <c r="B91" s="295"/>
      <c r="C91" s="295"/>
      <c r="D91" s="166"/>
      <c r="E91" s="23"/>
      <c r="F91" s="270"/>
      <c r="G91" s="271"/>
      <c r="H91" s="166"/>
      <c r="I91" s="23"/>
      <c r="J91" s="270"/>
      <c r="K91" s="271"/>
      <c r="L91" s="166"/>
      <c r="M91" s="23"/>
    </row>
    <row r="92" spans="1:13" x14ac:dyDescent="0.2">
      <c r="A92" s="272" t="s">
        <v>13</v>
      </c>
      <c r="B92" s="295"/>
      <c r="C92" s="295"/>
      <c r="D92" s="166"/>
      <c r="E92" s="23"/>
      <c r="F92" s="212"/>
      <c r="G92" s="266"/>
      <c r="H92" s="166"/>
      <c r="I92" s="23"/>
      <c r="J92" s="212"/>
      <c r="K92" s="266"/>
      <c r="L92" s="166"/>
      <c r="M92" s="23"/>
    </row>
    <row r="93" spans="1:13" ht="15.75" x14ac:dyDescent="0.2">
      <c r="A93" s="272" t="s">
        <v>357</v>
      </c>
      <c r="B93" s="295"/>
      <c r="C93" s="295"/>
      <c r="D93" s="166"/>
      <c r="E93" s="23"/>
      <c r="F93" s="295"/>
      <c r="G93" s="295"/>
      <c r="H93" s="166"/>
      <c r="I93" s="23"/>
      <c r="J93" s="295"/>
      <c r="K93" s="295"/>
      <c r="L93" s="166"/>
      <c r="M93" s="23"/>
    </row>
    <row r="94" spans="1:13" x14ac:dyDescent="0.2">
      <c r="A94" s="272" t="s">
        <v>12</v>
      </c>
      <c r="B94" s="212"/>
      <c r="C94" s="266"/>
      <c r="D94" s="166"/>
      <c r="E94" s="23"/>
      <c r="F94" s="212"/>
      <c r="G94" s="266"/>
      <c r="H94" s="166"/>
      <c r="I94" s="23"/>
      <c r="J94" s="212"/>
      <c r="K94" s="266"/>
      <c r="L94" s="166"/>
      <c r="M94" s="23"/>
    </row>
    <row r="95" spans="1:13" x14ac:dyDescent="0.2">
      <c r="A95" s="272" t="s">
        <v>13</v>
      </c>
      <c r="B95" s="212"/>
      <c r="C95" s="266"/>
      <c r="D95" s="166"/>
      <c r="E95" s="23"/>
      <c r="F95" s="212"/>
      <c r="G95" s="266"/>
      <c r="H95" s="166"/>
      <c r="I95" s="23"/>
      <c r="J95" s="212"/>
      <c r="K95" s="266"/>
      <c r="L95" s="166"/>
      <c r="M95" s="23"/>
    </row>
    <row r="96" spans="1:13" x14ac:dyDescent="0.2">
      <c r="A96" s="21" t="s">
        <v>324</v>
      </c>
      <c r="B96" s="211"/>
      <c r="C96" s="145"/>
      <c r="D96" s="166"/>
      <c r="E96" s="23"/>
      <c r="F96" s="211"/>
      <c r="G96" s="145"/>
      <c r="H96" s="166"/>
      <c r="I96" s="23"/>
      <c r="J96" s="145"/>
      <c r="K96" s="44"/>
      <c r="L96" s="231"/>
      <c r="M96" s="27"/>
    </row>
    <row r="97" spans="1:13" x14ac:dyDescent="0.2">
      <c r="A97" s="21" t="s">
        <v>323</v>
      </c>
      <c r="B97" s="211">
        <v>202786.1</v>
      </c>
      <c r="C97" s="145">
        <v>275568.64199999999</v>
      </c>
      <c r="D97" s="166">
        <f t="shared" ref="D97:D100" si="12">IF(B97=0, "    ---- ", IF(ABS(ROUND(100/B97*C97-100,1))&lt;999,ROUND(100/B97*C97-100,1),IF(ROUND(100/B97*C97-100,1)&gt;999,999,-999)))</f>
        <v>35.9</v>
      </c>
      <c r="E97" s="23">
        <f>IFERROR(100/'Skjema total MA'!C98*C97,0)</f>
        <v>7.15502310328196E-2</v>
      </c>
      <c r="F97" s="211"/>
      <c r="G97" s="145"/>
      <c r="H97" s="166"/>
      <c r="I97" s="23"/>
      <c r="J97" s="145">
        <f t="shared" ref="J97:K100" si="13">SUM(B97,F97)</f>
        <v>202786.1</v>
      </c>
      <c r="K97" s="44">
        <f t="shared" si="13"/>
        <v>275568.64199999999</v>
      </c>
      <c r="L97" s="231">
        <f t="shared" ref="L97:L100" si="14">IF(J97=0, "    ---- ", IF(ABS(ROUND(100/J97*K97-100,1))&lt;999,ROUND(100/J97*K97-100,1),IF(ROUND(100/J97*K97-100,1)&gt;999,999,-999)))</f>
        <v>35.9</v>
      </c>
      <c r="M97" s="27">
        <f>IFERROR(100/'Skjema total MA'!I98*K97,0)</f>
        <v>3.5601354759856943E-2</v>
      </c>
    </row>
    <row r="98" spans="1:13" ht="15.75" x14ac:dyDescent="0.2">
      <c r="A98" s="21" t="s">
        <v>358</v>
      </c>
      <c r="B98" s="211">
        <v>46379204.398549713</v>
      </c>
      <c r="C98" s="211">
        <v>49250164.025726601</v>
      </c>
      <c r="D98" s="166">
        <f t="shared" si="12"/>
        <v>6.2</v>
      </c>
      <c r="E98" s="23">
        <f>IFERROR(100/'Skjema total MA'!C98*C98,0)</f>
        <v>12.7875965453464</v>
      </c>
      <c r="F98" s="268">
        <v>37821589.901890002</v>
      </c>
      <c r="G98" s="268">
        <v>60464133.774910003</v>
      </c>
      <c r="H98" s="166">
        <f t="shared" ref="H98:H100" si="15">IF(F98=0, "    ---- ", IF(ABS(ROUND(100/F98*G98-100,1))&lt;999,ROUND(100/F98*G98-100,1),IF(ROUND(100/F98*G98-100,1)&gt;999,999,-999)))</f>
        <v>59.9</v>
      </c>
      <c r="I98" s="23">
        <f>IFERROR(100/'Skjema total MA'!F98*G98,0)</f>
        <v>15.547489968531965</v>
      </c>
      <c r="J98" s="145">
        <f t="shared" si="13"/>
        <v>84200794.300439715</v>
      </c>
      <c r="K98" s="44">
        <f t="shared" si="13"/>
        <v>109714297.8006366</v>
      </c>
      <c r="L98" s="231">
        <f t="shared" si="14"/>
        <v>30.3</v>
      </c>
      <c r="M98" s="27">
        <f>IFERROR(100/'Skjema total MA'!I98*K98,0)</f>
        <v>14.174245697480544</v>
      </c>
    </row>
    <row r="99" spans="1:13" x14ac:dyDescent="0.2">
      <c r="A99" s="21" t="s">
        <v>9</v>
      </c>
      <c r="B99" s="268">
        <v>45247041.302837104</v>
      </c>
      <c r="C99" s="269">
        <v>48006105.222726598</v>
      </c>
      <c r="D99" s="166">
        <f t="shared" si="12"/>
        <v>6.1</v>
      </c>
      <c r="E99" s="23">
        <f>IFERROR(100/'Skjema total MA'!C99*C99,0)</f>
        <v>12.564282353565384</v>
      </c>
      <c r="F99" s="211"/>
      <c r="G99" s="145"/>
      <c r="H99" s="166"/>
      <c r="I99" s="23"/>
      <c r="J99" s="145">
        <f t="shared" si="13"/>
        <v>45247041.302837104</v>
      </c>
      <c r="K99" s="44">
        <f t="shared" si="13"/>
        <v>48006105.222726598</v>
      </c>
      <c r="L99" s="231">
        <f t="shared" si="14"/>
        <v>6.1</v>
      </c>
      <c r="M99" s="27">
        <f>IFERROR(100/'Skjema total MA'!I99*K99,0)</f>
        <v>12.564282353565384</v>
      </c>
    </row>
    <row r="100" spans="1:13" ht="15.75" x14ac:dyDescent="0.2">
      <c r="A100" s="38" t="s">
        <v>399</v>
      </c>
      <c r="B100" s="268">
        <v>1132163.0957126101</v>
      </c>
      <c r="C100" s="269">
        <v>1244058.8030000001</v>
      </c>
      <c r="D100" s="166">
        <f t="shared" si="12"/>
        <v>9.9</v>
      </c>
      <c r="E100" s="23">
        <f>IFERROR(100/'Skjema total MA'!C100*C100,0)</f>
        <v>40.706419366891048</v>
      </c>
      <c r="F100" s="211">
        <v>37821589.901890002</v>
      </c>
      <c r="G100" s="211">
        <v>60464133.774910003</v>
      </c>
      <c r="H100" s="166">
        <f t="shared" si="15"/>
        <v>59.9</v>
      </c>
      <c r="I100" s="23">
        <f>IFERROR(100/'Skjema total MA'!F100*G100,0)</f>
        <v>15.547489968531965</v>
      </c>
      <c r="J100" s="145">
        <f t="shared" si="13"/>
        <v>38953752.997602612</v>
      </c>
      <c r="K100" s="44">
        <f t="shared" si="13"/>
        <v>61708192.577910006</v>
      </c>
      <c r="L100" s="231">
        <f t="shared" si="14"/>
        <v>58.4</v>
      </c>
      <c r="M100" s="27">
        <f>IFERROR(100/'Skjema total MA'!I100*K100,0)</f>
        <v>15.74366017234666</v>
      </c>
    </row>
    <row r="101" spans="1:13" ht="15.75" x14ac:dyDescent="0.2">
      <c r="A101" s="38" t="s">
        <v>400</v>
      </c>
      <c r="B101" s="268"/>
      <c r="C101" s="268"/>
      <c r="D101" s="166"/>
      <c r="E101" s="23"/>
      <c r="F101" s="268"/>
      <c r="G101" s="268"/>
      <c r="H101" s="166"/>
      <c r="I101" s="23"/>
      <c r="J101" s="145"/>
      <c r="K101" s="44"/>
      <c r="L101" s="231"/>
      <c r="M101" s="27"/>
    </row>
    <row r="102" spans="1:13" ht="15.75" x14ac:dyDescent="0.2">
      <c r="A102" s="272" t="s">
        <v>356</v>
      </c>
      <c r="B102" s="295"/>
      <c r="C102" s="295"/>
      <c r="D102" s="166"/>
      <c r="E102" s="23"/>
      <c r="F102" s="295"/>
      <c r="G102" s="295"/>
      <c r="H102" s="166"/>
      <c r="I102" s="23"/>
      <c r="J102" s="295"/>
      <c r="K102" s="295"/>
      <c r="L102" s="166"/>
      <c r="M102" s="23"/>
    </row>
    <row r="103" spans="1:13" x14ac:dyDescent="0.2">
      <c r="A103" s="272" t="s">
        <v>12</v>
      </c>
      <c r="B103" s="295"/>
      <c r="C103" s="295"/>
      <c r="D103" s="166"/>
      <c r="E103" s="23"/>
      <c r="F103" s="270"/>
      <c r="G103" s="271"/>
      <c r="H103" s="166"/>
      <c r="I103" s="23"/>
      <c r="J103" s="270"/>
      <c r="K103" s="271"/>
      <c r="L103" s="166"/>
      <c r="M103" s="23"/>
    </row>
    <row r="104" spans="1:13" x14ac:dyDescent="0.2">
      <c r="A104" s="272" t="s">
        <v>13</v>
      </c>
      <c r="B104" s="295"/>
      <c r="C104" s="295"/>
      <c r="D104" s="166"/>
      <c r="E104" s="23"/>
      <c r="F104" s="212"/>
      <c r="G104" s="266"/>
      <c r="H104" s="166"/>
      <c r="I104" s="23"/>
      <c r="J104" s="212"/>
      <c r="K104" s="266"/>
      <c r="L104" s="166"/>
      <c r="M104" s="23"/>
    </row>
    <row r="105" spans="1:13" ht="15.75" x14ac:dyDescent="0.2">
      <c r="A105" s="272" t="s">
        <v>357</v>
      </c>
      <c r="B105" s="295"/>
      <c r="C105" s="295"/>
      <c r="D105" s="166"/>
      <c r="E105" s="23"/>
      <c r="F105" s="295"/>
      <c r="G105" s="295"/>
      <c r="H105" s="166"/>
      <c r="I105" s="23"/>
      <c r="J105" s="295"/>
      <c r="K105" s="295"/>
      <c r="L105" s="166"/>
      <c r="M105" s="23"/>
    </row>
    <row r="106" spans="1:13" x14ac:dyDescent="0.2">
      <c r="A106" s="272" t="s">
        <v>12</v>
      </c>
      <c r="B106" s="212"/>
      <c r="C106" s="266"/>
      <c r="D106" s="166"/>
      <c r="E106" s="23"/>
      <c r="F106" s="212"/>
      <c r="G106" s="266"/>
      <c r="H106" s="166"/>
      <c r="I106" s="23"/>
      <c r="J106" s="212"/>
      <c r="K106" s="266"/>
      <c r="L106" s="166"/>
      <c r="M106" s="23"/>
    </row>
    <row r="107" spans="1:13" x14ac:dyDescent="0.2">
      <c r="A107" s="272" t="s">
        <v>13</v>
      </c>
      <c r="B107" s="212"/>
      <c r="C107" s="266"/>
      <c r="D107" s="166"/>
      <c r="E107" s="23"/>
      <c r="F107" s="212"/>
      <c r="G107" s="266"/>
      <c r="H107" s="166"/>
      <c r="I107" s="23"/>
      <c r="J107" s="212"/>
      <c r="K107" s="266"/>
      <c r="L107" s="166"/>
      <c r="M107" s="23"/>
    </row>
    <row r="108" spans="1:13" ht="15.75" x14ac:dyDescent="0.2">
      <c r="A108" s="21" t="s">
        <v>359</v>
      </c>
      <c r="B108" s="211">
        <v>13946.633</v>
      </c>
      <c r="C108" s="145">
        <v>14527.972</v>
      </c>
      <c r="D108" s="166">
        <f t="shared" ref="D108:D110" si="16">IF(B108=0, "    ---- ", IF(ABS(ROUND(100/B108*C108-100,1))&lt;999,ROUND(100/B108*C108-100,1),IF(ROUND(100/B108*C108-100,1)&gt;999,999,-999)))</f>
        <v>4.2</v>
      </c>
      <c r="E108" s="23">
        <f>IFERROR(100/'Skjema total MA'!C108*C108,0)</f>
        <v>0.32673762801493833</v>
      </c>
      <c r="F108" s="211">
        <v>11152.614</v>
      </c>
      <c r="G108" s="145">
        <v>12521.412</v>
      </c>
      <c r="H108" s="166">
        <f t="shared" ref="H108:H112" si="17">IF(F108=0, "    ---- ", IF(ABS(ROUND(100/F108*G108-100,1))&lt;999,ROUND(100/F108*G108-100,1),IF(ROUND(100/F108*G108-100,1)&gt;999,999,-999)))</f>
        <v>12.3</v>
      </c>
      <c r="I108" s="23">
        <f>IFERROR(100/'Skjema total MA'!F108*G108,0)</f>
        <v>1.1611319461218874</v>
      </c>
      <c r="J108" s="145">
        <f t="shared" ref="J108:K112" si="18">SUM(B108,F108)</f>
        <v>25099.246999999999</v>
      </c>
      <c r="K108" s="44">
        <f t="shared" si="18"/>
        <v>27049.383999999998</v>
      </c>
      <c r="L108" s="231">
        <f t="shared" ref="L108:L112" si="19">IF(J108=0, "    ---- ", IF(ABS(ROUND(100/J108*K108-100,1))&lt;999,ROUND(100/J108*K108-100,1),IF(ROUND(100/J108*K108-100,1)&gt;999,999,-999)))</f>
        <v>7.8</v>
      </c>
      <c r="M108" s="27">
        <f>IFERROR(100/'Skjema total MA'!I108*K108,0)</f>
        <v>0.48960356484840212</v>
      </c>
    </row>
    <row r="109" spans="1:13" ht="15.75" x14ac:dyDescent="0.2">
      <c r="A109" s="21" t="s">
        <v>360</v>
      </c>
      <c r="B109" s="211">
        <v>35827953.533352099</v>
      </c>
      <c r="C109" s="211">
        <v>38617754.771732502</v>
      </c>
      <c r="D109" s="166">
        <f t="shared" si="16"/>
        <v>7.8</v>
      </c>
      <c r="E109" s="23">
        <f>IFERROR(100/'Skjema total MA'!C109*C109,0)</f>
        <v>11.697337585199678</v>
      </c>
      <c r="F109" s="211"/>
      <c r="G109" s="211"/>
      <c r="H109" s="166"/>
      <c r="I109" s="23"/>
      <c r="J109" s="145">
        <f t="shared" si="18"/>
        <v>35827953.533352099</v>
      </c>
      <c r="K109" s="44">
        <f t="shared" si="18"/>
        <v>38617754.771732502</v>
      </c>
      <c r="L109" s="231">
        <f t="shared" si="19"/>
        <v>7.8</v>
      </c>
      <c r="M109" s="27">
        <f>IFERROR(100/'Skjema total MA'!I109*K109,0)</f>
        <v>11.046656021580095</v>
      </c>
    </row>
    <row r="110" spans="1:13" ht="15.75" x14ac:dyDescent="0.2">
      <c r="A110" s="38" t="s">
        <v>416</v>
      </c>
      <c r="B110" s="211">
        <v>637916.42977493198</v>
      </c>
      <c r="C110" s="211">
        <v>821889.04500000004</v>
      </c>
      <c r="D110" s="166">
        <f t="shared" si="16"/>
        <v>28.8</v>
      </c>
      <c r="E110" s="23">
        <f>IFERROR(100/'Skjema total MA'!C110*C110,0)</f>
        <v>51.523288849216918</v>
      </c>
      <c r="F110" s="211">
        <v>15183014.715636</v>
      </c>
      <c r="G110" s="211">
        <v>23478481.266656</v>
      </c>
      <c r="H110" s="166">
        <f t="shared" si="17"/>
        <v>54.6</v>
      </c>
      <c r="I110" s="23">
        <f>IFERROR(100/'Skjema total MA'!F110*G110,0)</f>
        <v>17.357327494501128</v>
      </c>
      <c r="J110" s="145">
        <f t="shared" si="18"/>
        <v>15820931.145410933</v>
      </c>
      <c r="K110" s="44">
        <f t="shared" si="18"/>
        <v>24300370.311656002</v>
      </c>
      <c r="L110" s="231">
        <f t="shared" si="19"/>
        <v>53.6</v>
      </c>
      <c r="M110" s="27">
        <f>IFERROR(100/'Skjema total MA'!I110*K110,0)</f>
        <v>17.75554877796494</v>
      </c>
    </row>
    <row r="111" spans="1:13" ht="15.75" x14ac:dyDescent="0.2">
      <c r="A111" s="21" t="s">
        <v>362</v>
      </c>
      <c r="B111" s="211"/>
      <c r="C111" s="211"/>
      <c r="D111" s="166"/>
      <c r="E111" s="23"/>
      <c r="F111" s="211"/>
      <c r="G111" s="211"/>
      <c r="H111" s="166"/>
      <c r="I111" s="23"/>
      <c r="J111" s="145"/>
      <c r="K111" s="44"/>
      <c r="L111" s="231"/>
      <c r="M111" s="27"/>
    </row>
    <row r="112" spans="1:13" ht="15.75" x14ac:dyDescent="0.2">
      <c r="A112" s="13" t="s">
        <v>342</v>
      </c>
      <c r="B112" s="284"/>
      <c r="C112" s="159"/>
      <c r="D112" s="171"/>
      <c r="E112" s="24"/>
      <c r="F112" s="284">
        <v>2276039.6209999998</v>
      </c>
      <c r="G112" s="159">
        <v>1494317</v>
      </c>
      <c r="H112" s="171">
        <f t="shared" si="17"/>
        <v>-34.299999999999997</v>
      </c>
      <c r="I112" s="24">
        <f>IFERROR(100/'Skjema total MA'!F112*G112,0)</f>
        <v>15.506850784104879</v>
      </c>
      <c r="J112" s="159">
        <f t="shared" si="18"/>
        <v>2276039.6209999998</v>
      </c>
      <c r="K112" s="213">
        <f t="shared" si="18"/>
        <v>1494317</v>
      </c>
      <c r="L112" s="402">
        <f t="shared" si="19"/>
        <v>-34.299999999999997</v>
      </c>
      <c r="M112" s="11">
        <f>IFERROR(100/'Skjema total MA'!I112*K112,0)</f>
        <v>14.50042688503906</v>
      </c>
    </row>
    <row r="113" spans="1:14" x14ac:dyDescent="0.2">
      <c r="A113" s="21" t="s">
        <v>9</v>
      </c>
      <c r="B113" s="211"/>
      <c r="C113" s="145"/>
      <c r="D113" s="166"/>
      <c r="E113" s="23"/>
      <c r="F113" s="211"/>
      <c r="G113" s="145"/>
      <c r="H113" s="166"/>
      <c r="I113" s="23"/>
      <c r="J113" s="145"/>
      <c r="K113" s="44"/>
      <c r="L113" s="231"/>
      <c r="M113" s="27"/>
    </row>
    <row r="114" spans="1:14" x14ac:dyDescent="0.2">
      <c r="A114" s="21" t="s">
        <v>10</v>
      </c>
      <c r="B114" s="211"/>
      <c r="C114" s="145"/>
      <c r="D114" s="166"/>
      <c r="E114" s="23"/>
      <c r="F114" s="211">
        <v>2276039.6209999998</v>
      </c>
      <c r="G114" s="145">
        <v>1494317</v>
      </c>
      <c r="H114" s="166">
        <f t="shared" ref="H114:H126" si="20">IF(F114=0, "    ---- ", IF(ABS(ROUND(100/F114*G114-100,1))&lt;999,ROUND(100/F114*G114-100,1),IF(ROUND(100/F114*G114-100,1)&gt;999,999,-999)))</f>
        <v>-34.299999999999997</v>
      </c>
      <c r="I114" s="23">
        <f>IFERROR(100/'Skjema total MA'!F114*G114,0)</f>
        <v>15.523133621918248</v>
      </c>
      <c r="J114" s="145">
        <f t="shared" ref="J114:K126" si="21">SUM(B114,F114)</f>
        <v>2276039.6209999998</v>
      </c>
      <c r="K114" s="44">
        <f t="shared" si="21"/>
        <v>1494317</v>
      </c>
      <c r="L114" s="231">
        <f t="shared" ref="L114:L126" si="22">IF(J114=0, "    ---- ", IF(ABS(ROUND(100/J114*K114-100,1))&lt;999,ROUND(100/J114*K114-100,1),IF(ROUND(100/J114*K114-100,1)&gt;999,999,-999)))</f>
        <v>-34.299999999999997</v>
      </c>
      <c r="M114" s="27">
        <f>IFERROR(100/'Skjema total MA'!I114*K114,0)</f>
        <v>15.522807619847873</v>
      </c>
    </row>
    <row r="115" spans="1:14" x14ac:dyDescent="0.2">
      <c r="A115" s="21" t="s">
        <v>26</v>
      </c>
      <c r="B115" s="211"/>
      <c r="C115" s="145"/>
      <c r="D115" s="166"/>
      <c r="E115" s="23"/>
      <c r="F115" s="211"/>
      <c r="G115" s="145"/>
      <c r="H115" s="166"/>
      <c r="I115" s="23"/>
      <c r="J115" s="145"/>
      <c r="K115" s="44"/>
      <c r="L115" s="231"/>
      <c r="M115" s="27"/>
    </row>
    <row r="116" spans="1:14" x14ac:dyDescent="0.2">
      <c r="A116" s="272" t="s">
        <v>15</v>
      </c>
      <c r="B116" s="258"/>
      <c r="C116" s="258"/>
      <c r="D116" s="166"/>
      <c r="E116" s="23"/>
      <c r="F116" s="665"/>
      <c r="G116" s="258"/>
      <c r="H116" s="166"/>
      <c r="I116" s="23"/>
      <c r="J116" s="667"/>
      <c r="K116" s="267"/>
      <c r="L116" s="166"/>
      <c r="M116" s="23"/>
    </row>
    <row r="117" spans="1:14" ht="15.75" x14ac:dyDescent="0.2">
      <c r="A117" s="21" t="s">
        <v>363</v>
      </c>
      <c r="B117" s="211"/>
      <c r="C117" s="211"/>
      <c r="D117" s="166"/>
      <c r="E117" s="23"/>
      <c r="F117" s="211"/>
      <c r="G117" s="211"/>
      <c r="H117" s="166"/>
      <c r="I117" s="23"/>
      <c r="J117" s="145"/>
      <c r="K117" s="44"/>
      <c r="L117" s="231"/>
      <c r="M117" s="27"/>
    </row>
    <row r="118" spans="1:14" ht="15.75" x14ac:dyDescent="0.2">
      <c r="A118" s="21" t="s">
        <v>364</v>
      </c>
      <c r="B118" s="211"/>
      <c r="C118" s="211"/>
      <c r="D118" s="166"/>
      <c r="E118" s="23"/>
      <c r="F118" s="211">
        <v>149539.514</v>
      </c>
      <c r="G118" s="211">
        <v>202731.236</v>
      </c>
      <c r="H118" s="166">
        <f t="shared" si="20"/>
        <v>35.6</v>
      </c>
      <c r="I118" s="23">
        <f>IFERROR(100/'Skjema total MA'!F118*G118,0)</f>
        <v>21.734918836843988</v>
      </c>
      <c r="J118" s="145">
        <f t="shared" si="21"/>
        <v>149539.514</v>
      </c>
      <c r="K118" s="44">
        <f t="shared" si="21"/>
        <v>202731.236</v>
      </c>
      <c r="L118" s="231">
        <f t="shared" si="22"/>
        <v>35.6</v>
      </c>
      <c r="M118" s="27">
        <f>IFERROR(100/'Skjema total MA'!I118*K118,0)</f>
        <v>21.734918836843988</v>
      </c>
    </row>
    <row r="119" spans="1:14" ht="15.75" x14ac:dyDescent="0.2">
      <c r="A119" s="21" t="s">
        <v>362</v>
      </c>
      <c r="B119" s="211"/>
      <c r="C119" s="211"/>
      <c r="D119" s="166"/>
      <c r="E119" s="23"/>
      <c r="F119" s="211"/>
      <c r="G119" s="211"/>
      <c r="H119" s="166"/>
      <c r="I119" s="23"/>
      <c r="J119" s="145"/>
      <c r="K119" s="44"/>
      <c r="L119" s="231"/>
      <c r="M119" s="27"/>
    </row>
    <row r="120" spans="1:14" ht="15.75" x14ac:dyDescent="0.2">
      <c r="A120" s="13" t="s">
        <v>343</v>
      </c>
      <c r="B120" s="284">
        <v>3278</v>
      </c>
      <c r="C120" s="159">
        <v>1770</v>
      </c>
      <c r="D120" s="171">
        <f t="shared" ref="D120:D121" si="23">IF(B120=0, "    ---- ", IF(ABS(ROUND(100/B120*C120-100,1))&lt;999,ROUND(100/B120*C120-100,1),IF(ROUND(100/B120*C120-100,1)&gt;999,999,-999)))</f>
        <v>-46</v>
      </c>
      <c r="E120" s="24">
        <f>IFERROR(100/'Skjema total MA'!C120*C120,0)</f>
        <v>1.3522677746944471</v>
      </c>
      <c r="F120" s="284">
        <v>905629.21799999999</v>
      </c>
      <c r="G120" s="159">
        <v>1778748</v>
      </c>
      <c r="H120" s="171">
        <f t="shared" si="20"/>
        <v>96.4</v>
      </c>
      <c r="I120" s="24">
        <f>IFERROR(100/'Skjema total MA'!F120*G120,0)</f>
        <v>14.706534290880176</v>
      </c>
      <c r="J120" s="159">
        <f t="shared" si="21"/>
        <v>908907.21799999999</v>
      </c>
      <c r="K120" s="213">
        <f t="shared" si="21"/>
        <v>1780518</v>
      </c>
      <c r="L120" s="402">
        <f t="shared" si="22"/>
        <v>95.9</v>
      </c>
      <c r="M120" s="11">
        <f>IFERROR(100/'Skjema total MA'!I120*K120,0)</f>
        <v>14.563562009277666</v>
      </c>
    </row>
    <row r="121" spans="1:14" x14ac:dyDescent="0.2">
      <c r="A121" s="21" t="s">
        <v>9</v>
      </c>
      <c r="B121" s="211">
        <v>3278</v>
      </c>
      <c r="C121" s="145">
        <v>1770</v>
      </c>
      <c r="D121" s="166">
        <f t="shared" si="23"/>
        <v>-46</v>
      </c>
      <c r="E121" s="23">
        <f>IFERROR(100/'Skjema total MA'!C121*C121,0)</f>
        <v>2.250285801457609</v>
      </c>
      <c r="F121" s="211"/>
      <c r="G121" s="145"/>
      <c r="H121" s="166"/>
      <c r="I121" s="23"/>
      <c r="J121" s="145">
        <f t="shared" si="21"/>
        <v>3278</v>
      </c>
      <c r="K121" s="44">
        <f t="shared" si="21"/>
        <v>1770</v>
      </c>
      <c r="L121" s="231">
        <f t="shared" si="22"/>
        <v>-46</v>
      </c>
      <c r="M121" s="27">
        <f>IFERROR(100/'Skjema total MA'!I121*K121,0)</f>
        <v>2.250285801457609</v>
      </c>
    </row>
    <row r="122" spans="1:14" x14ac:dyDescent="0.2">
      <c r="A122" s="21" t="s">
        <v>10</v>
      </c>
      <c r="B122" s="211"/>
      <c r="C122" s="145"/>
      <c r="D122" s="166"/>
      <c r="E122" s="23"/>
      <c r="F122" s="211">
        <v>905629.21799999999</v>
      </c>
      <c r="G122" s="145">
        <v>1778748</v>
      </c>
      <c r="H122" s="166">
        <f t="shared" si="20"/>
        <v>96.4</v>
      </c>
      <c r="I122" s="23">
        <f>IFERROR(100/'Skjema total MA'!F122*G122,0)</f>
        <v>14.706534290880176</v>
      </c>
      <c r="J122" s="145">
        <f t="shared" si="21"/>
        <v>905629.21799999999</v>
      </c>
      <c r="K122" s="44">
        <f t="shared" si="21"/>
        <v>1778748</v>
      </c>
      <c r="L122" s="231">
        <f t="shared" si="22"/>
        <v>96.4</v>
      </c>
      <c r="M122" s="27">
        <f>IFERROR(100/'Skjema total MA'!I122*K122,0)</f>
        <v>14.69368454651994</v>
      </c>
    </row>
    <row r="123" spans="1:14" x14ac:dyDescent="0.2">
      <c r="A123" s="21" t="s">
        <v>26</v>
      </c>
      <c r="B123" s="211"/>
      <c r="C123" s="145"/>
      <c r="D123" s="166"/>
      <c r="E123" s="23"/>
      <c r="F123" s="211"/>
      <c r="G123" s="145"/>
      <c r="H123" s="166"/>
      <c r="I123" s="23"/>
      <c r="J123" s="145"/>
      <c r="K123" s="44"/>
      <c r="L123" s="231"/>
      <c r="M123" s="27"/>
    </row>
    <row r="124" spans="1:14" x14ac:dyDescent="0.2">
      <c r="A124" s="272" t="s">
        <v>14</v>
      </c>
      <c r="B124" s="258"/>
      <c r="C124" s="258"/>
      <c r="D124" s="166"/>
      <c r="E124" s="23"/>
      <c r="F124" s="665"/>
      <c r="G124" s="258"/>
      <c r="H124" s="166"/>
      <c r="I124" s="23"/>
      <c r="J124" s="667"/>
      <c r="K124" s="267"/>
      <c r="L124" s="166"/>
      <c r="M124" s="23"/>
    </row>
    <row r="125" spans="1:14" ht="15.75" x14ac:dyDescent="0.2">
      <c r="A125" s="21" t="s">
        <v>369</v>
      </c>
      <c r="B125" s="211"/>
      <c r="C125" s="211"/>
      <c r="D125" s="166"/>
      <c r="E125" s="23"/>
      <c r="F125" s="211"/>
      <c r="G125" s="211"/>
      <c r="H125" s="166"/>
      <c r="I125" s="23"/>
      <c r="J125" s="145"/>
      <c r="K125" s="44"/>
      <c r="L125" s="231"/>
      <c r="M125" s="27"/>
    </row>
    <row r="126" spans="1:14" ht="15.75" x14ac:dyDescent="0.2">
      <c r="A126" s="21" t="s">
        <v>361</v>
      </c>
      <c r="B126" s="211"/>
      <c r="C126" s="211"/>
      <c r="D126" s="166"/>
      <c r="E126" s="23"/>
      <c r="F126" s="211">
        <v>237700.068</v>
      </c>
      <c r="G126" s="211">
        <v>751756.87800000003</v>
      </c>
      <c r="H126" s="166">
        <f t="shared" si="20"/>
        <v>216.3</v>
      </c>
      <c r="I126" s="23">
        <f>IFERROR(100/'Skjema total MA'!F126*G126,0)</f>
        <v>27.532993524006038</v>
      </c>
      <c r="J126" s="145">
        <f t="shared" si="21"/>
        <v>237700.068</v>
      </c>
      <c r="K126" s="44">
        <f t="shared" si="21"/>
        <v>751756.87800000003</v>
      </c>
      <c r="L126" s="231">
        <f t="shared" si="22"/>
        <v>216.3</v>
      </c>
      <c r="M126" s="27">
        <f>IFERROR(100/'Skjema total MA'!I126*K126,0)</f>
        <v>27.531237974801986</v>
      </c>
    </row>
    <row r="127" spans="1:14" ht="15.75" x14ac:dyDescent="0.2">
      <c r="A127" s="10" t="s">
        <v>362</v>
      </c>
      <c r="B127" s="45"/>
      <c r="C127" s="45"/>
      <c r="D127" s="167"/>
      <c r="E127" s="22"/>
      <c r="F127" s="666"/>
      <c r="G127" s="45"/>
      <c r="H127" s="167"/>
      <c r="I127" s="22"/>
      <c r="J127" s="668"/>
      <c r="K127" s="45"/>
      <c r="L127" s="232"/>
      <c r="M127" s="22"/>
    </row>
    <row r="128" spans="1:14" x14ac:dyDescent="0.2">
      <c r="A128" s="155"/>
      <c r="L128" s="26"/>
      <c r="M128" s="26"/>
      <c r="N128" s="26"/>
    </row>
    <row r="129" spans="1:14" x14ac:dyDescent="0.2">
      <c r="L129" s="26"/>
      <c r="M129" s="26"/>
      <c r="N129" s="26"/>
    </row>
    <row r="130" spans="1:14" ht="15.75" x14ac:dyDescent="0.25">
      <c r="A130" s="165" t="s">
        <v>27</v>
      </c>
    </row>
    <row r="131" spans="1:14" ht="15.75" x14ac:dyDescent="0.25">
      <c r="B131" s="694"/>
      <c r="C131" s="694"/>
      <c r="D131" s="694"/>
      <c r="E131" s="275"/>
      <c r="F131" s="694"/>
      <c r="G131" s="694"/>
      <c r="H131" s="694"/>
      <c r="I131" s="275"/>
      <c r="J131" s="694"/>
      <c r="K131" s="694"/>
      <c r="L131" s="694"/>
      <c r="M131" s="275"/>
    </row>
    <row r="132" spans="1:14" s="3" customFormat="1" x14ac:dyDescent="0.2">
      <c r="A132" s="144"/>
      <c r="B132" s="695" t="s">
        <v>0</v>
      </c>
      <c r="C132" s="696"/>
      <c r="D132" s="696"/>
      <c r="E132" s="277"/>
      <c r="F132" s="695" t="s">
        <v>1</v>
      </c>
      <c r="G132" s="696"/>
      <c r="H132" s="696"/>
      <c r="I132" s="280"/>
      <c r="J132" s="695" t="s">
        <v>2</v>
      </c>
      <c r="K132" s="696"/>
      <c r="L132" s="696"/>
      <c r="M132" s="280"/>
      <c r="N132" s="148"/>
    </row>
    <row r="133" spans="1:14" s="3" customFormat="1" x14ac:dyDescent="0.2">
      <c r="A133" s="140"/>
      <c r="B133" s="152" t="s">
        <v>412</v>
      </c>
      <c r="C133" s="152" t="s">
        <v>413</v>
      </c>
      <c r="D133" s="222" t="s">
        <v>3</v>
      </c>
      <c r="E133" s="281" t="s">
        <v>29</v>
      </c>
      <c r="F133" s="152" t="s">
        <v>412</v>
      </c>
      <c r="G133" s="152" t="s">
        <v>413</v>
      </c>
      <c r="H133" s="203" t="s">
        <v>3</v>
      </c>
      <c r="I133" s="162" t="s">
        <v>29</v>
      </c>
      <c r="J133" s="152" t="s">
        <v>412</v>
      </c>
      <c r="K133" s="152" t="s">
        <v>413</v>
      </c>
      <c r="L133" s="223" t="s">
        <v>3</v>
      </c>
      <c r="M133" s="162" t="s">
        <v>29</v>
      </c>
      <c r="N133" s="148"/>
    </row>
    <row r="134" spans="1:14" s="3" customFormat="1" x14ac:dyDescent="0.2">
      <c r="A134" s="662"/>
      <c r="B134" s="156"/>
      <c r="C134" s="156"/>
      <c r="D134" s="223" t="s">
        <v>4</v>
      </c>
      <c r="E134" s="156" t="s">
        <v>30</v>
      </c>
      <c r="F134" s="161"/>
      <c r="G134" s="161"/>
      <c r="H134" s="203" t="s">
        <v>4</v>
      </c>
      <c r="I134" s="156" t="s">
        <v>30</v>
      </c>
      <c r="J134" s="156"/>
      <c r="K134" s="156"/>
      <c r="L134" s="150" t="s">
        <v>4</v>
      </c>
      <c r="M134" s="156" t="s">
        <v>30</v>
      </c>
      <c r="N134" s="148"/>
    </row>
    <row r="135" spans="1:14" s="3" customFormat="1" ht="15.75" x14ac:dyDescent="0.2">
      <c r="A135" s="14" t="s">
        <v>365</v>
      </c>
      <c r="B135" s="213"/>
      <c r="C135" s="285"/>
      <c r="D135" s="326"/>
      <c r="E135" s="11"/>
      <c r="F135" s="292"/>
      <c r="G135" s="293"/>
      <c r="H135" s="405"/>
      <c r="I135" s="24"/>
      <c r="J135" s="294"/>
      <c r="K135" s="294"/>
      <c r="L135" s="401"/>
      <c r="M135" s="11"/>
      <c r="N135" s="148"/>
    </row>
    <row r="136" spans="1:14" s="3" customFormat="1" ht="15.75" x14ac:dyDescent="0.2">
      <c r="A136" s="13" t="s">
        <v>370</v>
      </c>
      <c r="B136" s="213"/>
      <c r="C136" s="285"/>
      <c r="D136" s="171"/>
      <c r="E136" s="11"/>
      <c r="F136" s="213"/>
      <c r="G136" s="285"/>
      <c r="H136" s="406"/>
      <c r="I136" s="24"/>
      <c r="J136" s="284"/>
      <c r="K136" s="284"/>
      <c r="L136" s="402"/>
      <c r="M136" s="11"/>
      <c r="N136" s="148"/>
    </row>
    <row r="137" spans="1:14" s="3" customFormat="1" ht="15.75" x14ac:dyDescent="0.2">
      <c r="A137" s="13" t="s">
        <v>367</v>
      </c>
      <c r="B137" s="213"/>
      <c r="C137" s="285"/>
      <c r="D137" s="171"/>
      <c r="E137" s="11"/>
      <c r="F137" s="213"/>
      <c r="G137" s="285"/>
      <c r="H137" s="406"/>
      <c r="I137" s="24"/>
      <c r="J137" s="284"/>
      <c r="K137" s="284"/>
      <c r="L137" s="402"/>
      <c r="M137" s="11"/>
      <c r="N137" s="148"/>
    </row>
    <row r="138" spans="1:14" s="3" customFormat="1" ht="15.75" x14ac:dyDescent="0.2">
      <c r="A138" s="41" t="s">
        <v>368</v>
      </c>
      <c r="B138" s="253"/>
      <c r="C138" s="291"/>
      <c r="D138" s="169"/>
      <c r="E138" s="9"/>
      <c r="F138" s="253"/>
      <c r="G138" s="291"/>
      <c r="H138" s="407"/>
      <c r="I138" s="36"/>
      <c r="J138" s="290"/>
      <c r="K138" s="290"/>
      <c r="L138" s="403"/>
      <c r="M138" s="36"/>
      <c r="N138" s="148"/>
    </row>
    <row r="139" spans="1:14" s="3" customFormat="1"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68"/>
      <c r="B141" s="33"/>
      <c r="C141" s="33"/>
      <c r="D141" s="159"/>
      <c r="E141" s="159"/>
      <c r="F141" s="33"/>
      <c r="G141" s="33"/>
      <c r="H141" s="159"/>
      <c r="I141" s="159"/>
      <c r="J141" s="33"/>
      <c r="K141" s="33"/>
      <c r="L141" s="159"/>
      <c r="M141" s="159"/>
      <c r="N141" s="148"/>
    </row>
    <row r="142" spans="1:14" x14ac:dyDescent="0.2">
      <c r="A142" s="146"/>
      <c r="B142" s="146"/>
      <c r="C142" s="146"/>
      <c r="D142" s="146"/>
      <c r="E142" s="146"/>
      <c r="F142" s="146"/>
      <c r="G142" s="146"/>
      <c r="H142" s="146"/>
      <c r="I142" s="146"/>
      <c r="J142" s="146"/>
      <c r="K142" s="146"/>
      <c r="L142" s="146"/>
      <c r="M142" s="146"/>
      <c r="N142" s="146"/>
    </row>
    <row r="143" spans="1:14" ht="15.75" x14ac:dyDescent="0.25">
      <c r="B143" s="142"/>
      <c r="C143" s="142"/>
      <c r="D143" s="142"/>
      <c r="E143" s="142"/>
      <c r="F143" s="142"/>
      <c r="G143" s="142"/>
      <c r="H143" s="142"/>
      <c r="I143" s="142"/>
      <c r="J143" s="142"/>
      <c r="K143" s="142"/>
      <c r="L143" s="142"/>
      <c r="M143" s="142"/>
      <c r="N143" s="142"/>
    </row>
    <row r="144" spans="1:14" ht="15.75" x14ac:dyDescent="0.25">
      <c r="B144" s="157"/>
      <c r="C144" s="157"/>
      <c r="D144" s="157"/>
      <c r="E144" s="157"/>
      <c r="F144" s="157"/>
      <c r="G144" s="157"/>
      <c r="H144" s="157"/>
      <c r="I144" s="157"/>
      <c r="J144" s="157"/>
      <c r="K144" s="157"/>
      <c r="L144" s="157"/>
      <c r="M144" s="157"/>
      <c r="N144" s="157"/>
    </row>
    <row r="145" spans="2:14" ht="15.75" x14ac:dyDescent="0.25">
      <c r="B145" s="157"/>
      <c r="C145" s="157"/>
      <c r="D145" s="157"/>
      <c r="E145" s="157"/>
      <c r="F145" s="157"/>
      <c r="G145" s="157"/>
      <c r="H145" s="157"/>
      <c r="I145" s="157"/>
      <c r="J145" s="157"/>
      <c r="K145" s="157"/>
      <c r="L145" s="157"/>
      <c r="M145" s="157"/>
      <c r="N145" s="157"/>
    </row>
  </sheetData>
  <mergeCells count="31">
    <mergeCell ref="B132:D132"/>
    <mergeCell ref="F132:H132"/>
    <mergeCell ref="J132:L132"/>
    <mergeCell ref="B63:D63"/>
    <mergeCell ref="F63:H63"/>
    <mergeCell ref="J63:L63"/>
    <mergeCell ref="B131:D131"/>
    <mergeCell ref="F131:H131"/>
    <mergeCell ref="J131:L131"/>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6">
    <cfRule type="expression" dxfId="392" priority="76">
      <formula>kvartal &lt; 4</formula>
    </cfRule>
  </conditionalFormatting>
  <conditionalFormatting sqref="C116">
    <cfRule type="expression" dxfId="391" priority="75">
      <formula>kvartal &lt; 4</formula>
    </cfRule>
  </conditionalFormatting>
  <conditionalFormatting sqref="B124">
    <cfRule type="expression" dxfId="390" priority="74">
      <formula>kvartal &lt; 4</formula>
    </cfRule>
  </conditionalFormatting>
  <conditionalFormatting sqref="C124">
    <cfRule type="expression" dxfId="389" priority="73">
      <formula>kvartal &lt; 4</formula>
    </cfRule>
  </conditionalFormatting>
  <conditionalFormatting sqref="F116">
    <cfRule type="expression" dxfId="388" priority="58">
      <formula>kvartal &lt; 4</formula>
    </cfRule>
  </conditionalFormatting>
  <conditionalFormatting sqref="G116">
    <cfRule type="expression" dxfId="387" priority="57">
      <formula>kvartal &lt; 4</formula>
    </cfRule>
  </conditionalFormatting>
  <conditionalFormatting sqref="F124:G124">
    <cfRule type="expression" dxfId="386" priority="56">
      <formula>kvartal &lt; 4</formula>
    </cfRule>
  </conditionalFormatting>
  <conditionalFormatting sqref="J116:K116">
    <cfRule type="expression" dxfId="385" priority="32">
      <formula>kvartal &lt; 4</formula>
    </cfRule>
  </conditionalFormatting>
  <conditionalFormatting sqref="J124:K124">
    <cfRule type="expression" dxfId="384" priority="31">
      <formula>kvartal &lt; 4</formula>
    </cfRule>
  </conditionalFormatting>
  <conditionalFormatting sqref="A50:A52">
    <cfRule type="expression" dxfId="383" priority="12">
      <formula>kvartal &lt; 4</formula>
    </cfRule>
  </conditionalFormatting>
  <conditionalFormatting sqref="A69:A74">
    <cfRule type="expression" dxfId="382" priority="10">
      <formula>kvartal &lt; 4</formula>
    </cfRule>
  </conditionalFormatting>
  <conditionalFormatting sqref="A80:A85">
    <cfRule type="expression" dxfId="381" priority="9">
      <formula>kvartal &lt; 4</formula>
    </cfRule>
  </conditionalFormatting>
  <conditionalFormatting sqref="A90:A95">
    <cfRule type="expression" dxfId="380" priority="6">
      <formula>kvartal &lt; 4</formula>
    </cfRule>
  </conditionalFormatting>
  <conditionalFormatting sqref="A102:A107">
    <cfRule type="expression" dxfId="379" priority="5">
      <formula>kvartal &lt; 4</formula>
    </cfRule>
  </conditionalFormatting>
  <conditionalFormatting sqref="A116">
    <cfRule type="expression" dxfId="378" priority="4">
      <formula>kvartal &lt; 4</formula>
    </cfRule>
  </conditionalFormatting>
  <conditionalFormatting sqref="A124">
    <cfRule type="expression" dxfId="377" priority="3">
      <formula>kvartal &lt; 4</formula>
    </cfRule>
  </conditionalFormatting>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26"/>
  <dimension ref="A1:N145"/>
  <sheetViews>
    <sheetView showGridLines="0" zoomScaleNormal="100" workbookViewId="0">
      <selection activeCell="A111" sqref="A111"/>
    </sheetView>
  </sheetViews>
  <sheetFormatPr baseColWidth="10" defaultColWidth="11.42578125" defaultRowHeight="12.75" x14ac:dyDescent="0.2"/>
  <cols>
    <col min="1" max="1" width="41.57031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134</v>
      </c>
      <c r="B1" s="663"/>
      <c r="C1" s="225" t="s">
        <v>95</v>
      </c>
      <c r="D1" s="26"/>
      <c r="E1" s="26"/>
      <c r="F1" s="26"/>
      <c r="G1" s="26"/>
      <c r="H1" s="26"/>
      <c r="I1" s="26"/>
      <c r="J1" s="26"/>
      <c r="K1" s="26"/>
      <c r="L1" s="26"/>
      <c r="M1" s="26"/>
    </row>
    <row r="2" spans="1:14" ht="15.75" x14ac:dyDescent="0.25">
      <c r="A2" s="165" t="s">
        <v>28</v>
      </c>
      <c r="B2" s="699"/>
      <c r="C2" s="699"/>
      <c r="D2" s="699"/>
      <c r="E2" s="275"/>
      <c r="F2" s="699"/>
      <c r="G2" s="699"/>
      <c r="H2" s="699"/>
      <c r="I2" s="275"/>
      <c r="J2" s="699"/>
      <c r="K2" s="699"/>
      <c r="L2" s="699"/>
      <c r="M2" s="275"/>
    </row>
    <row r="3" spans="1:14" ht="15.75" x14ac:dyDescent="0.25">
      <c r="A3" s="163"/>
      <c r="B3" s="275"/>
      <c r="C3" s="275"/>
      <c r="D3" s="275"/>
      <c r="E3" s="275"/>
      <c r="F3" s="275"/>
      <c r="G3" s="275"/>
      <c r="H3" s="275"/>
      <c r="I3" s="275"/>
      <c r="J3" s="275"/>
      <c r="K3" s="275"/>
      <c r="L3" s="275"/>
      <c r="M3" s="275"/>
    </row>
    <row r="4" spans="1:14" x14ac:dyDescent="0.2">
      <c r="A4" s="144"/>
      <c r="B4" s="695" t="s">
        <v>0</v>
      </c>
      <c r="C4" s="696"/>
      <c r="D4" s="696"/>
      <c r="E4" s="277"/>
      <c r="F4" s="695" t="s">
        <v>1</v>
      </c>
      <c r="G4" s="696"/>
      <c r="H4" s="696"/>
      <c r="I4" s="280"/>
      <c r="J4" s="695" t="s">
        <v>2</v>
      </c>
      <c r="K4" s="696"/>
      <c r="L4" s="696"/>
      <c r="M4" s="280"/>
    </row>
    <row r="5" spans="1:14" x14ac:dyDescent="0.2">
      <c r="A5" s="158"/>
      <c r="B5" s="152" t="s">
        <v>412</v>
      </c>
      <c r="C5" s="152" t="s">
        <v>413</v>
      </c>
      <c r="D5" s="222" t="s">
        <v>3</v>
      </c>
      <c r="E5" s="281" t="s">
        <v>29</v>
      </c>
      <c r="F5" s="152" t="s">
        <v>412</v>
      </c>
      <c r="G5" s="152" t="s">
        <v>413</v>
      </c>
      <c r="H5" s="222" t="s">
        <v>3</v>
      </c>
      <c r="I5" s="162" t="s">
        <v>29</v>
      </c>
      <c r="J5" s="152" t="s">
        <v>412</v>
      </c>
      <c r="K5" s="152" t="s">
        <v>413</v>
      </c>
      <c r="L5" s="222" t="s">
        <v>3</v>
      </c>
      <c r="M5" s="162" t="s">
        <v>29</v>
      </c>
    </row>
    <row r="6" spans="1:14" x14ac:dyDescent="0.2">
      <c r="A6" s="661"/>
      <c r="B6" s="156"/>
      <c r="C6" s="156"/>
      <c r="D6" s="223" t="s">
        <v>4</v>
      </c>
      <c r="E6" s="156" t="s">
        <v>30</v>
      </c>
      <c r="F6" s="161"/>
      <c r="G6" s="161"/>
      <c r="H6" s="222" t="s">
        <v>4</v>
      </c>
      <c r="I6" s="156" t="s">
        <v>30</v>
      </c>
      <c r="J6" s="161"/>
      <c r="K6" s="161"/>
      <c r="L6" s="222" t="s">
        <v>4</v>
      </c>
      <c r="M6" s="156" t="s">
        <v>30</v>
      </c>
    </row>
    <row r="7" spans="1:14" ht="15.75" x14ac:dyDescent="0.2">
      <c r="A7" s="14" t="s">
        <v>23</v>
      </c>
      <c r="B7" s="282"/>
      <c r="C7" s="283"/>
      <c r="D7" s="326"/>
      <c r="E7" s="11"/>
      <c r="F7" s="282"/>
      <c r="G7" s="283"/>
      <c r="H7" s="326"/>
      <c r="I7" s="160"/>
      <c r="J7" s="284"/>
      <c r="K7" s="285"/>
      <c r="L7" s="401"/>
      <c r="M7" s="11"/>
    </row>
    <row r="8" spans="1:14" ht="15.75" x14ac:dyDescent="0.2">
      <c r="A8" s="21" t="s">
        <v>25</v>
      </c>
      <c r="B8" s="258"/>
      <c r="C8" s="259"/>
      <c r="D8" s="166"/>
      <c r="E8" s="27"/>
      <c r="F8" s="262"/>
      <c r="G8" s="263"/>
      <c r="H8" s="166"/>
      <c r="I8" s="175"/>
      <c r="J8" s="211"/>
      <c r="K8" s="264"/>
      <c r="L8" s="166"/>
      <c r="M8" s="27"/>
    </row>
    <row r="9" spans="1:14" ht="15.75" x14ac:dyDescent="0.2">
      <c r="A9" s="21" t="s">
        <v>24</v>
      </c>
      <c r="B9" s="258"/>
      <c r="C9" s="259"/>
      <c r="D9" s="166"/>
      <c r="E9" s="27"/>
      <c r="F9" s="262"/>
      <c r="G9" s="263"/>
      <c r="H9" s="166"/>
      <c r="I9" s="175"/>
      <c r="J9" s="211"/>
      <c r="K9" s="264"/>
      <c r="L9" s="166"/>
      <c r="M9" s="27"/>
    </row>
    <row r="10" spans="1:14" ht="15.75" x14ac:dyDescent="0.2">
      <c r="A10" s="13" t="s">
        <v>341</v>
      </c>
      <c r="B10" s="286"/>
      <c r="C10" s="287"/>
      <c r="D10" s="171"/>
      <c r="E10" s="11"/>
      <c r="F10" s="286"/>
      <c r="G10" s="287"/>
      <c r="H10" s="171"/>
      <c r="I10" s="160"/>
      <c r="J10" s="284"/>
      <c r="K10" s="285"/>
      <c r="L10" s="402"/>
      <c r="M10" s="11"/>
    </row>
    <row r="11" spans="1:14" s="43" customFormat="1" ht="15.75" x14ac:dyDescent="0.2">
      <c r="A11" s="13" t="s">
        <v>342</v>
      </c>
      <c r="B11" s="286"/>
      <c r="C11" s="287"/>
      <c r="D11" s="171"/>
      <c r="E11" s="11"/>
      <c r="F11" s="286"/>
      <c r="G11" s="287"/>
      <c r="H11" s="171"/>
      <c r="I11" s="160"/>
      <c r="J11" s="284"/>
      <c r="K11" s="285"/>
      <c r="L11" s="402"/>
      <c r="M11" s="11"/>
      <c r="N11" s="143"/>
    </row>
    <row r="12" spans="1:14" s="43" customFormat="1" ht="15.75" x14ac:dyDescent="0.2">
      <c r="A12" s="41" t="s">
        <v>343</v>
      </c>
      <c r="B12" s="288"/>
      <c r="C12" s="289"/>
      <c r="D12" s="169"/>
      <c r="E12" s="36"/>
      <c r="F12" s="288"/>
      <c r="G12" s="289"/>
      <c r="H12" s="169"/>
      <c r="I12" s="169"/>
      <c r="J12" s="290"/>
      <c r="K12" s="291"/>
      <c r="L12" s="403"/>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251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248</v>
      </c>
      <c r="B17" s="157"/>
      <c r="C17" s="157"/>
      <c r="D17" s="151"/>
      <c r="E17" s="151"/>
      <c r="F17" s="157"/>
      <c r="G17" s="157"/>
      <c r="H17" s="157"/>
      <c r="I17" s="157"/>
      <c r="J17" s="157"/>
      <c r="K17" s="157"/>
      <c r="L17" s="157"/>
      <c r="M17" s="157"/>
    </row>
    <row r="18" spans="1:14" ht="15.75" x14ac:dyDescent="0.25">
      <c r="B18" s="694"/>
      <c r="C18" s="694"/>
      <c r="D18" s="694"/>
      <c r="E18" s="275"/>
      <c r="F18" s="694"/>
      <c r="G18" s="694"/>
      <c r="H18" s="694"/>
      <c r="I18" s="275"/>
      <c r="J18" s="694"/>
      <c r="K18" s="694"/>
      <c r="L18" s="694"/>
      <c r="M18" s="275"/>
    </row>
    <row r="19" spans="1:14" x14ac:dyDescent="0.2">
      <c r="A19" s="144"/>
      <c r="B19" s="695" t="s">
        <v>0</v>
      </c>
      <c r="C19" s="696"/>
      <c r="D19" s="696"/>
      <c r="E19" s="277"/>
      <c r="F19" s="695" t="s">
        <v>1</v>
      </c>
      <c r="G19" s="696"/>
      <c r="H19" s="696"/>
      <c r="I19" s="280"/>
      <c r="J19" s="695" t="s">
        <v>2</v>
      </c>
      <c r="K19" s="696"/>
      <c r="L19" s="696"/>
      <c r="M19" s="280"/>
    </row>
    <row r="20" spans="1:14" x14ac:dyDescent="0.2">
      <c r="A20" s="140" t="s">
        <v>5</v>
      </c>
      <c r="B20" s="152" t="s">
        <v>412</v>
      </c>
      <c r="C20" s="152" t="s">
        <v>413</v>
      </c>
      <c r="D20" s="162" t="s">
        <v>3</v>
      </c>
      <c r="E20" s="281" t="s">
        <v>29</v>
      </c>
      <c r="F20" s="152" t="s">
        <v>412</v>
      </c>
      <c r="G20" s="152" t="s">
        <v>413</v>
      </c>
      <c r="H20" s="162" t="s">
        <v>3</v>
      </c>
      <c r="I20" s="162" t="s">
        <v>29</v>
      </c>
      <c r="J20" s="152" t="s">
        <v>412</v>
      </c>
      <c r="K20" s="152" t="s">
        <v>413</v>
      </c>
      <c r="L20" s="162" t="s">
        <v>3</v>
      </c>
      <c r="M20" s="162" t="s">
        <v>29</v>
      </c>
    </row>
    <row r="21" spans="1:14" x14ac:dyDescent="0.2">
      <c r="A21" s="662"/>
      <c r="B21" s="156"/>
      <c r="C21" s="156"/>
      <c r="D21" s="223" t="s">
        <v>4</v>
      </c>
      <c r="E21" s="156" t="s">
        <v>30</v>
      </c>
      <c r="F21" s="161"/>
      <c r="G21" s="161"/>
      <c r="H21" s="222" t="s">
        <v>4</v>
      </c>
      <c r="I21" s="156" t="s">
        <v>30</v>
      </c>
      <c r="J21" s="161"/>
      <c r="K21" s="161"/>
      <c r="L21" s="156" t="s">
        <v>4</v>
      </c>
      <c r="M21" s="156" t="s">
        <v>30</v>
      </c>
    </row>
    <row r="22" spans="1:14" ht="15.75" x14ac:dyDescent="0.2">
      <c r="A22" s="14" t="s">
        <v>23</v>
      </c>
      <c r="B22" s="286"/>
      <c r="C22" s="286"/>
      <c r="D22" s="326"/>
      <c r="E22" s="11"/>
      <c r="F22" s="294"/>
      <c r="G22" s="294"/>
      <c r="H22" s="326"/>
      <c r="I22" s="11"/>
      <c r="J22" s="292"/>
      <c r="K22" s="292"/>
      <c r="L22" s="401"/>
      <c r="M22" s="24"/>
    </row>
    <row r="23" spans="1:14" ht="15.75" x14ac:dyDescent="0.2">
      <c r="A23" s="545" t="s">
        <v>344</v>
      </c>
      <c r="B23" s="258"/>
      <c r="C23" s="258"/>
      <c r="D23" s="166"/>
      <c r="E23" s="11"/>
      <c r="F23" s="267"/>
      <c r="G23" s="267"/>
      <c r="H23" s="166"/>
      <c r="I23" s="391"/>
      <c r="J23" s="267"/>
      <c r="K23" s="267"/>
      <c r="L23" s="166"/>
      <c r="M23" s="23"/>
    </row>
    <row r="24" spans="1:14" ht="15.75" x14ac:dyDescent="0.2">
      <c r="A24" s="545" t="s">
        <v>345</v>
      </c>
      <c r="B24" s="258"/>
      <c r="C24" s="258"/>
      <c r="D24" s="166"/>
      <c r="E24" s="11"/>
      <c r="F24" s="267"/>
      <c r="G24" s="267"/>
      <c r="H24" s="166"/>
      <c r="I24" s="391"/>
      <c r="J24" s="267"/>
      <c r="K24" s="267"/>
      <c r="L24" s="166"/>
      <c r="M24" s="23"/>
    </row>
    <row r="25" spans="1:14" ht="15.75" x14ac:dyDescent="0.2">
      <c r="A25" s="545" t="s">
        <v>346</v>
      </c>
      <c r="B25" s="258"/>
      <c r="C25" s="258"/>
      <c r="D25" s="166"/>
      <c r="E25" s="11"/>
      <c r="F25" s="267"/>
      <c r="G25" s="267"/>
      <c r="H25" s="166"/>
      <c r="I25" s="391"/>
      <c r="J25" s="267"/>
      <c r="K25" s="267"/>
      <c r="L25" s="166"/>
      <c r="M25" s="23"/>
    </row>
    <row r="26" spans="1:14" ht="15.75" x14ac:dyDescent="0.2">
      <c r="A26" s="545" t="s">
        <v>347</v>
      </c>
      <c r="B26" s="258"/>
      <c r="C26" s="258"/>
      <c r="D26" s="166"/>
      <c r="E26" s="11"/>
      <c r="F26" s="267"/>
      <c r="G26" s="267"/>
      <c r="H26" s="166"/>
      <c r="I26" s="391"/>
      <c r="J26" s="267"/>
      <c r="K26" s="267"/>
      <c r="L26" s="166"/>
      <c r="M26" s="23"/>
    </row>
    <row r="27" spans="1:14" x14ac:dyDescent="0.2">
      <c r="A27" s="545" t="s">
        <v>11</v>
      </c>
      <c r="B27" s="258"/>
      <c r="C27" s="258"/>
      <c r="D27" s="166"/>
      <c r="E27" s="11"/>
      <c r="F27" s="267"/>
      <c r="G27" s="267"/>
      <c r="H27" s="166"/>
      <c r="I27" s="391"/>
      <c r="J27" s="267"/>
      <c r="K27" s="267"/>
      <c r="L27" s="166"/>
      <c r="M27" s="23"/>
    </row>
    <row r="28" spans="1:14" ht="15.75" x14ac:dyDescent="0.2">
      <c r="A28" s="49" t="s">
        <v>252</v>
      </c>
      <c r="B28" s="44"/>
      <c r="C28" s="264"/>
      <c r="D28" s="166"/>
      <c r="E28" s="11"/>
      <c r="F28" s="211"/>
      <c r="G28" s="264"/>
      <c r="H28" s="166"/>
      <c r="I28" s="27"/>
      <c r="J28" s="44"/>
      <c r="K28" s="44"/>
      <c r="L28" s="231"/>
      <c r="M28" s="23"/>
    </row>
    <row r="29" spans="1:14" s="3" customFormat="1" ht="15.75" x14ac:dyDescent="0.2">
      <c r="A29" s="13" t="s">
        <v>341</v>
      </c>
      <c r="B29" s="213"/>
      <c r="C29" s="213"/>
      <c r="D29" s="171"/>
      <c r="E29" s="11"/>
      <c r="F29" s="284"/>
      <c r="G29" s="284"/>
      <c r="H29" s="171"/>
      <c r="I29" s="11"/>
      <c r="J29" s="213"/>
      <c r="K29" s="213"/>
      <c r="L29" s="402"/>
      <c r="M29" s="24"/>
      <c r="N29" s="148"/>
    </row>
    <row r="30" spans="1:14" s="3" customFormat="1" ht="15.75" x14ac:dyDescent="0.2">
      <c r="A30" s="545" t="s">
        <v>344</v>
      </c>
      <c r="B30" s="258"/>
      <c r="C30" s="258"/>
      <c r="D30" s="166"/>
      <c r="E30" s="11"/>
      <c r="F30" s="267"/>
      <c r="G30" s="267"/>
      <c r="H30" s="166"/>
      <c r="I30" s="391"/>
      <c r="J30" s="267"/>
      <c r="K30" s="267"/>
      <c r="L30" s="166"/>
      <c r="M30" s="23"/>
      <c r="N30" s="148"/>
    </row>
    <row r="31" spans="1:14" s="3" customFormat="1" ht="15.75" x14ac:dyDescent="0.2">
      <c r="A31" s="545" t="s">
        <v>345</v>
      </c>
      <c r="B31" s="258"/>
      <c r="C31" s="258"/>
      <c r="D31" s="166"/>
      <c r="E31" s="11"/>
      <c r="F31" s="267"/>
      <c r="G31" s="267"/>
      <c r="H31" s="166"/>
      <c r="I31" s="391"/>
      <c r="J31" s="267"/>
      <c r="K31" s="267"/>
      <c r="L31" s="166"/>
      <c r="M31" s="23"/>
      <c r="N31" s="148"/>
    </row>
    <row r="32" spans="1:14" ht="15.75" x14ac:dyDescent="0.2">
      <c r="A32" s="545" t="s">
        <v>346</v>
      </c>
      <c r="B32" s="258"/>
      <c r="C32" s="258"/>
      <c r="D32" s="166"/>
      <c r="E32" s="11"/>
      <c r="F32" s="267"/>
      <c r="G32" s="267"/>
      <c r="H32" s="166"/>
      <c r="I32" s="391"/>
      <c r="J32" s="267"/>
      <c r="K32" s="267"/>
      <c r="L32" s="166"/>
      <c r="M32" s="23"/>
    </row>
    <row r="33" spans="1:14" ht="15.75" x14ac:dyDescent="0.2">
      <c r="A33" s="545" t="s">
        <v>347</v>
      </c>
      <c r="B33" s="258"/>
      <c r="C33" s="258"/>
      <c r="D33" s="166"/>
      <c r="E33" s="11"/>
      <c r="F33" s="267"/>
      <c r="G33" s="267"/>
      <c r="H33" s="166"/>
      <c r="I33" s="391"/>
      <c r="J33" s="267"/>
      <c r="K33" s="267"/>
      <c r="L33" s="166"/>
      <c r="M33" s="23"/>
    </row>
    <row r="34" spans="1:14" ht="15.75" x14ac:dyDescent="0.2">
      <c r="A34" s="13" t="s">
        <v>342</v>
      </c>
      <c r="B34" s="213"/>
      <c r="C34" s="285"/>
      <c r="D34" s="171"/>
      <c r="E34" s="11"/>
      <c r="F34" s="284"/>
      <c r="G34" s="285"/>
      <c r="H34" s="171"/>
      <c r="I34" s="11"/>
      <c r="J34" s="213"/>
      <c r="K34" s="213"/>
      <c r="L34" s="402"/>
      <c r="M34" s="24"/>
    </row>
    <row r="35" spans="1:14" ht="15.75" x14ac:dyDescent="0.2">
      <c r="A35" s="13" t="s">
        <v>343</v>
      </c>
      <c r="B35" s="213"/>
      <c r="C35" s="285"/>
      <c r="D35" s="171"/>
      <c r="E35" s="11"/>
      <c r="F35" s="284"/>
      <c r="G35" s="285"/>
      <c r="H35" s="171"/>
      <c r="I35" s="11"/>
      <c r="J35" s="213"/>
      <c r="K35" s="213"/>
      <c r="L35" s="402"/>
      <c r="M35" s="24"/>
    </row>
    <row r="36" spans="1:14" ht="15.75" x14ac:dyDescent="0.2">
      <c r="A36" s="12" t="s">
        <v>260</v>
      </c>
      <c r="B36" s="213"/>
      <c r="C36" s="285"/>
      <c r="D36" s="171"/>
      <c r="E36" s="11"/>
      <c r="F36" s="295"/>
      <c r="G36" s="296"/>
      <c r="H36" s="171"/>
      <c r="I36" s="408"/>
      <c r="J36" s="213"/>
      <c r="K36" s="213"/>
      <c r="L36" s="402"/>
      <c r="M36" s="24"/>
    </row>
    <row r="37" spans="1:14" ht="15.75" x14ac:dyDescent="0.2">
      <c r="A37" s="12" t="s">
        <v>349</v>
      </c>
      <c r="B37" s="213"/>
      <c r="C37" s="285"/>
      <c r="D37" s="171"/>
      <c r="E37" s="11"/>
      <c r="F37" s="295"/>
      <c r="G37" s="297"/>
      <c r="H37" s="171"/>
      <c r="I37" s="408"/>
      <c r="J37" s="213"/>
      <c r="K37" s="213"/>
      <c r="L37" s="402"/>
      <c r="M37" s="24"/>
    </row>
    <row r="38" spans="1:14" ht="15.75" x14ac:dyDescent="0.2">
      <c r="A38" s="12" t="s">
        <v>350</v>
      </c>
      <c r="B38" s="213"/>
      <c r="C38" s="285"/>
      <c r="D38" s="171"/>
      <c r="E38" s="24"/>
      <c r="F38" s="295"/>
      <c r="G38" s="296"/>
      <c r="H38" s="171"/>
      <c r="I38" s="408"/>
      <c r="J38" s="213"/>
      <c r="K38" s="213"/>
      <c r="L38" s="402"/>
      <c r="M38" s="24"/>
    </row>
    <row r="39" spans="1:14" ht="15.75" x14ac:dyDescent="0.2">
      <c r="A39" s="18" t="s">
        <v>351</v>
      </c>
      <c r="B39" s="253"/>
      <c r="C39" s="291"/>
      <c r="D39" s="169"/>
      <c r="E39" s="36"/>
      <c r="F39" s="298"/>
      <c r="G39" s="299"/>
      <c r="H39" s="169"/>
      <c r="I39" s="36"/>
      <c r="J39" s="213"/>
      <c r="K39" s="213"/>
      <c r="L39" s="403"/>
      <c r="M39" s="36"/>
    </row>
    <row r="40" spans="1:14" ht="15.75" x14ac:dyDescent="0.25">
      <c r="A40" s="47"/>
      <c r="B40" s="230"/>
      <c r="C40" s="230"/>
      <c r="D40" s="698"/>
      <c r="E40" s="698"/>
      <c r="F40" s="698"/>
      <c r="G40" s="698"/>
      <c r="H40" s="698"/>
      <c r="I40" s="698"/>
      <c r="J40" s="698"/>
      <c r="K40" s="698"/>
      <c r="L40" s="698"/>
      <c r="M40" s="278"/>
    </row>
    <row r="41" spans="1:14" x14ac:dyDescent="0.2">
      <c r="A41" s="155"/>
    </row>
    <row r="42" spans="1:14" ht="15.75" x14ac:dyDescent="0.25">
      <c r="A42" s="147" t="s">
        <v>249</v>
      </c>
      <c r="B42" s="699"/>
      <c r="C42" s="699"/>
      <c r="D42" s="699"/>
      <c r="E42" s="275"/>
      <c r="F42" s="700"/>
      <c r="G42" s="700"/>
      <c r="H42" s="700"/>
      <c r="I42" s="278"/>
      <c r="J42" s="700"/>
      <c r="K42" s="700"/>
      <c r="L42" s="700"/>
      <c r="M42" s="278"/>
    </row>
    <row r="43" spans="1:14" ht="15.75" x14ac:dyDescent="0.25">
      <c r="A43" s="163"/>
      <c r="B43" s="279"/>
      <c r="C43" s="279"/>
      <c r="D43" s="279"/>
      <c r="E43" s="279"/>
      <c r="F43" s="278"/>
      <c r="G43" s="278"/>
      <c r="H43" s="278"/>
      <c r="I43" s="278"/>
      <c r="J43" s="278"/>
      <c r="K43" s="278"/>
      <c r="L43" s="278"/>
      <c r="M43" s="278"/>
    </row>
    <row r="44" spans="1:14" ht="15.75" x14ac:dyDescent="0.25">
      <c r="A44" s="224"/>
      <c r="B44" s="695" t="s">
        <v>0</v>
      </c>
      <c r="C44" s="696"/>
      <c r="D44" s="696"/>
      <c r="E44" s="220"/>
      <c r="F44" s="278"/>
      <c r="G44" s="278"/>
      <c r="H44" s="278"/>
      <c r="I44" s="278"/>
      <c r="J44" s="278"/>
      <c r="K44" s="278"/>
      <c r="L44" s="278"/>
      <c r="M44" s="278"/>
    </row>
    <row r="45" spans="1:14" s="3" customFormat="1" x14ac:dyDescent="0.2">
      <c r="A45" s="140"/>
      <c r="B45" s="152" t="s">
        <v>412</v>
      </c>
      <c r="C45" s="152" t="s">
        <v>413</v>
      </c>
      <c r="D45" s="162" t="s">
        <v>3</v>
      </c>
      <c r="E45" s="162" t="s">
        <v>29</v>
      </c>
      <c r="F45" s="174"/>
      <c r="G45" s="174"/>
      <c r="H45" s="173"/>
      <c r="I45" s="173"/>
      <c r="J45" s="174"/>
      <c r="K45" s="174"/>
      <c r="L45" s="173"/>
      <c r="M45" s="173"/>
      <c r="N45" s="148"/>
    </row>
    <row r="46" spans="1:14" s="3" customFormat="1" x14ac:dyDescent="0.2">
      <c r="A46" s="662"/>
      <c r="B46" s="221"/>
      <c r="C46" s="221"/>
      <c r="D46" s="222" t="s">
        <v>4</v>
      </c>
      <c r="E46" s="156" t="s">
        <v>30</v>
      </c>
      <c r="F46" s="173"/>
      <c r="G46" s="173"/>
      <c r="H46" s="173"/>
      <c r="I46" s="173"/>
      <c r="J46" s="173"/>
      <c r="K46" s="173"/>
      <c r="L46" s="173"/>
      <c r="M46" s="173"/>
      <c r="N46" s="148"/>
    </row>
    <row r="47" spans="1:14" s="3" customFormat="1" ht="15.75" x14ac:dyDescent="0.2">
      <c r="A47" s="14" t="s">
        <v>23</v>
      </c>
      <c r="B47" s="286">
        <v>7721</v>
      </c>
      <c r="C47" s="287">
        <v>7705</v>
      </c>
      <c r="D47" s="401">
        <f t="shared" ref="D47:D55" si="0">IF(B47=0, "    ---- ", IF(ABS(ROUND(100/B47*C47-100,1))&lt;999,ROUND(100/B47*C47-100,1),IF(ROUND(100/B47*C47-100,1)&gt;999,999,-999)))</f>
        <v>-0.2</v>
      </c>
      <c r="E47" s="11">
        <f>IFERROR(100/'Skjema total MA'!C47*C47,0)</f>
        <v>0.24355397673832738</v>
      </c>
      <c r="F47" s="145"/>
      <c r="G47" s="33"/>
      <c r="H47" s="159"/>
      <c r="I47" s="159"/>
      <c r="J47" s="37"/>
      <c r="K47" s="37"/>
      <c r="L47" s="159"/>
      <c r="M47" s="159"/>
      <c r="N47" s="148"/>
    </row>
    <row r="48" spans="1:14" s="3" customFormat="1" ht="15.75" x14ac:dyDescent="0.2">
      <c r="A48" s="38" t="s">
        <v>352</v>
      </c>
      <c r="B48" s="258">
        <v>7721</v>
      </c>
      <c r="C48" s="259">
        <v>7705</v>
      </c>
      <c r="D48" s="231">
        <f t="shared" si="0"/>
        <v>-0.2</v>
      </c>
      <c r="E48" s="27">
        <f>IFERROR(100/'Skjema total MA'!C48*C48,0)</f>
        <v>0.4492001870319961</v>
      </c>
      <c r="F48" s="145"/>
      <c r="G48" s="33"/>
      <c r="H48" s="145"/>
      <c r="I48" s="145"/>
      <c r="J48" s="33"/>
      <c r="K48" s="33"/>
      <c r="L48" s="159"/>
      <c r="M48" s="159"/>
      <c r="N48" s="148"/>
    </row>
    <row r="49" spans="1:14" s="3" customFormat="1" ht="15.75" x14ac:dyDescent="0.2">
      <c r="A49" s="38" t="s">
        <v>353</v>
      </c>
      <c r="B49" s="44"/>
      <c r="C49" s="264"/>
      <c r="D49" s="231"/>
      <c r="E49" s="27"/>
      <c r="F49" s="145"/>
      <c r="G49" s="33"/>
      <c r="H49" s="145"/>
      <c r="I49" s="145"/>
      <c r="J49" s="37"/>
      <c r="K49" s="37"/>
      <c r="L49" s="159"/>
      <c r="M49" s="159"/>
      <c r="N49" s="148"/>
    </row>
    <row r="50" spans="1:14" s="3" customFormat="1" x14ac:dyDescent="0.2">
      <c r="A50" s="272" t="s">
        <v>6</v>
      </c>
      <c r="B50" s="295"/>
      <c r="C50" s="295"/>
      <c r="D50" s="231"/>
      <c r="E50" s="23"/>
      <c r="F50" s="145"/>
      <c r="G50" s="33"/>
      <c r="H50" s="145"/>
      <c r="I50" s="145"/>
      <c r="J50" s="33"/>
      <c r="K50" s="33"/>
      <c r="L50" s="159"/>
      <c r="M50" s="159"/>
      <c r="N50" s="148"/>
    </row>
    <row r="51" spans="1:14" s="3" customFormat="1" x14ac:dyDescent="0.2">
      <c r="A51" s="272" t="s">
        <v>7</v>
      </c>
      <c r="B51" s="295"/>
      <c r="C51" s="295"/>
      <c r="D51" s="231"/>
      <c r="E51" s="23"/>
      <c r="F51" s="145"/>
      <c r="G51" s="33"/>
      <c r="H51" s="145"/>
      <c r="I51" s="145"/>
      <c r="J51" s="33"/>
      <c r="K51" s="33"/>
      <c r="L51" s="159"/>
      <c r="M51" s="159"/>
      <c r="N51" s="148"/>
    </row>
    <row r="52" spans="1:14" s="3" customFormat="1" x14ac:dyDescent="0.2">
      <c r="A52" s="272" t="s">
        <v>8</v>
      </c>
      <c r="B52" s="295"/>
      <c r="C52" s="295"/>
      <c r="D52" s="231"/>
      <c r="E52" s="23"/>
      <c r="F52" s="145"/>
      <c r="G52" s="33"/>
      <c r="H52" s="145"/>
      <c r="I52" s="145"/>
      <c r="J52" s="33"/>
      <c r="K52" s="33"/>
      <c r="L52" s="159"/>
      <c r="M52" s="159"/>
      <c r="N52" s="148"/>
    </row>
    <row r="53" spans="1:14" s="3" customFormat="1" ht="15.75" x14ac:dyDescent="0.2">
      <c r="A53" s="39" t="s">
        <v>354</v>
      </c>
      <c r="B53" s="286">
        <v>0</v>
      </c>
      <c r="C53" s="287">
        <v>13000</v>
      </c>
      <c r="D53" s="402" t="str">
        <f t="shared" si="0"/>
        <v xml:space="preserve">    ---- </v>
      </c>
      <c r="E53" s="11">
        <f>IFERROR(100/'Skjema total MA'!C53*C53,0)</f>
        <v>5.918542178626347</v>
      </c>
      <c r="F53" s="145"/>
      <c r="G53" s="33"/>
      <c r="H53" s="145"/>
      <c r="I53" s="145"/>
      <c r="J53" s="33"/>
      <c r="K53" s="33"/>
      <c r="L53" s="159"/>
      <c r="M53" s="159"/>
      <c r="N53" s="148"/>
    </row>
    <row r="54" spans="1:14" s="3" customFormat="1" ht="15.75" x14ac:dyDescent="0.2">
      <c r="A54" s="38" t="s">
        <v>352</v>
      </c>
      <c r="B54" s="258"/>
      <c r="C54" s="259"/>
      <c r="D54" s="231"/>
      <c r="E54" s="27"/>
      <c r="F54" s="145"/>
      <c r="G54" s="33"/>
      <c r="H54" s="145"/>
      <c r="I54" s="145"/>
      <c r="J54" s="33"/>
      <c r="K54" s="33"/>
      <c r="L54" s="159"/>
      <c r="M54" s="159"/>
      <c r="N54" s="148"/>
    </row>
    <row r="55" spans="1:14" s="3" customFormat="1" ht="15.75" x14ac:dyDescent="0.2">
      <c r="A55" s="38" t="s">
        <v>353</v>
      </c>
      <c r="B55" s="258">
        <v>0</v>
      </c>
      <c r="C55" s="259">
        <v>13000</v>
      </c>
      <c r="D55" s="231" t="str">
        <f t="shared" si="0"/>
        <v xml:space="preserve">    ---- </v>
      </c>
      <c r="E55" s="27">
        <f>IFERROR(100/'Skjema total MA'!C55*C55,0)</f>
        <v>68.92798531346115</v>
      </c>
      <c r="F55" s="145"/>
      <c r="G55" s="33"/>
      <c r="H55" s="145"/>
      <c r="I55" s="145"/>
      <c r="J55" s="33"/>
      <c r="K55" s="33"/>
      <c r="L55" s="159"/>
      <c r="M55" s="159"/>
      <c r="N55" s="148"/>
    </row>
    <row r="56" spans="1:14" s="3" customFormat="1" ht="15.75" x14ac:dyDescent="0.2">
      <c r="A56" s="39" t="s">
        <v>355</v>
      </c>
      <c r="B56" s="286"/>
      <c r="C56" s="287"/>
      <c r="D56" s="402"/>
      <c r="E56" s="11"/>
      <c r="F56" s="145"/>
      <c r="G56" s="33"/>
      <c r="H56" s="145"/>
      <c r="I56" s="145"/>
      <c r="J56" s="33"/>
      <c r="K56" s="33"/>
      <c r="L56" s="159"/>
      <c r="M56" s="159"/>
      <c r="N56" s="148"/>
    </row>
    <row r="57" spans="1:14" s="3" customFormat="1" ht="15.75" x14ac:dyDescent="0.2">
      <c r="A57" s="38" t="s">
        <v>352</v>
      </c>
      <c r="B57" s="258"/>
      <c r="C57" s="259"/>
      <c r="D57" s="231"/>
      <c r="E57" s="27"/>
      <c r="F57" s="145"/>
      <c r="G57" s="33"/>
      <c r="H57" s="145"/>
      <c r="I57" s="145"/>
      <c r="J57" s="33"/>
      <c r="K57" s="33"/>
      <c r="L57" s="159"/>
      <c r="M57" s="159"/>
      <c r="N57" s="148"/>
    </row>
    <row r="58" spans="1:14" s="3" customFormat="1" ht="15.75" x14ac:dyDescent="0.2">
      <c r="A58" s="46" t="s">
        <v>353</v>
      </c>
      <c r="B58" s="260"/>
      <c r="C58" s="261"/>
      <c r="D58" s="232"/>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250</v>
      </c>
      <c r="C61" s="26"/>
      <c r="D61" s="26"/>
      <c r="E61" s="26"/>
      <c r="F61" s="26"/>
      <c r="G61" s="26"/>
      <c r="H61" s="26"/>
      <c r="I61" s="26"/>
      <c r="J61" s="26"/>
      <c r="K61" s="26"/>
      <c r="L61" s="26"/>
      <c r="M61" s="26"/>
    </row>
    <row r="62" spans="1:14" ht="15.75" x14ac:dyDescent="0.25">
      <c r="B62" s="694"/>
      <c r="C62" s="694"/>
      <c r="D62" s="694"/>
      <c r="E62" s="275"/>
      <c r="F62" s="694"/>
      <c r="G62" s="694"/>
      <c r="H62" s="694"/>
      <c r="I62" s="275"/>
      <c r="J62" s="694"/>
      <c r="K62" s="694"/>
      <c r="L62" s="694"/>
      <c r="M62" s="275"/>
    </row>
    <row r="63" spans="1:14" x14ac:dyDescent="0.2">
      <c r="A63" s="144"/>
      <c r="B63" s="695" t="s">
        <v>0</v>
      </c>
      <c r="C63" s="696"/>
      <c r="D63" s="697"/>
      <c r="E63" s="276"/>
      <c r="F63" s="696" t="s">
        <v>1</v>
      </c>
      <c r="G63" s="696"/>
      <c r="H63" s="696"/>
      <c r="I63" s="280"/>
      <c r="J63" s="695" t="s">
        <v>2</v>
      </c>
      <c r="K63" s="696"/>
      <c r="L63" s="696"/>
      <c r="M63" s="280"/>
    </row>
    <row r="64" spans="1:14" x14ac:dyDescent="0.2">
      <c r="A64" s="140"/>
      <c r="B64" s="152" t="s">
        <v>412</v>
      </c>
      <c r="C64" s="152" t="s">
        <v>413</v>
      </c>
      <c r="D64" s="222" t="s">
        <v>3</v>
      </c>
      <c r="E64" s="281" t="s">
        <v>29</v>
      </c>
      <c r="F64" s="152" t="s">
        <v>412</v>
      </c>
      <c r="G64" s="152" t="s">
        <v>413</v>
      </c>
      <c r="H64" s="222" t="s">
        <v>3</v>
      </c>
      <c r="I64" s="281" t="s">
        <v>29</v>
      </c>
      <c r="J64" s="152" t="s">
        <v>412</v>
      </c>
      <c r="K64" s="152" t="s">
        <v>413</v>
      </c>
      <c r="L64" s="222" t="s">
        <v>3</v>
      </c>
      <c r="M64" s="162" t="s">
        <v>29</v>
      </c>
    </row>
    <row r="65" spans="1:14" x14ac:dyDescent="0.2">
      <c r="A65" s="662"/>
      <c r="B65" s="156"/>
      <c r="C65" s="156"/>
      <c r="D65" s="223" t="s">
        <v>4</v>
      </c>
      <c r="E65" s="156" t="s">
        <v>30</v>
      </c>
      <c r="F65" s="161"/>
      <c r="G65" s="161"/>
      <c r="H65" s="222" t="s">
        <v>4</v>
      </c>
      <c r="I65" s="156" t="s">
        <v>30</v>
      </c>
      <c r="J65" s="161"/>
      <c r="K65" s="203"/>
      <c r="L65" s="156" t="s">
        <v>4</v>
      </c>
      <c r="M65" s="156" t="s">
        <v>30</v>
      </c>
    </row>
    <row r="66" spans="1:14" ht="15.75" x14ac:dyDescent="0.2">
      <c r="A66" s="14" t="s">
        <v>23</v>
      </c>
      <c r="B66" s="329"/>
      <c r="C66" s="329"/>
      <c r="D66" s="326"/>
      <c r="E66" s="11"/>
      <c r="F66" s="328"/>
      <c r="G66" s="328"/>
      <c r="H66" s="326"/>
      <c r="I66" s="24"/>
      <c r="J66" s="159"/>
      <c r="K66" s="292"/>
      <c r="L66" s="402"/>
      <c r="M66" s="11"/>
    </row>
    <row r="67" spans="1:14" x14ac:dyDescent="0.2">
      <c r="A67" s="393" t="s">
        <v>9</v>
      </c>
      <c r="B67" s="44"/>
      <c r="C67" s="145"/>
      <c r="D67" s="166"/>
      <c r="E67" s="23"/>
      <c r="F67" s="211"/>
      <c r="G67" s="145"/>
      <c r="H67" s="166"/>
      <c r="I67" s="23"/>
      <c r="J67" s="145"/>
      <c r="K67" s="44"/>
      <c r="L67" s="231"/>
      <c r="M67" s="27"/>
    </row>
    <row r="68" spans="1:14" x14ac:dyDescent="0.2">
      <c r="A68" s="21" t="s">
        <v>10</v>
      </c>
      <c r="B68" s="268"/>
      <c r="C68" s="269"/>
      <c r="D68" s="166"/>
      <c r="E68" s="23"/>
      <c r="F68" s="268"/>
      <c r="G68" s="269"/>
      <c r="H68" s="166"/>
      <c r="I68" s="23"/>
      <c r="J68" s="145"/>
      <c r="K68" s="44"/>
      <c r="L68" s="231"/>
      <c r="M68" s="27"/>
    </row>
    <row r="69" spans="1:14" ht="15.75" x14ac:dyDescent="0.2">
      <c r="A69" s="272" t="s">
        <v>356</v>
      </c>
      <c r="B69" s="295"/>
      <c r="C69" s="295"/>
      <c r="D69" s="166"/>
      <c r="E69" s="23"/>
      <c r="F69" s="295"/>
      <c r="G69" s="295"/>
      <c r="H69" s="166"/>
      <c r="I69" s="23"/>
      <c r="J69" s="295"/>
      <c r="K69" s="295"/>
      <c r="L69" s="166"/>
      <c r="M69" s="23"/>
    </row>
    <row r="70" spans="1:14" x14ac:dyDescent="0.2">
      <c r="A70" s="272" t="s">
        <v>12</v>
      </c>
      <c r="B70" s="270"/>
      <c r="C70" s="271"/>
      <c r="D70" s="166"/>
      <c r="E70" s="23"/>
      <c r="F70" s="270"/>
      <c r="G70" s="271"/>
      <c r="H70" s="166"/>
      <c r="I70" s="23"/>
      <c r="J70" s="270"/>
      <c r="K70" s="271"/>
      <c r="L70" s="166"/>
      <c r="M70" s="23"/>
    </row>
    <row r="71" spans="1:14" x14ac:dyDescent="0.2">
      <c r="A71" s="272" t="s">
        <v>13</v>
      </c>
      <c r="B71" s="212"/>
      <c r="C71" s="266"/>
      <c r="D71" s="166"/>
      <c r="E71" s="23"/>
      <c r="F71" s="212"/>
      <c r="G71" s="266"/>
      <c r="H71" s="166"/>
      <c r="I71" s="23"/>
      <c r="J71" s="212"/>
      <c r="K71" s="266"/>
      <c r="L71" s="166"/>
      <c r="M71" s="23"/>
    </row>
    <row r="72" spans="1:14" ht="15.75" x14ac:dyDescent="0.2">
      <c r="A72" s="272" t="s">
        <v>357</v>
      </c>
      <c r="B72" s="295"/>
      <c r="C72" s="295"/>
      <c r="D72" s="166"/>
      <c r="E72" s="23"/>
      <c r="F72" s="295"/>
      <c r="G72" s="295"/>
      <c r="H72" s="166"/>
      <c r="I72" s="23"/>
      <c r="J72" s="295"/>
      <c r="K72" s="295"/>
      <c r="L72" s="166"/>
      <c r="M72" s="23"/>
    </row>
    <row r="73" spans="1:14" x14ac:dyDescent="0.2">
      <c r="A73" s="272" t="s">
        <v>12</v>
      </c>
      <c r="B73" s="212"/>
      <c r="C73" s="266"/>
      <c r="D73" s="166"/>
      <c r="E73" s="23"/>
      <c r="F73" s="212"/>
      <c r="G73" s="266"/>
      <c r="H73" s="166"/>
      <c r="I73" s="23"/>
      <c r="J73" s="212"/>
      <c r="K73" s="266"/>
      <c r="L73" s="166"/>
      <c r="M73" s="23"/>
    </row>
    <row r="74" spans="1:14" s="3" customFormat="1" x14ac:dyDescent="0.2">
      <c r="A74" s="272" t="s">
        <v>13</v>
      </c>
      <c r="B74" s="212"/>
      <c r="C74" s="266"/>
      <c r="D74" s="166"/>
      <c r="E74" s="23"/>
      <c r="F74" s="212"/>
      <c r="G74" s="266"/>
      <c r="H74" s="166"/>
      <c r="I74" s="23"/>
      <c r="J74" s="212"/>
      <c r="K74" s="266"/>
      <c r="L74" s="166"/>
      <c r="M74" s="23"/>
      <c r="N74" s="148"/>
    </row>
    <row r="75" spans="1:14" s="3" customFormat="1" x14ac:dyDescent="0.2">
      <c r="A75" s="21" t="s">
        <v>326</v>
      </c>
      <c r="B75" s="211"/>
      <c r="C75" s="145"/>
      <c r="D75" s="166"/>
      <c r="E75" s="23"/>
      <c r="F75" s="211"/>
      <c r="G75" s="145"/>
      <c r="H75" s="166"/>
      <c r="I75" s="23"/>
      <c r="J75" s="145"/>
      <c r="K75" s="44"/>
      <c r="L75" s="231"/>
      <c r="M75" s="27"/>
      <c r="N75" s="148"/>
    </row>
    <row r="76" spans="1:14" s="3" customFormat="1" x14ac:dyDescent="0.2">
      <c r="A76" s="21" t="s">
        <v>325</v>
      </c>
      <c r="B76" s="211"/>
      <c r="C76" s="145"/>
      <c r="D76" s="166"/>
      <c r="E76" s="23"/>
      <c r="F76" s="211"/>
      <c r="G76" s="145"/>
      <c r="H76" s="166"/>
      <c r="I76" s="23"/>
      <c r="J76" s="145"/>
      <c r="K76" s="44"/>
      <c r="L76" s="231"/>
      <c r="M76" s="27"/>
      <c r="N76" s="148"/>
    </row>
    <row r="77" spans="1:14" ht="15.75" x14ac:dyDescent="0.2">
      <c r="A77" s="21" t="s">
        <v>358</v>
      </c>
      <c r="B77" s="211"/>
      <c r="C77" s="211"/>
      <c r="D77" s="166"/>
      <c r="E77" s="23"/>
      <c r="F77" s="211"/>
      <c r="G77" s="145"/>
      <c r="H77" s="166"/>
      <c r="I77" s="23"/>
      <c r="J77" s="145"/>
      <c r="K77" s="44"/>
      <c r="L77" s="231"/>
      <c r="M77" s="27"/>
    </row>
    <row r="78" spans="1:14" x14ac:dyDescent="0.2">
      <c r="A78" s="21" t="s">
        <v>9</v>
      </c>
      <c r="B78" s="211"/>
      <c r="C78" s="145"/>
      <c r="D78" s="166"/>
      <c r="E78" s="23"/>
      <c r="F78" s="211"/>
      <c r="G78" s="145"/>
      <c r="H78" s="166"/>
      <c r="I78" s="23"/>
      <c r="J78" s="145"/>
      <c r="K78" s="44"/>
      <c r="L78" s="231"/>
      <c r="M78" s="27"/>
    </row>
    <row r="79" spans="1:14" x14ac:dyDescent="0.2">
      <c r="A79" s="38" t="s">
        <v>398</v>
      </c>
      <c r="B79" s="268"/>
      <c r="C79" s="269"/>
      <c r="D79" s="166"/>
      <c r="E79" s="23"/>
      <c r="F79" s="268"/>
      <c r="G79" s="269"/>
      <c r="H79" s="166"/>
      <c r="I79" s="23"/>
      <c r="J79" s="145"/>
      <c r="K79" s="44"/>
      <c r="L79" s="231"/>
      <c r="M79" s="27"/>
    </row>
    <row r="80" spans="1:14" ht="15.75" x14ac:dyDescent="0.2">
      <c r="A80" s="272" t="s">
        <v>356</v>
      </c>
      <c r="B80" s="295"/>
      <c r="C80" s="295"/>
      <c r="D80" s="166"/>
      <c r="E80" s="23"/>
      <c r="F80" s="295"/>
      <c r="G80" s="295"/>
      <c r="H80" s="166"/>
      <c r="I80" s="23"/>
      <c r="J80" s="295"/>
      <c r="K80" s="295"/>
      <c r="L80" s="166"/>
      <c r="M80" s="23"/>
    </row>
    <row r="81" spans="1:13" x14ac:dyDescent="0.2">
      <c r="A81" s="272" t="s">
        <v>12</v>
      </c>
      <c r="B81" s="295"/>
      <c r="C81" s="295"/>
      <c r="D81" s="166"/>
      <c r="E81" s="23"/>
      <c r="F81" s="270"/>
      <c r="G81" s="271"/>
      <c r="H81" s="166"/>
      <c r="I81" s="23"/>
      <c r="J81" s="270"/>
      <c r="K81" s="271"/>
      <c r="L81" s="166"/>
      <c r="M81" s="23"/>
    </row>
    <row r="82" spans="1:13" x14ac:dyDescent="0.2">
      <c r="A82" s="272" t="s">
        <v>13</v>
      </c>
      <c r="B82" s="295"/>
      <c r="C82" s="295"/>
      <c r="D82" s="166"/>
      <c r="E82" s="23"/>
      <c r="F82" s="212"/>
      <c r="G82" s="266"/>
      <c r="H82" s="166"/>
      <c r="I82" s="23"/>
      <c r="J82" s="212"/>
      <c r="K82" s="266"/>
      <c r="L82" s="166"/>
      <c r="M82" s="23"/>
    </row>
    <row r="83" spans="1:13" ht="15.75" x14ac:dyDescent="0.2">
      <c r="A83" s="272" t="s">
        <v>357</v>
      </c>
      <c r="B83" s="295"/>
      <c r="C83" s="295"/>
      <c r="D83" s="166"/>
      <c r="E83" s="23"/>
      <c r="F83" s="295"/>
      <c r="G83" s="295"/>
      <c r="H83" s="166"/>
      <c r="I83" s="23"/>
      <c r="J83" s="295"/>
      <c r="K83" s="295"/>
      <c r="L83" s="166"/>
      <c r="M83" s="23"/>
    </row>
    <row r="84" spans="1:13" x14ac:dyDescent="0.2">
      <c r="A84" s="272" t="s">
        <v>12</v>
      </c>
      <c r="B84" s="212"/>
      <c r="C84" s="266"/>
      <c r="D84" s="166"/>
      <c r="E84" s="23"/>
      <c r="F84" s="212"/>
      <c r="G84" s="266"/>
      <c r="H84" s="166"/>
      <c r="I84" s="23"/>
      <c r="J84" s="212"/>
      <c r="K84" s="266"/>
      <c r="L84" s="166"/>
      <c r="M84" s="23"/>
    </row>
    <row r="85" spans="1:13" x14ac:dyDescent="0.2">
      <c r="A85" s="272" t="s">
        <v>13</v>
      </c>
      <c r="B85" s="212"/>
      <c r="C85" s="266"/>
      <c r="D85" s="166"/>
      <c r="E85" s="23"/>
      <c r="F85" s="212"/>
      <c r="G85" s="266"/>
      <c r="H85" s="166"/>
      <c r="I85" s="23"/>
      <c r="J85" s="212"/>
      <c r="K85" s="266"/>
      <c r="L85" s="166"/>
      <c r="M85" s="23"/>
    </row>
    <row r="86" spans="1:13" ht="15.75" x14ac:dyDescent="0.2">
      <c r="A86" s="21" t="s">
        <v>359</v>
      </c>
      <c r="B86" s="211"/>
      <c r="C86" s="145"/>
      <c r="D86" s="166"/>
      <c r="E86" s="23"/>
      <c r="F86" s="211"/>
      <c r="G86" s="145"/>
      <c r="H86" s="166"/>
      <c r="I86" s="23"/>
      <c r="J86" s="145"/>
      <c r="K86" s="44"/>
      <c r="L86" s="231"/>
      <c r="M86" s="27"/>
    </row>
    <row r="87" spans="1:13" ht="15.75" x14ac:dyDescent="0.2">
      <c r="A87" s="13" t="s">
        <v>341</v>
      </c>
      <c r="B87" s="329"/>
      <c r="C87" s="329"/>
      <c r="D87" s="171"/>
      <c r="E87" s="24"/>
      <c r="F87" s="328"/>
      <c r="G87" s="328"/>
      <c r="H87" s="171"/>
      <c r="I87" s="24"/>
      <c r="J87" s="159"/>
      <c r="K87" s="213"/>
      <c r="L87" s="402"/>
      <c r="M87" s="11"/>
    </row>
    <row r="88" spans="1:13" x14ac:dyDescent="0.2">
      <c r="A88" s="21" t="s">
        <v>9</v>
      </c>
      <c r="B88" s="211"/>
      <c r="C88" s="145"/>
      <c r="D88" s="166"/>
      <c r="E88" s="23"/>
      <c r="F88" s="211"/>
      <c r="G88" s="145"/>
      <c r="H88" s="166"/>
      <c r="I88" s="23"/>
      <c r="J88" s="145"/>
      <c r="K88" s="44"/>
      <c r="L88" s="231"/>
      <c r="M88" s="27"/>
    </row>
    <row r="89" spans="1:13" x14ac:dyDescent="0.2">
      <c r="A89" s="21" t="s">
        <v>10</v>
      </c>
      <c r="B89" s="211"/>
      <c r="C89" s="145"/>
      <c r="D89" s="166"/>
      <c r="E89" s="23"/>
      <c r="F89" s="211"/>
      <c r="G89" s="145"/>
      <c r="H89" s="166"/>
      <c r="I89" s="23"/>
      <c r="J89" s="145"/>
      <c r="K89" s="44"/>
      <c r="L89" s="231"/>
      <c r="M89" s="27"/>
    </row>
    <row r="90" spans="1:13" ht="15.75" x14ac:dyDescent="0.2">
      <c r="A90" s="272" t="s">
        <v>356</v>
      </c>
      <c r="B90" s="295"/>
      <c r="C90" s="295"/>
      <c r="D90" s="166"/>
      <c r="E90" s="23"/>
      <c r="F90" s="295"/>
      <c r="G90" s="295"/>
      <c r="H90" s="166"/>
      <c r="I90" s="23"/>
      <c r="J90" s="295"/>
      <c r="K90" s="295"/>
      <c r="L90" s="166"/>
      <c r="M90" s="23"/>
    </row>
    <row r="91" spans="1:13" x14ac:dyDescent="0.2">
      <c r="A91" s="272" t="s">
        <v>12</v>
      </c>
      <c r="B91" s="295"/>
      <c r="C91" s="295"/>
      <c r="D91" s="166"/>
      <c r="E91" s="23"/>
      <c r="F91" s="270"/>
      <c r="G91" s="271"/>
      <c r="H91" s="166"/>
      <c r="I91" s="23"/>
      <c r="J91" s="270"/>
      <c r="K91" s="271"/>
      <c r="L91" s="166"/>
      <c r="M91" s="23"/>
    </row>
    <row r="92" spans="1:13" x14ac:dyDescent="0.2">
      <c r="A92" s="272" t="s">
        <v>13</v>
      </c>
      <c r="B92" s="295"/>
      <c r="C92" s="295"/>
      <c r="D92" s="166"/>
      <c r="E92" s="23"/>
      <c r="F92" s="212"/>
      <c r="G92" s="266"/>
      <c r="H92" s="166"/>
      <c r="I92" s="23"/>
      <c r="J92" s="212"/>
      <c r="K92" s="266"/>
      <c r="L92" s="166"/>
      <c r="M92" s="23"/>
    </row>
    <row r="93" spans="1:13" ht="15.75" x14ac:dyDescent="0.2">
      <c r="A93" s="272" t="s">
        <v>357</v>
      </c>
      <c r="B93" s="295"/>
      <c r="C93" s="295"/>
      <c r="D93" s="166"/>
      <c r="E93" s="23"/>
      <c r="F93" s="295"/>
      <c r="G93" s="295"/>
      <c r="H93" s="166"/>
      <c r="I93" s="23"/>
      <c r="J93" s="295"/>
      <c r="K93" s="295"/>
      <c r="L93" s="166"/>
      <c r="M93" s="23"/>
    </row>
    <row r="94" spans="1:13" x14ac:dyDescent="0.2">
      <c r="A94" s="272" t="s">
        <v>12</v>
      </c>
      <c r="B94" s="212"/>
      <c r="C94" s="266"/>
      <c r="D94" s="166"/>
      <c r="E94" s="23"/>
      <c r="F94" s="212"/>
      <c r="G94" s="266"/>
      <c r="H94" s="166"/>
      <c r="I94" s="23"/>
      <c r="J94" s="212"/>
      <c r="K94" s="266"/>
      <c r="L94" s="166"/>
      <c r="M94" s="23"/>
    </row>
    <row r="95" spans="1:13" x14ac:dyDescent="0.2">
      <c r="A95" s="272" t="s">
        <v>13</v>
      </c>
      <c r="B95" s="212"/>
      <c r="C95" s="266"/>
      <c r="D95" s="166"/>
      <c r="E95" s="23"/>
      <c r="F95" s="212"/>
      <c r="G95" s="266"/>
      <c r="H95" s="166"/>
      <c r="I95" s="23"/>
      <c r="J95" s="212"/>
      <c r="K95" s="266"/>
      <c r="L95" s="166"/>
      <c r="M95" s="23"/>
    </row>
    <row r="96" spans="1:13" x14ac:dyDescent="0.2">
      <c r="A96" s="21" t="s">
        <v>324</v>
      </c>
      <c r="B96" s="211"/>
      <c r="C96" s="145"/>
      <c r="D96" s="166"/>
      <c r="E96" s="23"/>
      <c r="F96" s="211"/>
      <c r="G96" s="145"/>
      <c r="H96" s="166"/>
      <c r="I96" s="23"/>
      <c r="J96" s="145"/>
      <c r="K96" s="44"/>
      <c r="L96" s="231"/>
      <c r="M96" s="27"/>
    </row>
    <row r="97" spans="1:13" x14ac:dyDescent="0.2">
      <c r="A97" s="21" t="s">
        <v>323</v>
      </c>
      <c r="B97" s="211"/>
      <c r="C97" s="145"/>
      <c r="D97" s="166"/>
      <c r="E97" s="23"/>
      <c r="F97" s="211"/>
      <c r="G97" s="145"/>
      <c r="H97" s="166"/>
      <c r="I97" s="23"/>
      <c r="J97" s="145"/>
      <c r="K97" s="44"/>
      <c r="L97" s="231"/>
      <c r="M97" s="27"/>
    </row>
    <row r="98" spans="1:13" ht="15.75" x14ac:dyDescent="0.2">
      <c r="A98" s="21" t="s">
        <v>358</v>
      </c>
      <c r="B98" s="211"/>
      <c r="C98" s="211"/>
      <c r="D98" s="166"/>
      <c r="E98" s="23"/>
      <c r="F98" s="268"/>
      <c r="G98" s="268"/>
      <c r="H98" s="166"/>
      <c r="I98" s="23"/>
      <c r="J98" s="145"/>
      <c r="K98" s="44"/>
      <c r="L98" s="231"/>
      <c r="M98" s="27"/>
    </row>
    <row r="99" spans="1:13" x14ac:dyDescent="0.2">
      <c r="A99" s="21" t="s">
        <v>9</v>
      </c>
      <c r="B99" s="268"/>
      <c r="C99" s="269"/>
      <c r="D99" s="166"/>
      <c r="E99" s="23"/>
      <c r="F99" s="211"/>
      <c r="G99" s="145"/>
      <c r="H99" s="166"/>
      <c r="I99" s="23"/>
      <c r="J99" s="145"/>
      <c r="K99" s="44"/>
      <c r="L99" s="231"/>
      <c r="M99" s="27"/>
    </row>
    <row r="100" spans="1:13" ht="15.75" x14ac:dyDescent="0.2">
      <c r="A100" s="38" t="s">
        <v>399</v>
      </c>
      <c r="B100" s="268"/>
      <c r="C100" s="269"/>
      <c r="D100" s="166"/>
      <c r="E100" s="23"/>
      <c r="F100" s="211"/>
      <c r="G100" s="211"/>
      <c r="H100" s="166"/>
      <c r="I100" s="23"/>
      <c r="J100" s="145"/>
      <c r="K100" s="44"/>
      <c r="L100" s="231"/>
      <c r="M100" s="27"/>
    </row>
    <row r="101" spans="1:13" ht="15.75" x14ac:dyDescent="0.2">
      <c r="A101" s="38" t="s">
        <v>400</v>
      </c>
      <c r="B101" s="268"/>
      <c r="C101" s="268"/>
      <c r="D101" s="166"/>
      <c r="E101" s="23"/>
      <c r="F101" s="268"/>
      <c r="G101" s="268"/>
      <c r="H101" s="166"/>
      <c r="I101" s="23"/>
      <c r="J101" s="145"/>
      <c r="K101" s="44"/>
      <c r="L101" s="231"/>
      <c r="M101" s="27"/>
    </row>
    <row r="102" spans="1:13" ht="15.75" x14ac:dyDescent="0.2">
      <c r="A102" s="272" t="s">
        <v>356</v>
      </c>
      <c r="B102" s="295"/>
      <c r="C102" s="295"/>
      <c r="D102" s="166"/>
      <c r="E102" s="23"/>
      <c r="F102" s="295"/>
      <c r="G102" s="295"/>
      <c r="H102" s="166"/>
      <c r="I102" s="23"/>
      <c r="J102" s="295"/>
      <c r="K102" s="295"/>
      <c r="L102" s="166"/>
      <c r="M102" s="23"/>
    </row>
    <row r="103" spans="1:13" x14ac:dyDescent="0.2">
      <c r="A103" s="272" t="s">
        <v>12</v>
      </c>
      <c r="B103" s="295"/>
      <c r="C103" s="295"/>
      <c r="D103" s="166"/>
      <c r="E103" s="23"/>
      <c r="F103" s="270"/>
      <c r="G103" s="271"/>
      <c r="H103" s="166"/>
      <c r="I103" s="23"/>
      <c r="J103" s="270"/>
      <c r="K103" s="271"/>
      <c r="L103" s="166"/>
      <c r="M103" s="23"/>
    </row>
    <row r="104" spans="1:13" x14ac:dyDescent="0.2">
      <c r="A104" s="272" t="s">
        <v>13</v>
      </c>
      <c r="B104" s="295"/>
      <c r="C104" s="295"/>
      <c r="D104" s="166"/>
      <c r="E104" s="23"/>
      <c r="F104" s="212"/>
      <c r="G104" s="266"/>
      <c r="H104" s="166"/>
      <c r="I104" s="23"/>
      <c r="J104" s="212"/>
      <c r="K104" s="266"/>
      <c r="L104" s="166"/>
      <c r="M104" s="23"/>
    </row>
    <row r="105" spans="1:13" ht="15.75" x14ac:dyDescent="0.2">
      <c r="A105" s="272" t="s">
        <v>357</v>
      </c>
      <c r="B105" s="295"/>
      <c r="C105" s="295"/>
      <c r="D105" s="166"/>
      <c r="E105" s="23"/>
      <c r="F105" s="295"/>
      <c r="G105" s="295"/>
      <c r="H105" s="166"/>
      <c r="I105" s="23"/>
      <c r="J105" s="295"/>
      <c r="K105" s="295"/>
      <c r="L105" s="166"/>
      <c r="M105" s="23"/>
    </row>
    <row r="106" spans="1:13" x14ac:dyDescent="0.2">
      <c r="A106" s="272" t="s">
        <v>12</v>
      </c>
      <c r="B106" s="212"/>
      <c r="C106" s="266"/>
      <c r="D106" s="166"/>
      <c r="E106" s="23"/>
      <c r="F106" s="212"/>
      <c r="G106" s="266"/>
      <c r="H106" s="166"/>
      <c r="I106" s="23"/>
      <c r="J106" s="212"/>
      <c r="K106" s="266"/>
      <c r="L106" s="166"/>
      <c r="M106" s="23"/>
    </row>
    <row r="107" spans="1:13" x14ac:dyDescent="0.2">
      <c r="A107" s="272" t="s">
        <v>13</v>
      </c>
      <c r="B107" s="212"/>
      <c r="C107" s="266"/>
      <c r="D107" s="166"/>
      <c r="E107" s="23"/>
      <c r="F107" s="212"/>
      <c r="G107" s="266"/>
      <c r="H107" s="166"/>
      <c r="I107" s="23"/>
      <c r="J107" s="212"/>
      <c r="K107" s="266"/>
      <c r="L107" s="166"/>
      <c r="M107" s="23"/>
    </row>
    <row r="108" spans="1:13" ht="15.75" x14ac:dyDescent="0.2">
      <c r="A108" s="21" t="s">
        <v>359</v>
      </c>
      <c r="B108" s="211"/>
      <c r="C108" s="145"/>
      <c r="D108" s="166"/>
      <c r="E108" s="23"/>
      <c r="F108" s="211"/>
      <c r="G108" s="145"/>
      <c r="H108" s="166"/>
      <c r="I108" s="23"/>
      <c r="J108" s="145"/>
      <c r="K108" s="44"/>
      <c r="L108" s="231"/>
      <c r="M108" s="27"/>
    </row>
    <row r="109" spans="1:13" ht="15.75" x14ac:dyDescent="0.2">
      <c r="A109" s="21" t="s">
        <v>360</v>
      </c>
      <c r="B109" s="211"/>
      <c r="C109" s="211"/>
      <c r="D109" s="166"/>
      <c r="E109" s="23"/>
      <c r="F109" s="211"/>
      <c r="G109" s="211"/>
      <c r="H109" s="166"/>
      <c r="I109" s="23"/>
      <c r="J109" s="145"/>
      <c r="K109" s="44"/>
      <c r="L109" s="231"/>
      <c r="M109" s="27"/>
    </row>
    <row r="110" spans="1:13" ht="15.75" x14ac:dyDescent="0.2">
      <c r="A110" s="38" t="s">
        <v>416</v>
      </c>
      <c r="B110" s="211"/>
      <c r="C110" s="211"/>
      <c r="D110" s="166"/>
      <c r="E110" s="23"/>
      <c r="F110" s="211"/>
      <c r="G110" s="211"/>
      <c r="H110" s="166"/>
      <c r="I110" s="23"/>
      <c r="J110" s="145"/>
      <c r="K110" s="44"/>
      <c r="L110" s="231"/>
      <c r="M110" s="27"/>
    </row>
    <row r="111" spans="1:13" ht="15.75" x14ac:dyDescent="0.2">
      <c r="A111" s="21" t="s">
        <v>362</v>
      </c>
      <c r="B111" s="211"/>
      <c r="C111" s="211"/>
      <c r="D111" s="166"/>
      <c r="E111" s="23"/>
      <c r="F111" s="211"/>
      <c r="G111" s="211"/>
      <c r="H111" s="166"/>
      <c r="I111" s="23"/>
      <c r="J111" s="145"/>
      <c r="K111" s="44"/>
      <c r="L111" s="231"/>
      <c r="M111" s="27"/>
    </row>
    <row r="112" spans="1:13" ht="15.75" x14ac:dyDescent="0.2">
      <c r="A112" s="13" t="s">
        <v>342</v>
      </c>
      <c r="B112" s="284"/>
      <c r="C112" s="159"/>
      <c r="D112" s="171"/>
      <c r="E112" s="24"/>
      <c r="F112" s="284"/>
      <c r="G112" s="159"/>
      <c r="H112" s="171"/>
      <c r="I112" s="24"/>
      <c r="J112" s="159"/>
      <c r="K112" s="213"/>
      <c r="L112" s="402"/>
      <c r="M112" s="11"/>
    </row>
    <row r="113" spans="1:14" x14ac:dyDescent="0.2">
      <c r="A113" s="21" t="s">
        <v>9</v>
      </c>
      <c r="B113" s="211"/>
      <c r="C113" s="145"/>
      <c r="D113" s="166"/>
      <c r="E113" s="23"/>
      <c r="F113" s="211"/>
      <c r="G113" s="145"/>
      <c r="H113" s="166"/>
      <c r="I113" s="23"/>
      <c r="J113" s="145"/>
      <c r="K113" s="44"/>
      <c r="L113" s="231"/>
      <c r="M113" s="27"/>
    </row>
    <row r="114" spans="1:14" x14ac:dyDescent="0.2">
      <c r="A114" s="21" t="s">
        <v>10</v>
      </c>
      <c r="B114" s="211"/>
      <c r="C114" s="145"/>
      <c r="D114" s="166"/>
      <c r="E114" s="23"/>
      <c r="F114" s="211"/>
      <c r="G114" s="145"/>
      <c r="H114" s="166"/>
      <c r="I114" s="23"/>
      <c r="J114" s="145"/>
      <c r="K114" s="44"/>
      <c r="L114" s="231"/>
      <c r="M114" s="27"/>
    </row>
    <row r="115" spans="1:14" x14ac:dyDescent="0.2">
      <c r="A115" s="21" t="s">
        <v>26</v>
      </c>
      <c r="B115" s="211"/>
      <c r="C115" s="145"/>
      <c r="D115" s="166"/>
      <c r="E115" s="23"/>
      <c r="F115" s="211"/>
      <c r="G115" s="145"/>
      <c r="H115" s="166"/>
      <c r="I115" s="23"/>
      <c r="J115" s="145"/>
      <c r="K115" s="44"/>
      <c r="L115" s="231"/>
      <c r="M115" s="27"/>
    </row>
    <row r="116" spans="1:14" x14ac:dyDescent="0.2">
      <c r="A116" s="272" t="s">
        <v>15</v>
      </c>
      <c r="B116" s="258"/>
      <c r="C116" s="258"/>
      <c r="D116" s="166"/>
      <c r="E116" s="23"/>
      <c r="F116" s="665"/>
      <c r="G116" s="258"/>
      <c r="H116" s="166"/>
      <c r="I116" s="23"/>
      <c r="J116" s="667"/>
      <c r="K116" s="267"/>
      <c r="L116" s="166"/>
      <c r="M116" s="23"/>
    </row>
    <row r="117" spans="1:14" ht="15.75" x14ac:dyDescent="0.2">
      <c r="A117" s="21" t="s">
        <v>363</v>
      </c>
      <c r="B117" s="211"/>
      <c r="C117" s="211"/>
      <c r="D117" s="166"/>
      <c r="E117" s="23"/>
      <c r="F117" s="211"/>
      <c r="G117" s="211"/>
      <c r="H117" s="166"/>
      <c r="I117" s="23"/>
      <c r="J117" s="145"/>
      <c r="K117" s="44"/>
      <c r="L117" s="231"/>
      <c r="M117" s="27"/>
    </row>
    <row r="118" spans="1:14" ht="15.75" x14ac:dyDescent="0.2">
      <c r="A118" s="21" t="s">
        <v>364</v>
      </c>
      <c r="B118" s="211"/>
      <c r="C118" s="211"/>
      <c r="D118" s="166"/>
      <c r="E118" s="23"/>
      <c r="F118" s="211"/>
      <c r="G118" s="211"/>
      <c r="H118" s="166"/>
      <c r="I118" s="23"/>
      <c r="J118" s="145"/>
      <c r="K118" s="44"/>
      <c r="L118" s="231"/>
      <c r="M118" s="27"/>
    </row>
    <row r="119" spans="1:14" ht="15.75" x14ac:dyDescent="0.2">
      <c r="A119" s="21" t="s">
        <v>362</v>
      </c>
      <c r="B119" s="211"/>
      <c r="C119" s="211"/>
      <c r="D119" s="166"/>
      <c r="E119" s="23"/>
      <c r="F119" s="211"/>
      <c r="G119" s="211"/>
      <c r="H119" s="166"/>
      <c r="I119" s="23"/>
      <c r="J119" s="145"/>
      <c r="K119" s="44"/>
      <c r="L119" s="231"/>
      <c r="M119" s="27"/>
    </row>
    <row r="120" spans="1:14" ht="15.75" x14ac:dyDescent="0.2">
      <c r="A120" s="13" t="s">
        <v>343</v>
      </c>
      <c r="B120" s="284">
        <v>40555.249000000003</v>
      </c>
      <c r="C120" s="159"/>
      <c r="D120" s="171">
        <f t="shared" ref="D120:D121" si="1">IF(B120=0, "    ---- ", IF(ABS(ROUND(100/B120*C120-100,1))&lt;999,ROUND(100/B120*C120-100,1),IF(ROUND(100/B120*C120-100,1)&gt;999,999,-999)))</f>
        <v>-100</v>
      </c>
      <c r="E120" s="24">
        <f>IFERROR(100/'Skjema total MA'!C120*C120,0)</f>
        <v>0</v>
      </c>
      <c r="F120" s="284"/>
      <c r="G120" s="159"/>
      <c r="H120" s="171"/>
      <c r="I120" s="24"/>
      <c r="J120" s="159">
        <f t="shared" ref="J120:K121" si="2">SUM(B120,F120)</f>
        <v>40555.249000000003</v>
      </c>
      <c r="K120" s="213">
        <f t="shared" si="2"/>
        <v>0</v>
      </c>
      <c r="L120" s="402">
        <f t="shared" ref="L120:L121" si="3">IF(J120=0, "    ---- ", IF(ABS(ROUND(100/J120*K120-100,1))&lt;999,ROUND(100/J120*K120-100,1),IF(ROUND(100/J120*K120-100,1)&gt;999,999,-999)))</f>
        <v>-100</v>
      </c>
      <c r="M120" s="11">
        <f>IFERROR(100/'Skjema total MA'!I120*K120,0)</f>
        <v>0</v>
      </c>
    </row>
    <row r="121" spans="1:14" x14ac:dyDescent="0.2">
      <c r="A121" s="21" t="s">
        <v>9</v>
      </c>
      <c r="B121" s="211">
        <v>40555.249000000003</v>
      </c>
      <c r="C121" s="145"/>
      <c r="D121" s="166">
        <f t="shared" si="1"/>
        <v>-100</v>
      </c>
      <c r="E121" s="23">
        <f>IFERROR(100/'Skjema total MA'!C121*C121,0)</f>
        <v>0</v>
      </c>
      <c r="F121" s="211"/>
      <c r="G121" s="145"/>
      <c r="H121" s="166"/>
      <c r="I121" s="23"/>
      <c r="J121" s="145">
        <f t="shared" si="2"/>
        <v>40555.249000000003</v>
      </c>
      <c r="K121" s="44">
        <f t="shared" si="2"/>
        <v>0</v>
      </c>
      <c r="L121" s="231">
        <f t="shared" si="3"/>
        <v>-100</v>
      </c>
      <c r="M121" s="27">
        <f>IFERROR(100/'Skjema total MA'!I121*K121,0)</f>
        <v>0</v>
      </c>
    </row>
    <row r="122" spans="1:14" x14ac:dyDescent="0.2">
      <c r="A122" s="21" t="s">
        <v>10</v>
      </c>
      <c r="B122" s="211"/>
      <c r="C122" s="145"/>
      <c r="D122" s="166"/>
      <c r="E122" s="23"/>
      <c r="F122" s="211"/>
      <c r="G122" s="145"/>
      <c r="H122" s="166"/>
      <c r="I122" s="23"/>
      <c r="J122" s="145"/>
      <c r="K122" s="44"/>
      <c r="L122" s="231"/>
      <c r="M122" s="27"/>
    </row>
    <row r="123" spans="1:14" x14ac:dyDescent="0.2">
      <c r="A123" s="21" t="s">
        <v>26</v>
      </c>
      <c r="B123" s="211"/>
      <c r="C123" s="145"/>
      <c r="D123" s="166"/>
      <c r="E123" s="23"/>
      <c r="F123" s="211"/>
      <c r="G123" s="145"/>
      <c r="H123" s="166"/>
      <c r="I123" s="23"/>
      <c r="J123" s="145"/>
      <c r="K123" s="44"/>
      <c r="L123" s="231"/>
      <c r="M123" s="27"/>
    </row>
    <row r="124" spans="1:14" x14ac:dyDescent="0.2">
      <c r="A124" s="272" t="s">
        <v>14</v>
      </c>
      <c r="B124" s="258"/>
      <c r="C124" s="258"/>
      <c r="D124" s="166"/>
      <c r="E124" s="23"/>
      <c r="F124" s="665"/>
      <c r="G124" s="258"/>
      <c r="H124" s="166"/>
      <c r="I124" s="23"/>
      <c r="J124" s="667"/>
      <c r="K124" s="267"/>
      <c r="L124" s="166"/>
      <c r="M124" s="23"/>
    </row>
    <row r="125" spans="1:14" ht="15.75" x14ac:dyDescent="0.2">
      <c r="A125" s="21" t="s">
        <v>369</v>
      </c>
      <c r="B125" s="211"/>
      <c r="C125" s="211"/>
      <c r="D125" s="166"/>
      <c r="E125" s="23"/>
      <c r="F125" s="211"/>
      <c r="G125" s="211"/>
      <c r="H125" s="166"/>
      <c r="I125" s="23"/>
      <c r="J125" s="145"/>
      <c r="K125" s="44"/>
      <c r="L125" s="231"/>
      <c r="M125" s="27"/>
    </row>
    <row r="126" spans="1:14" ht="15.75" x14ac:dyDescent="0.2">
      <c r="A126" s="21" t="s">
        <v>361</v>
      </c>
      <c r="B126" s="211"/>
      <c r="C126" s="211"/>
      <c r="D126" s="166"/>
      <c r="E126" s="23"/>
      <c r="F126" s="211"/>
      <c r="G126" s="211"/>
      <c r="H126" s="166"/>
      <c r="I126" s="23"/>
      <c r="J126" s="145"/>
      <c r="K126" s="44"/>
      <c r="L126" s="231"/>
      <c r="M126" s="27"/>
    </row>
    <row r="127" spans="1:14" ht="15.75" x14ac:dyDescent="0.2">
      <c r="A127" s="10" t="s">
        <v>362</v>
      </c>
      <c r="B127" s="45"/>
      <c r="C127" s="45"/>
      <c r="D127" s="167"/>
      <c r="E127" s="22"/>
      <c r="F127" s="666"/>
      <c r="G127" s="45"/>
      <c r="H127" s="167"/>
      <c r="I127" s="22"/>
      <c r="J127" s="668"/>
      <c r="K127" s="45"/>
      <c r="L127" s="232"/>
      <c r="M127" s="22"/>
    </row>
    <row r="128" spans="1:14" x14ac:dyDescent="0.2">
      <c r="A128" s="155"/>
      <c r="L128" s="26"/>
      <c r="M128" s="26"/>
      <c r="N128" s="26"/>
    </row>
    <row r="129" spans="1:14" x14ac:dyDescent="0.2">
      <c r="L129" s="26"/>
      <c r="M129" s="26"/>
      <c r="N129" s="26"/>
    </row>
    <row r="130" spans="1:14" ht="15.75" x14ac:dyDescent="0.25">
      <c r="A130" s="165" t="s">
        <v>27</v>
      </c>
    </row>
    <row r="131" spans="1:14" ht="15.75" x14ac:dyDescent="0.25">
      <c r="B131" s="694"/>
      <c r="C131" s="694"/>
      <c r="D131" s="694"/>
      <c r="E131" s="275"/>
      <c r="F131" s="694"/>
      <c r="G131" s="694"/>
      <c r="H131" s="694"/>
      <c r="I131" s="275"/>
      <c r="J131" s="694"/>
      <c r="K131" s="694"/>
      <c r="L131" s="694"/>
      <c r="M131" s="275"/>
    </row>
    <row r="132" spans="1:14" s="3" customFormat="1" x14ac:dyDescent="0.2">
      <c r="A132" s="144"/>
      <c r="B132" s="695" t="s">
        <v>0</v>
      </c>
      <c r="C132" s="696"/>
      <c r="D132" s="696"/>
      <c r="E132" s="277"/>
      <c r="F132" s="695" t="s">
        <v>1</v>
      </c>
      <c r="G132" s="696"/>
      <c r="H132" s="696"/>
      <c r="I132" s="280"/>
      <c r="J132" s="695" t="s">
        <v>2</v>
      </c>
      <c r="K132" s="696"/>
      <c r="L132" s="696"/>
      <c r="M132" s="280"/>
      <c r="N132" s="148"/>
    </row>
    <row r="133" spans="1:14" s="3" customFormat="1" x14ac:dyDescent="0.2">
      <c r="A133" s="140"/>
      <c r="B133" s="152" t="s">
        <v>412</v>
      </c>
      <c r="C133" s="152" t="s">
        <v>413</v>
      </c>
      <c r="D133" s="222" t="s">
        <v>3</v>
      </c>
      <c r="E133" s="281" t="s">
        <v>29</v>
      </c>
      <c r="F133" s="152" t="s">
        <v>412</v>
      </c>
      <c r="G133" s="152" t="s">
        <v>413</v>
      </c>
      <c r="H133" s="203" t="s">
        <v>3</v>
      </c>
      <c r="I133" s="162" t="s">
        <v>29</v>
      </c>
      <c r="J133" s="152" t="s">
        <v>412</v>
      </c>
      <c r="K133" s="152" t="s">
        <v>413</v>
      </c>
      <c r="L133" s="223" t="s">
        <v>3</v>
      </c>
      <c r="M133" s="162" t="s">
        <v>29</v>
      </c>
      <c r="N133" s="148"/>
    </row>
    <row r="134" spans="1:14" s="3" customFormat="1" x14ac:dyDescent="0.2">
      <c r="A134" s="662"/>
      <c r="B134" s="156"/>
      <c r="C134" s="156"/>
      <c r="D134" s="223" t="s">
        <v>4</v>
      </c>
      <c r="E134" s="156" t="s">
        <v>30</v>
      </c>
      <c r="F134" s="161"/>
      <c r="G134" s="161"/>
      <c r="H134" s="203" t="s">
        <v>4</v>
      </c>
      <c r="I134" s="156" t="s">
        <v>30</v>
      </c>
      <c r="J134" s="156"/>
      <c r="K134" s="156"/>
      <c r="L134" s="150" t="s">
        <v>4</v>
      </c>
      <c r="M134" s="156" t="s">
        <v>30</v>
      </c>
      <c r="N134" s="148"/>
    </row>
    <row r="135" spans="1:14" s="3" customFormat="1" ht="15.75" x14ac:dyDescent="0.2">
      <c r="A135" s="14" t="s">
        <v>365</v>
      </c>
      <c r="B135" s="213">
        <v>588067.33617999998</v>
      </c>
      <c r="C135" s="285">
        <v>815660</v>
      </c>
      <c r="D135" s="326">
        <f>IF(B135=0, "    ---- ", IF(ABS(ROUND(100/B135*C135-100,1))&lt;999,ROUND(100/B135*C135-100,1),IF(ROUND(100/B135*C135-100,1)&gt;999,999,-999)))</f>
        <v>38.700000000000003</v>
      </c>
      <c r="E135" s="11">
        <f>IFERROR(100/'Skjema total MA'!C135*C135,0)</f>
        <v>10.273908709135203</v>
      </c>
      <c r="F135" s="292"/>
      <c r="G135" s="293"/>
      <c r="H135" s="405"/>
      <c r="I135" s="24"/>
      <c r="J135" s="294">
        <f t="shared" ref="J135:K136" si="4">SUM(B135,F135)</f>
        <v>588067.33617999998</v>
      </c>
      <c r="K135" s="294">
        <f t="shared" si="4"/>
        <v>815660</v>
      </c>
      <c r="L135" s="401">
        <f>IF(J135=0, "    ---- ", IF(ABS(ROUND(100/J135*K135-100,1))&lt;999,ROUND(100/J135*K135-100,1),IF(ROUND(100/J135*K135-100,1)&gt;999,999,-999)))</f>
        <v>38.700000000000003</v>
      </c>
      <c r="M135" s="11">
        <f>IFERROR(100/'Skjema total MA'!I135*K135,0)</f>
        <v>10.256121987740816</v>
      </c>
      <c r="N135" s="148"/>
    </row>
    <row r="136" spans="1:14" s="3" customFormat="1" ht="15.75" x14ac:dyDescent="0.2">
      <c r="A136" s="13" t="s">
        <v>370</v>
      </c>
      <c r="B136" s="213">
        <v>78512396.264768496</v>
      </c>
      <c r="C136" s="285">
        <v>84956302</v>
      </c>
      <c r="D136" s="171">
        <f>IF(B136=0, "    ---- ", IF(ABS(ROUND(100/B136*C136-100,1))&lt;999,ROUND(100/B136*C136-100,1),IF(ROUND(100/B136*C136-100,1)&gt;999,999,-999)))</f>
        <v>8.1999999999999993</v>
      </c>
      <c r="E136" s="11">
        <f>IFERROR(100/'Skjema total MA'!C136*C136,0)</f>
        <v>13.529897690379631</v>
      </c>
      <c r="F136" s="213"/>
      <c r="G136" s="285"/>
      <c r="H136" s="406"/>
      <c r="I136" s="24"/>
      <c r="J136" s="284">
        <f t="shared" si="4"/>
        <v>78512396.264768496</v>
      </c>
      <c r="K136" s="284">
        <f t="shared" si="4"/>
        <v>84956302</v>
      </c>
      <c r="L136" s="402">
        <f>IF(J136=0, "    ---- ", IF(ABS(ROUND(100/J136*K136-100,1))&lt;999,ROUND(100/J136*K136-100,1),IF(ROUND(100/J136*K136-100,1)&gt;999,999,-999)))</f>
        <v>8.1999999999999993</v>
      </c>
      <c r="M136" s="11">
        <f>IFERROR(100/'Skjema total MA'!I136*K136,0)</f>
        <v>13.48536539567541</v>
      </c>
      <c r="N136" s="148"/>
    </row>
    <row r="137" spans="1:14" s="3" customFormat="1" ht="15.75" x14ac:dyDescent="0.2">
      <c r="A137" s="13" t="s">
        <v>367</v>
      </c>
      <c r="B137" s="213"/>
      <c r="C137" s="285"/>
      <c r="D137" s="171"/>
      <c r="E137" s="11"/>
      <c r="F137" s="213"/>
      <c r="G137" s="285"/>
      <c r="H137" s="406"/>
      <c r="I137" s="24"/>
      <c r="J137" s="284"/>
      <c r="K137" s="284"/>
      <c r="L137" s="402"/>
      <c r="M137" s="11"/>
      <c r="N137" s="148"/>
    </row>
    <row r="138" spans="1:14" s="3" customFormat="1" ht="15.75" x14ac:dyDescent="0.2">
      <c r="A138" s="41" t="s">
        <v>368</v>
      </c>
      <c r="B138" s="253"/>
      <c r="C138" s="291"/>
      <c r="D138" s="169"/>
      <c r="E138" s="9"/>
      <c r="F138" s="253"/>
      <c r="G138" s="291"/>
      <c r="H138" s="407"/>
      <c r="I138" s="36"/>
      <c r="J138" s="290"/>
      <c r="K138" s="290"/>
      <c r="L138" s="403"/>
      <c r="M138" s="36"/>
      <c r="N138" s="148"/>
    </row>
    <row r="139" spans="1:14" s="3" customFormat="1"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68"/>
      <c r="B141" s="33"/>
      <c r="C141" s="33"/>
      <c r="D141" s="159"/>
      <c r="E141" s="159"/>
      <c r="F141" s="33"/>
      <c r="G141" s="33"/>
      <c r="H141" s="159"/>
      <c r="I141" s="159"/>
      <c r="J141" s="33"/>
      <c r="K141" s="33"/>
      <c r="L141" s="159"/>
      <c r="M141" s="159"/>
      <c r="N141" s="148"/>
    </row>
    <row r="142" spans="1:14" x14ac:dyDescent="0.2">
      <c r="A142" s="146"/>
      <c r="B142" s="146"/>
      <c r="C142" s="146"/>
      <c r="D142" s="146"/>
      <c r="E142" s="146"/>
      <c r="F142" s="146"/>
      <c r="G142" s="146"/>
      <c r="H142" s="146"/>
      <c r="I142" s="146"/>
      <c r="J142" s="146"/>
      <c r="K142" s="146"/>
      <c r="L142" s="146"/>
      <c r="M142" s="146"/>
      <c r="N142" s="146"/>
    </row>
    <row r="143" spans="1:14" ht="15.75" x14ac:dyDescent="0.25">
      <c r="B143" s="142"/>
      <c r="C143" s="142"/>
      <c r="D143" s="142"/>
      <c r="E143" s="142"/>
      <c r="F143" s="142"/>
      <c r="G143" s="142"/>
      <c r="H143" s="142"/>
      <c r="I143" s="142"/>
      <c r="J143" s="142"/>
      <c r="K143" s="142"/>
      <c r="L143" s="142"/>
      <c r="M143" s="142"/>
      <c r="N143" s="142"/>
    </row>
    <row r="144" spans="1:14" ht="15.75" x14ac:dyDescent="0.25">
      <c r="B144" s="157"/>
      <c r="C144" s="157"/>
      <c r="D144" s="157"/>
      <c r="E144" s="157"/>
      <c r="F144" s="157"/>
      <c r="G144" s="157"/>
      <c r="H144" s="157"/>
      <c r="I144" s="157"/>
      <c r="J144" s="157"/>
      <c r="K144" s="157"/>
      <c r="L144" s="157"/>
      <c r="M144" s="157"/>
      <c r="N144" s="157"/>
    </row>
    <row r="145" spans="2:14" ht="15.75" x14ac:dyDescent="0.25">
      <c r="B145" s="157"/>
      <c r="C145" s="157"/>
      <c r="D145" s="157"/>
      <c r="E145" s="157"/>
      <c r="F145" s="157"/>
      <c r="G145" s="157"/>
      <c r="H145" s="157"/>
      <c r="I145" s="157"/>
      <c r="J145" s="157"/>
      <c r="K145" s="157"/>
      <c r="L145" s="157"/>
      <c r="M145" s="157"/>
      <c r="N145" s="157"/>
    </row>
  </sheetData>
  <mergeCells count="31">
    <mergeCell ref="B132:D132"/>
    <mergeCell ref="F132:H132"/>
    <mergeCell ref="J132:L132"/>
    <mergeCell ref="B63:D63"/>
    <mergeCell ref="F63:H63"/>
    <mergeCell ref="J63:L63"/>
    <mergeCell ref="B131:D131"/>
    <mergeCell ref="F131:H131"/>
    <mergeCell ref="J131:L131"/>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6">
    <cfRule type="expression" dxfId="376" priority="76">
      <formula>kvartal &lt; 4</formula>
    </cfRule>
  </conditionalFormatting>
  <conditionalFormatting sqref="C116">
    <cfRule type="expression" dxfId="375" priority="75">
      <formula>kvartal &lt; 4</formula>
    </cfRule>
  </conditionalFormatting>
  <conditionalFormatting sqref="B124">
    <cfRule type="expression" dxfId="374" priority="74">
      <formula>kvartal &lt; 4</formula>
    </cfRule>
  </conditionalFormatting>
  <conditionalFormatting sqref="C124">
    <cfRule type="expression" dxfId="373" priority="73">
      <formula>kvartal &lt; 4</formula>
    </cfRule>
  </conditionalFormatting>
  <conditionalFormatting sqref="F116">
    <cfRule type="expression" dxfId="372" priority="58">
      <formula>kvartal &lt; 4</formula>
    </cfRule>
  </conditionalFormatting>
  <conditionalFormatting sqref="G116">
    <cfRule type="expression" dxfId="371" priority="57">
      <formula>kvartal &lt; 4</formula>
    </cfRule>
  </conditionalFormatting>
  <conditionalFormatting sqref="F124:G124">
    <cfRule type="expression" dxfId="370" priority="56">
      <formula>kvartal &lt; 4</formula>
    </cfRule>
  </conditionalFormatting>
  <conditionalFormatting sqref="J116:K116">
    <cfRule type="expression" dxfId="369" priority="32">
      <formula>kvartal &lt; 4</formula>
    </cfRule>
  </conditionalFormatting>
  <conditionalFormatting sqref="J124:K124">
    <cfRule type="expression" dxfId="368" priority="31">
      <formula>kvartal &lt; 4</formula>
    </cfRule>
  </conditionalFormatting>
  <conditionalFormatting sqref="A50:A52">
    <cfRule type="expression" dxfId="367" priority="12">
      <formula>kvartal &lt; 4</formula>
    </cfRule>
  </conditionalFormatting>
  <conditionalFormatting sqref="A69:A74">
    <cfRule type="expression" dxfId="366" priority="10">
      <formula>kvartal &lt; 4</formula>
    </cfRule>
  </conditionalFormatting>
  <conditionalFormatting sqref="A80:A85">
    <cfRule type="expression" dxfId="365" priority="9">
      <formula>kvartal &lt; 4</formula>
    </cfRule>
  </conditionalFormatting>
  <conditionalFormatting sqref="A90:A95">
    <cfRule type="expression" dxfId="364" priority="6">
      <formula>kvartal &lt; 4</formula>
    </cfRule>
  </conditionalFormatting>
  <conditionalFormatting sqref="A102:A107">
    <cfRule type="expression" dxfId="363" priority="5">
      <formula>kvartal &lt; 4</formula>
    </cfRule>
  </conditionalFormatting>
  <conditionalFormatting sqref="A116">
    <cfRule type="expression" dxfId="362" priority="4">
      <formula>kvartal &lt; 4</formula>
    </cfRule>
  </conditionalFormatting>
  <conditionalFormatting sqref="A124">
    <cfRule type="expression" dxfId="361" priority="3">
      <formula>kvartal &lt; 4</formula>
    </cfRule>
  </conditionalFormatting>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145"/>
  <sheetViews>
    <sheetView showGridLines="0" zoomScaleNormal="100" workbookViewId="0">
      <selection activeCell="A111" sqref="A111"/>
    </sheetView>
  </sheetViews>
  <sheetFormatPr baseColWidth="10" defaultColWidth="11.42578125" defaultRowHeight="12.75" x14ac:dyDescent="0.2"/>
  <cols>
    <col min="1" max="1" width="41.57031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134</v>
      </c>
      <c r="B1" s="663"/>
      <c r="C1" s="544" t="s">
        <v>340</v>
      </c>
      <c r="D1" s="26"/>
      <c r="E1" s="26"/>
      <c r="F1" s="26"/>
      <c r="G1" s="26"/>
      <c r="H1" s="26"/>
      <c r="I1" s="26"/>
      <c r="J1" s="26"/>
      <c r="K1" s="26"/>
      <c r="L1" s="26"/>
      <c r="M1" s="26"/>
    </row>
    <row r="2" spans="1:14" ht="15.75" x14ac:dyDescent="0.25">
      <c r="A2" s="165" t="s">
        <v>28</v>
      </c>
      <c r="B2" s="699"/>
      <c r="C2" s="699"/>
      <c r="D2" s="699"/>
      <c r="E2" s="541"/>
      <c r="F2" s="699"/>
      <c r="G2" s="699"/>
      <c r="H2" s="699"/>
      <c r="I2" s="541"/>
      <c r="J2" s="699"/>
      <c r="K2" s="699"/>
      <c r="L2" s="699"/>
      <c r="M2" s="541"/>
    </row>
    <row r="3" spans="1:14" ht="15.75" x14ac:dyDescent="0.25">
      <c r="A3" s="163"/>
      <c r="B3" s="541"/>
      <c r="C3" s="541"/>
      <c r="D3" s="541"/>
      <c r="E3" s="541"/>
      <c r="F3" s="541"/>
      <c r="G3" s="541"/>
      <c r="H3" s="541"/>
      <c r="I3" s="541"/>
      <c r="J3" s="541"/>
      <c r="K3" s="541"/>
      <c r="L3" s="541"/>
      <c r="M3" s="541"/>
    </row>
    <row r="4" spans="1:14" x14ac:dyDescent="0.2">
      <c r="A4" s="144"/>
      <c r="B4" s="695" t="s">
        <v>0</v>
      </c>
      <c r="C4" s="696"/>
      <c r="D4" s="696"/>
      <c r="E4" s="539"/>
      <c r="F4" s="695" t="s">
        <v>1</v>
      </c>
      <c r="G4" s="696"/>
      <c r="H4" s="696"/>
      <c r="I4" s="540"/>
      <c r="J4" s="695" t="s">
        <v>2</v>
      </c>
      <c r="K4" s="696"/>
      <c r="L4" s="696"/>
      <c r="M4" s="540"/>
    </row>
    <row r="5" spans="1:14" x14ac:dyDescent="0.2">
      <c r="A5" s="158"/>
      <c r="B5" s="152" t="s">
        <v>412</v>
      </c>
      <c r="C5" s="152" t="s">
        <v>413</v>
      </c>
      <c r="D5" s="222" t="s">
        <v>3</v>
      </c>
      <c r="E5" s="281" t="s">
        <v>29</v>
      </c>
      <c r="F5" s="152" t="s">
        <v>412</v>
      </c>
      <c r="G5" s="152" t="s">
        <v>413</v>
      </c>
      <c r="H5" s="222" t="s">
        <v>3</v>
      </c>
      <c r="I5" s="162" t="s">
        <v>29</v>
      </c>
      <c r="J5" s="152" t="s">
        <v>412</v>
      </c>
      <c r="K5" s="152" t="s">
        <v>413</v>
      </c>
      <c r="L5" s="222" t="s">
        <v>3</v>
      </c>
      <c r="M5" s="162" t="s">
        <v>29</v>
      </c>
    </row>
    <row r="6" spans="1:14" x14ac:dyDescent="0.2">
      <c r="A6" s="661"/>
      <c r="B6" s="156"/>
      <c r="C6" s="156"/>
      <c r="D6" s="223" t="s">
        <v>4</v>
      </c>
      <c r="E6" s="156" t="s">
        <v>30</v>
      </c>
      <c r="F6" s="161"/>
      <c r="G6" s="161"/>
      <c r="H6" s="222" t="s">
        <v>4</v>
      </c>
      <c r="I6" s="156" t="s">
        <v>30</v>
      </c>
      <c r="J6" s="161"/>
      <c r="K6" s="161"/>
      <c r="L6" s="222" t="s">
        <v>4</v>
      </c>
      <c r="M6" s="156" t="s">
        <v>30</v>
      </c>
    </row>
    <row r="7" spans="1:14" ht="15.75" x14ac:dyDescent="0.2">
      <c r="A7" s="14" t="s">
        <v>23</v>
      </c>
      <c r="B7" s="282">
        <v>694.66245416573099</v>
      </c>
      <c r="C7" s="283">
        <v>683.569592634179</v>
      </c>
      <c r="D7" s="326">
        <f t="shared" ref="D7:D9" si="0">IF(B7=0, "    ---- ", IF(ABS(ROUND(100/B7*C7-100,1))&lt;999,ROUND(100/B7*C7-100,1),IF(ROUND(100/B7*C7-100,1)&gt;999,999,-999)))</f>
        <v>-1.6</v>
      </c>
      <c r="E7" s="11">
        <f>IFERROR(100/'Skjema total MA'!C7*C7,0)</f>
        <v>4.056556936345438E-2</v>
      </c>
      <c r="F7" s="282"/>
      <c r="G7" s="283"/>
      <c r="H7" s="326"/>
      <c r="I7" s="160"/>
      <c r="J7" s="284">
        <f t="shared" ref="J7:K9" si="1">SUM(B7,F7)</f>
        <v>694.66245416573099</v>
      </c>
      <c r="K7" s="285">
        <f t="shared" si="1"/>
        <v>683.569592634179</v>
      </c>
      <c r="L7" s="401">
        <f t="shared" ref="L7:L9" si="2">IF(J7=0, "    ---- ", IF(ABS(ROUND(100/J7*K7-100,1))&lt;999,ROUND(100/J7*K7-100,1),IF(ROUND(100/J7*K7-100,1)&gt;999,999,-999)))</f>
        <v>-1.6</v>
      </c>
      <c r="M7" s="11">
        <f>IFERROR(100/'Skjema total MA'!I7*K7,0)</f>
        <v>1.2233568735260153E-2</v>
      </c>
    </row>
    <row r="8" spans="1:14" ht="15.75" x14ac:dyDescent="0.2">
      <c r="A8" s="21" t="s">
        <v>25</v>
      </c>
      <c r="B8" s="258"/>
      <c r="C8" s="259"/>
      <c r="D8" s="166"/>
      <c r="E8" s="27"/>
      <c r="F8" s="262"/>
      <c r="G8" s="263"/>
      <c r="H8" s="166"/>
      <c r="I8" s="175"/>
      <c r="J8" s="211"/>
      <c r="K8" s="264"/>
      <c r="L8" s="166"/>
      <c r="M8" s="27"/>
    </row>
    <row r="9" spans="1:14" ht="15.75" x14ac:dyDescent="0.2">
      <c r="A9" s="21" t="s">
        <v>24</v>
      </c>
      <c r="B9" s="258">
        <v>694.66245416573099</v>
      </c>
      <c r="C9" s="259">
        <v>683.569592634179</v>
      </c>
      <c r="D9" s="166">
        <f t="shared" si="0"/>
        <v>-1.6</v>
      </c>
      <c r="E9" s="27">
        <f>IFERROR(100/'Skjema total MA'!C9*C9,0)</f>
        <v>0.1916549671146045</v>
      </c>
      <c r="F9" s="262"/>
      <c r="G9" s="263"/>
      <c r="H9" s="166"/>
      <c r="I9" s="175"/>
      <c r="J9" s="211">
        <f t="shared" si="1"/>
        <v>694.66245416573099</v>
      </c>
      <c r="K9" s="264">
        <f t="shared" si="1"/>
        <v>683.569592634179</v>
      </c>
      <c r="L9" s="166">
        <f t="shared" si="2"/>
        <v>-1.6</v>
      </c>
      <c r="M9" s="27">
        <f>IFERROR(100/'Skjema total MA'!I9*K9,0)</f>
        <v>0.1916549671146045</v>
      </c>
    </row>
    <row r="10" spans="1:14" ht="15.75" x14ac:dyDescent="0.2">
      <c r="A10" s="13" t="s">
        <v>341</v>
      </c>
      <c r="B10" s="286"/>
      <c r="C10" s="287"/>
      <c r="D10" s="171"/>
      <c r="E10" s="11"/>
      <c r="F10" s="286"/>
      <c r="G10" s="287"/>
      <c r="H10" s="171"/>
      <c r="I10" s="160"/>
      <c r="J10" s="284"/>
      <c r="K10" s="285"/>
      <c r="L10" s="402"/>
      <c r="M10" s="11"/>
    </row>
    <row r="11" spans="1:14" s="43" customFormat="1" ht="15.75" x14ac:dyDescent="0.2">
      <c r="A11" s="13" t="s">
        <v>342</v>
      </c>
      <c r="B11" s="286"/>
      <c r="C11" s="287"/>
      <c r="D11" s="171"/>
      <c r="E11" s="11"/>
      <c r="F11" s="286"/>
      <c r="G11" s="287"/>
      <c r="H11" s="171"/>
      <c r="I11" s="160"/>
      <c r="J11" s="284"/>
      <c r="K11" s="285"/>
      <c r="L11" s="402"/>
      <c r="M11" s="11"/>
      <c r="N11" s="143"/>
    </row>
    <row r="12" spans="1:14" s="43" customFormat="1" ht="15.75" x14ac:dyDescent="0.2">
      <c r="A12" s="41" t="s">
        <v>343</v>
      </c>
      <c r="B12" s="288"/>
      <c r="C12" s="289"/>
      <c r="D12" s="169"/>
      <c r="E12" s="36"/>
      <c r="F12" s="288"/>
      <c r="G12" s="289"/>
      <c r="H12" s="169"/>
      <c r="I12" s="169"/>
      <c r="J12" s="290"/>
      <c r="K12" s="291"/>
      <c r="L12" s="403"/>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251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248</v>
      </c>
      <c r="B17" s="157"/>
      <c r="C17" s="157"/>
      <c r="D17" s="151"/>
      <c r="E17" s="151"/>
      <c r="F17" s="157"/>
      <c r="G17" s="157"/>
      <c r="H17" s="157"/>
      <c r="I17" s="157"/>
      <c r="J17" s="157"/>
      <c r="K17" s="157"/>
      <c r="L17" s="157"/>
      <c r="M17" s="157"/>
    </row>
    <row r="18" spans="1:14" ht="15.75" x14ac:dyDescent="0.25">
      <c r="B18" s="694"/>
      <c r="C18" s="694"/>
      <c r="D18" s="694"/>
      <c r="E18" s="541"/>
      <c r="F18" s="694"/>
      <c r="G18" s="694"/>
      <c r="H18" s="694"/>
      <c r="I18" s="541"/>
      <c r="J18" s="694"/>
      <c r="K18" s="694"/>
      <c r="L18" s="694"/>
      <c r="M18" s="541"/>
    </row>
    <row r="19" spans="1:14" x14ac:dyDescent="0.2">
      <c r="A19" s="144"/>
      <c r="B19" s="695" t="s">
        <v>0</v>
      </c>
      <c r="C19" s="696"/>
      <c r="D19" s="696"/>
      <c r="E19" s="539"/>
      <c r="F19" s="695" t="s">
        <v>1</v>
      </c>
      <c r="G19" s="696"/>
      <c r="H19" s="696"/>
      <c r="I19" s="540"/>
      <c r="J19" s="695" t="s">
        <v>2</v>
      </c>
      <c r="K19" s="696"/>
      <c r="L19" s="696"/>
      <c r="M19" s="540"/>
    </row>
    <row r="20" spans="1:14" x14ac:dyDescent="0.2">
      <c r="A20" s="140" t="s">
        <v>5</v>
      </c>
      <c r="B20" s="152" t="s">
        <v>412</v>
      </c>
      <c r="C20" s="152" t="s">
        <v>413</v>
      </c>
      <c r="D20" s="162" t="s">
        <v>3</v>
      </c>
      <c r="E20" s="281" t="s">
        <v>29</v>
      </c>
      <c r="F20" s="152" t="s">
        <v>412</v>
      </c>
      <c r="G20" s="152" t="s">
        <v>413</v>
      </c>
      <c r="H20" s="162" t="s">
        <v>3</v>
      </c>
      <c r="I20" s="162" t="s">
        <v>29</v>
      </c>
      <c r="J20" s="152" t="s">
        <v>412</v>
      </c>
      <c r="K20" s="152" t="s">
        <v>413</v>
      </c>
      <c r="L20" s="162" t="s">
        <v>3</v>
      </c>
      <c r="M20" s="162" t="s">
        <v>29</v>
      </c>
    </row>
    <row r="21" spans="1:14" x14ac:dyDescent="0.2">
      <c r="A21" s="662"/>
      <c r="B21" s="156"/>
      <c r="C21" s="156"/>
      <c r="D21" s="223" t="s">
        <v>4</v>
      </c>
      <c r="E21" s="156" t="s">
        <v>30</v>
      </c>
      <c r="F21" s="161"/>
      <c r="G21" s="161"/>
      <c r="H21" s="222" t="s">
        <v>4</v>
      </c>
      <c r="I21" s="156" t="s">
        <v>30</v>
      </c>
      <c r="J21" s="161"/>
      <c r="K21" s="161"/>
      <c r="L21" s="156" t="s">
        <v>4</v>
      </c>
      <c r="M21" s="156" t="s">
        <v>30</v>
      </c>
    </row>
    <row r="22" spans="1:14" ht="15.75" x14ac:dyDescent="0.2">
      <c r="A22" s="14" t="s">
        <v>23</v>
      </c>
      <c r="B22" s="286"/>
      <c r="C22" s="286"/>
      <c r="D22" s="326"/>
      <c r="E22" s="11"/>
      <c r="F22" s="294"/>
      <c r="G22" s="294"/>
      <c r="H22" s="326"/>
      <c r="I22" s="11"/>
      <c r="J22" s="292"/>
      <c r="K22" s="292"/>
      <c r="L22" s="401"/>
      <c r="M22" s="24"/>
    </row>
    <row r="23" spans="1:14" ht="15.75" x14ac:dyDescent="0.2">
      <c r="A23" s="545" t="s">
        <v>344</v>
      </c>
      <c r="B23" s="258"/>
      <c r="C23" s="258"/>
      <c r="D23" s="166"/>
      <c r="E23" s="11"/>
      <c r="F23" s="267"/>
      <c r="G23" s="267"/>
      <c r="H23" s="166"/>
      <c r="I23" s="391"/>
      <c r="J23" s="267"/>
      <c r="K23" s="267"/>
      <c r="L23" s="166"/>
      <c r="M23" s="23"/>
    </row>
    <row r="24" spans="1:14" ht="15.75" x14ac:dyDescent="0.2">
      <c r="A24" s="545" t="s">
        <v>345</v>
      </c>
      <c r="B24" s="258"/>
      <c r="C24" s="258"/>
      <c r="D24" s="166"/>
      <c r="E24" s="11"/>
      <c r="F24" s="267"/>
      <c r="G24" s="267"/>
      <c r="H24" s="166"/>
      <c r="I24" s="391"/>
      <c r="J24" s="267"/>
      <c r="K24" s="267"/>
      <c r="L24" s="166"/>
      <c r="M24" s="23"/>
    </row>
    <row r="25" spans="1:14" ht="15.75" x14ac:dyDescent="0.2">
      <c r="A25" s="545" t="s">
        <v>346</v>
      </c>
      <c r="B25" s="258"/>
      <c r="C25" s="258"/>
      <c r="D25" s="166"/>
      <c r="E25" s="11"/>
      <c r="F25" s="267"/>
      <c r="G25" s="267"/>
      <c r="H25" s="166"/>
      <c r="I25" s="391"/>
      <c r="J25" s="267"/>
      <c r="K25" s="267"/>
      <c r="L25" s="166"/>
      <c r="M25" s="23"/>
    </row>
    <row r="26" spans="1:14" ht="15.75" x14ac:dyDescent="0.2">
      <c r="A26" s="545" t="s">
        <v>347</v>
      </c>
      <c r="B26" s="258"/>
      <c r="C26" s="258"/>
      <c r="D26" s="166"/>
      <c r="E26" s="11"/>
      <c r="F26" s="267"/>
      <c r="G26" s="267"/>
      <c r="H26" s="166"/>
      <c r="I26" s="391"/>
      <c r="J26" s="267"/>
      <c r="K26" s="267"/>
      <c r="L26" s="166"/>
      <c r="M26" s="23"/>
    </row>
    <row r="27" spans="1:14" x14ac:dyDescent="0.2">
      <c r="A27" s="545" t="s">
        <v>11</v>
      </c>
      <c r="B27" s="258"/>
      <c r="C27" s="258"/>
      <c r="D27" s="166"/>
      <c r="E27" s="11"/>
      <c r="F27" s="267"/>
      <c r="G27" s="267"/>
      <c r="H27" s="166"/>
      <c r="I27" s="391"/>
      <c r="J27" s="267"/>
      <c r="K27" s="267"/>
      <c r="L27" s="166"/>
      <c r="M27" s="23"/>
    </row>
    <row r="28" spans="1:14" ht="15.75" x14ac:dyDescent="0.2">
      <c r="A28" s="49" t="s">
        <v>252</v>
      </c>
      <c r="B28" s="44"/>
      <c r="C28" s="264"/>
      <c r="D28" s="166"/>
      <c r="E28" s="11"/>
      <c r="F28" s="211"/>
      <c r="G28" s="264"/>
      <c r="H28" s="166"/>
      <c r="I28" s="27"/>
      <c r="J28" s="44"/>
      <c r="K28" s="44"/>
      <c r="L28" s="231"/>
      <c r="M28" s="23"/>
    </row>
    <row r="29" spans="1:14" s="3" customFormat="1" ht="15.75" x14ac:dyDescent="0.2">
      <c r="A29" s="13" t="s">
        <v>341</v>
      </c>
      <c r="B29" s="213"/>
      <c r="C29" s="213"/>
      <c r="D29" s="171"/>
      <c r="E29" s="11"/>
      <c r="F29" s="284"/>
      <c r="G29" s="284"/>
      <c r="H29" s="171"/>
      <c r="I29" s="11"/>
      <c r="J29" s="213"/>
      <c r="K29" s="213"/>
      <c r="L29" s="402"/>
      <c r="M29" s="24"/>
      <c r="N29" s="148"/>
    </row>
    <row r="30" spans="1:14" s="3" customFormat="1" ht="15.75" x14ac:dyDescent="0.2">
      <c r="A30" s="545" t="s">
        <v>344</v>
      </c>
      <c r="B30" s="258"/>
      <c r="C30" s="258"/>
      <c r="D30" s="166"/>
      <c r="E30" s="11"/>
      <c r="F30" s="267"/>
      <c r="G30" s="267"/>
      <c r="H30" s="166"/>
      <c r="I30" s="391"/>
      <c r="J30" s="267"/>
      <c r="K30" s="267"/>
      <c r="L30" s="166"/>
      <c r="M30" s="23"/>
      <c r="N30" s="148"/>
    </row>
    <row r="31" spans="1:14" s="3" customFormat="1" ht="15.75" x14ac:dyDescent="0.2">
      <c r="A31" s="545" t="s">
        <v>345</v>
      </c>
      <c r="B31" s="258"/>
      <c r="C31" s="258"/>
      <c r="D31" s="166"/>
      <c r="E31" s="11"/>
      <c r="F31" s="267"/>
      <c r="G31" s="267"/>
      <c r="H31" s="166"/>
      <c r="I31" s="391"/>
      <c r="J31" s="267"/>
      <c r="K31" s="267"/>
      <c r="L31" s="166"/>
      <c r="M31" s="23"/>
      <c r="N31" s="148"/>
    </row>
    <row r="32" spans="1:14" ht="15.75" x14ac:dyDescent="0.2">
      <c r="A32" s="545" t="s">
        <v>346</v>
      </c>
      <c r="B32" s="258"/>
      <c r="C32" s="258"/>
      <c r="D32" s="166"/>
      <c r="E32" s="11"/>
      <c r="F32" s="267"/>
      <c r="G32" s="267"/>
      <c r="H32" s="166"/>
      <c r="I32" s="391"/>
      <c r="J32" s="267"/>
      <c r="K32" s="267"/>
      <c r="L32" s="166"/>
      <c r="M32" s="23"/>
    </row>
    <row r="33" spans="1:14" ht="15.75" x14ac:dyDescent="0.2">
      <c r="A33" s="545" t="s">
        <v>347</v>
      </c>
      <c r="B33" s="258"/>
      <c r="C33" s="258"/>
      <c r="D33" s="166"/>
      <c r="E33" s="11"/>
      <c r="F33" s="267"/>
      <c r="G33" s="267"/>
      <c r="H33" s="166"/>
      <c r="I33" s="391"/>
      <c r="J33" s="267"/>
      <c r="K33" s="267"/>
      <c r="L33" s="166"/>
      <c r="M33" s="23"/>
    </row>
    <row r="34" spans="1:14" ht="15.75" x14ac:dyDescent="0.2">
      <c r="A34" s="13" t="s">
        <v>342</v>
      </c>
      <c r="B34" s="213"/>
      <c r="C34" s="285"/>
      <c r="D34" s="171"/>
      <c r="E34" s="11"/>
      <c r="F34" s="284"/>
      <c r="G34" s="285"/>
      <c r="H34" s="171"/>
      <c r="I34" s="11"/>
      <c r="J34" s="213"/>
      <c r="K34" s="213"/>
      <c r="L34" s="402"/>
      <c r="M34" s="24"/>
    </row>
    <row r="35" spans="1:14" ht="15.75" x14ac:dyDescent="0.2">
      <c r="A35" s="13" t="s">
        <v>343</v>
      </c>
      <c r="B35" s="213"/>
      <c r="C35" s="285"/>
      <c r="D35" s="171"/>
      <c r="E35" s="11"/>
      <c r="F35" s="284"/>
      <c r="G35" s="285"/>
      <c r="H35" s="171"/>
      <c r="I35" s="11"/>
      <c r="J35" s="213"/>
      <c r="K35" s="213"/>
      <c r="L35" s="402"/>
      <c r="M35" s="24"/>
    </row>
    <row r="36" spans="1:14" ht="15.75" x14ac:dyDescent="0.2">
      <c r="A36" s="12" t="s">
        <v>260</v>
      </c>
      <c r="B36" s="213"/>
      <c r="C36" s="285"/>
      <c r="D36" s="171"/>
      <c r="E36" s="11"/>
      <c r="F36" s="295"/>
      <c r="G36" s="296"/>
      <c r="H36" s="171"/>
      <c r="I36" s="408"/>
      <c r="J36" s="213"/>
      <c r="K36" s="213"/>
      <c r="L36" s="402"/>
      <c r="M36" s="24"/>
    </row>
    <row r="37" spans="1:14" ht="15.75" x14ac:dyDescent="0.2">
      <c r="A37" s="12" t="s">
        <v>349</v>
      </c>
      <c r="B37" s="213"/>
      <c r="C37" s="285"/>
      <c r="D37" s="171"/>
      <c r="E37" s="11"/>
      <c r="F37" s="295"/>
      <c r="G37" s="297"/>
      <c r="H37" s="171"/>
      <c r="I37" s="408"/>
      <c r="J37" s="213"/>
      <c r="K37" s="213"/>
      <c r="L37" s="402"/>
      <c r="M37" s="24"/>
    </row>
    <row r="38" spans="1:14" ht="15.75" x14ac:dyDescent="0.2">
      <c r="A38" s="12" t="s">
        <v>350</v>
      </c>
      <c r="B38" s="213"/>
      <c r="C38" s="285"/>
      <c r="D38" s="171"/>
      <c r="E38" s="24"/>
      <c r="F38" s="295"/>
      <c r="G38" s="296"/>
      <c r="H38" s="171"/>
      <c r="I38" s="408"/>
      <c r="J38" s="213"/>
      <c r="K38" s="213"/>
      <c r="L38" s="402"/>
      <c r="M38" s="24"/>
    </row>
    <row r="39" spans="1:14" ht="15.75" x14ac:dyDescent="0.2">
      <c r="A39" s="18" t="s">
        <v>351</v>
      </c>
      <c r="B39" s="253"/>
      <c r="C39" s="291"/>
      <c r="D39" s="169"/>
      <c r="E39" s="36"/>
      <c r="F39" s="298"/>
      <c r="G39" s="299"/>
      <c r="H39" s="169"/>
      <c r="I39" s="36"/>
      <c r="J39" s="213"/>
      <c r="K39" s="213"/>
      <c r="L39" s="403"/>
      <c r="M39" s="36"/>
    </row>
    <row r="40" spans="1:14" ht="15.75" x14ac:dyDescent="0.25">
      <c r="A40" s="47"/>
      <c r="B40" s="230"/>
      <c r="C40" s="230"/>
      <c r="D40" s="698"/>
      <c r="E40" s="698"/>
      <c r="F40" s="698"/>
      <c r="G40" s="698"/>
      <c r="H40" s="698"/>
      <c r="I40" s="698"/>
      <c r="J40" s="698"/>
      <c r="K40" s="698"/>
      <c r="L40" s="698"/>
      <c r="M40" s="543"/>
    </row>
    <row r="41" spans="1:14" x14ac:dyDescent="0.2">
      <c r="A41" s="155"/>
    </row>
    <row r="42" spans="1:14" ht="15.75" x14ac:dyDescent="0.25">
      <c r="A42" s="147" t="s">
        <v>249</v>
      </c>
      <c r="B42" s="699"/>
      <c r="C42" s="699"/>
      <c r="D42" s="699"/>
      <c r="E42" s="541"/>
      <c r="F42" s="700"/>
      <c r="G42" s="700"/>
      <c r="H42" s="700"/>
      <c r="I42" s="543"/>
      <c r="J42" s="700"/>
      <c r="K42" s="700"/>
      <c r="L42" s="700"/>
      <c r="M42" s="543"/>
    </row>
    <row r="43" spans="1:14" ht="15.75" x14ac:dyDescent="0.25">
      <c r="A43" s="163"/>
      <c r="B43" s="542"/>
      <c r="C43" s="542"/>
      <c r="D43" s="542"/>
      <c r="E43" s="542"/>
      <c r="F43" s="543"/>
      <c r="G43" s="543"/>
      <c r="H43" s="543"/>
      <c r="I43" s="543"/>
      <c r="J43" s="543"/>
      <c r="K43" s="543"/>
      <c r="L43" s="543"/>
      <c r="M43" s="543"/>
    </row>
    <row r="44" spans="1:14" ht="15.75" x14ac:dyDescent="0.25">
      <c r="A44" s="224"/>
      <c r="B44" s="695" t="s">
        <v>0</v>
      </c>
      <c r="C44" s="696"/>
      <c r="D44" s="696"/>
      <c r="E44" s="220"/>
      <c r="F44" s="543"/>
      <c r="G44" s="543"/>
      <c r="H44" s="543"/>
      <c r="I44" s="543"/>
      <c r="J44" s="543"/>
      <c r="K44" s="543"/>
      <c r="L44" s="543"/>
      <c r="M44" s="543"/>
    </row>
    <row r="45" spans="1:14" s="3" customFormat="1" x14ac:dyDescent="0.2">
      <c r="A45" s="140"/>
      <c r="B45" s="152" t="s">
        <v>412</v>
      </c>
      <c r="C45" s="152" t="s">
        <v>413</v>
      </c>
      <c r="D45" s="162" t="s">
        <v>3</v>
      </c>
      <c r="E45" s="162" t="s">
        <v>29</v>
      </c>
      <c r="F45" s="174"/>
      <c r="G45" s="174"/>
      <c r="H45" s="173"/>
      <c r="I45" s="173"/>
      <c r="J45" s="174"/>
      <c r="K45" s="174"/>
      <c r="L45" s="173"/>
      <c r="M45" s="173"/>
      <c r="N45" s="148"/>
    </row>
    <row r="46" spans="1:14" s="3" customFormat="1" x14ac:dyDescent="0.2">
      <c r="A46" s="662"/>
      <c r="B46" s="221"/>
      <c r="C46" s="221"/>
      <c r="D46" s="222" t="s">
        <v>4</v>
      </c>
      <c r="E46" s="156" t="s">
        <v>30</v>
      </c>
      <c r="F46" s="173"/>
      <c r="G46" s="173"/>
      <c r="H46" s="173"/>
      <c r="I46" s="173"/>
      <c r="J46" s="173"/>
      <c r="K46" s="173"/>
      <c r="L46" s="173"/>
      <c r="M46" s="173"/>
      <c r="N46" s="148"/>
    </row>
    <row r="47" spans="1:14" s="3" customFormat="1" ht="15.75" x14ac:dyDescent="0.2">
      <c r="A47" s="14" t="s">
        <v>23</v>
      </c>
      <c r="B47" s="286">
        <v>195516.164547102</v>
      </c>
      <c r="C47" s="287">
        <v>212069.093692831</v>
      </c>
      <c r="D47" s="401">
        <f t="shared" ref="D47:D48" si="3">IF(B47=0, "    ---- ", IF(ABS(ROUND(100/B47*C47-100,1))&lt;999,ROUND(100/B47*C47-100,1),IF(ROUND(100/B47*C47-100,1)&gt;999,999,-999)))</f>
        <v>8.5</v>
      </c>
      <c r="E47" s="11">
        <f>IFERROR(100/'Skjema total MA'!C47*C47,0)</f>
        <v>6.7034745116394463</v>
      </c>
      <c r="F47" s="145"/>
      <c r="G47" s="33"/>
      <c r="H47" s="159"/>
      <c r="I47" s="159"/>
      <c r="J47" s="37"/>
      <c r="K47" s="37"/>
      <c r="L47" s="159"/>
      <c r="M47" s="159"/>
      <c r="N47" s="148"/>
    </row>
    <row r="48" spans="1:14" s="3" customFormat="1" ht="15.75" x14ac:dyDescent="0.2">
      <c r="A48" s="38" t="s">
        <v>352</v>
      </c>
      <c r="B48" s="258">
        <v>195516.164547102</v>
      </c>
      <c r="C48" s="259">
        <v>212069.093692831</v>
      </c>
      <c r="D48" s="231">
        <f t="shared" si="3"/>
        <v>8.5</v>
      </c>
      <c r="E48" s="27">
        <f>IFERROR(100/'Skjema total MA'!C48*C48,0)</f>
        <v>12.363592024727525</v>
      </c>
      <c r="F48" s="145"/>
      <c r="G48" s="33"/>
      <c r="H48" s="145"/>
      <c r="I48" s="145"/>
      <c r="J48" s="33"/>
      <c r="K48" s="33"/>
      <c r="L48" s="159"/>
      <c r="M48" s="159"/>
      <c r="N48" s="148"/>
    </row>
    <row r="49" spans="1:14" s="3" customFormat="1" ht="15.75" x14ac:dyDescent="0.2">
      <c r="A49" s="38" t="s">
        <v>353</v>
      </c>
      <c r="B49" s="44"/>
      <c r="C49" s="264"/>
      <c r="D49" s="231"/>
      <c r="E49" s="27"/>
      <c r="F49" s="145"/>
      <c r="G49" s="33"/>
      <c r="H49" s="145"/>
      <c r="I49" s="145"/>
      <c r="J49" s="37"/>
      <c r="K49" s="37"/>
      <c r="L49" s="159"/>
      <c r="M49" s="159"/>
      <c r="N49" s="148"/>
    </row>
    <row r="50" spans="1:14" s="3" customFormat="1" x14ac:dyDescent="0.2">
      <c r="A50" s="272" t="s">
        <v>6</v>
      </c>
      <c r="B50" s="295"/>
      <c r="C50" s="295"/>
      <c r="D50" s="231"/>
      <c r="E50" s="23"/>
      <c r="F50" s="145"/>
      <c r="G50" s="33"/>
      <c r="H50" s="145"/>
      <c r="I50" s="145"/>
      <c r="J50" s="33"/>
      <c r="K50" s="33"/>
      <c r="L50" s="159"/>
      <c r="M50" s="159"/>
      <c r="N50" s="148"/>
    </row>
    <row r="51" spans="1:14" s="3" customFormat="1" x14ac:dyDescent="0.2">
      <c r="A51" s="272" t="s">
        <v>7</v>
      </c>
      <c r="B51" s="295"/>
      <c r="C51" s="295"/>
      <c r="D51" s="231"/>
      <c r="E51" s="23"/>
      <c r="F51" s="145"/>
      <c r="G51" s="33"/>
      <c r="H51" s="145"/>
      <c r="I51" s="145"/>
      <c r="J51" s="33"/>
      <c r="K51" s="33"/>
      <c r="L51" s="159"/>
      <c r="M51" s="159"/>
      <c r="N51" s="148"/>
    </row>
    <row r="52" spans="1:14" s="3" customFormat="1" x14ac:dyDescent="0.2">
      <c r="A52" s="272" t="s">
        <v>8</v>
      </c>
      <c r="B52" s="295"/>
      <c r="C52" s="295"/>
      <c r="D52" s="231"/>
      <c r="E52" s="23"/>
      <c r="F52" s="145"/>
      <c r="G52" s="33"/>
      <c r="H52" s="145"/>
      <c r="I52" s="145"/>
      <c r="J52" s="33"/>
      <c r="K52" s="33"/>
      <c r="L52" s="159"/>
      <c r="M52" s="159"/>
      <c r="N52" s="148"/>
    </row>
    <row r="53" spans="1:14" s="3" customFormat="1" ht="15.75" x14ac:dyDescent="0.2">
      <c r="A53" s="39" t="s">
        <v>354</v>
      </c>
      <c r="B53" s="286"/>
      <c r="C53" s="287"/>
      <c r="D53" s="402"/>
      <c r="E53" s="11"/>
      <c r="F53" s="145"/>
      <c r="G53" s="33"/>
      <c r="H53" s="145"/>
      <c r="I53" s="145"/>
      <c r="J53" s="33"/>
      <c r="K53" s="33"/>
      <c r="L53" s="159"/>
      <c r="M53" s="159"/>
      <c r="N53" s="148"/>
    </row>
    <row r="54" spans="1:14" s="3" customFormat="1" ht="15.75" x14ac:dyDescent="0.2">
      <c r="A54" s="38" t="s">
        <v>352</v>
      </c>
      <c r="B54" s="258"/>
      <c r="C54" s="259"/>
      <c r="D54" s="231"/>
      <c r="E54" s="27"/>
      <c r="F54" s="145"/>
      <c r="G54" s="33"/>
      <c r="H54" s="145"/>
      <c r="I54" s="145"/>
      <c r="J54" s="33"/>
      <c r="K54" s="33"/>
      <c r="L54" s="159"/>
      <c r="M54" s="159"/>
      <c r="N54" s="148"/>
    </row>
    <row r="55" spans="1:14" s="3" customFormat="1" ht="15.75" x14ac:dyDescent="0.2">
      <c r="A55" s="38" t="s">
        <v>353</v>
      </c>
      <c r="B55" s="258"/>
      <c r="C55" s="259"/>
      <c r="D55" s="231"/>
      <c r="E55" s="27"/>
      <c r="F55" s="145"/>
      <c r="G55" s="33"/>
      <c r="H55" s="145"/>
      <c r="I55" s="145"/>
      <c r="J55" s="33"/>
      <c r="K55" s="33"/>
      <c r="L55" s="159"/>
      <c r="M55" s="159"/>
      <c r="N55" s="148"/>
    </row>
    <row r="56" spans="1:14" s="3" customFormat="1" ht="15.75" x14ac:dyDescent="0.2">
      <c r="A56" s="39" t="s">
        <v>355</v>
      </c>
      <c r="B56" s="286"/>
      <c r="C56" s="287"/>
      <c r="D56" s="402"/>
      <c r="E56" s="11"/>
      <c r="F56" s="145"/>
      <c r="G56" s="33"/>
      <c r="H56" s="145"/>
      <c r="I56" s="145"/>
      <c r="J56" s="33"/>
      <c r="K56" s="33"/>
      <c r="L56" s="159"/>
      <c r="M56" s="159"/>
      <c r="N56" s="148"/>
    </row>
    <row r="57" spans="1:14" s="3" customFormat="1" ht="15.75" x14ac:dyDescent="0.2">
      <c r="A57" s="38" t="s">
        <v>352</v>
      </c>
      <c r="B57" s="258"/>
      <c r="C57" s="259"/>
      <c r="D57" s="231"/>
      <c r="E57" s="27"/>
      <c r="F57" s="145"/>
      <c r="G57" s="33"/>
      <c r="H57" s="145"/>
      <c r="I57" s="145"/>
      <c r="J57" s="33"/>
      <c r="K57" s="33"/>
      <c r="L57" s="159"/>
      <c r="M57" s="159"/>
      <c r="N57" s="148"/>
    </row>
    <row r="58" spans="1:14" s="3" customFormat="1" ht="15.75" x14ac:dyDescent="0.2">
      <c r="A58" s="46" t="s">
        <v>353</v>
      </c>
      <c r="B58" s="260"/>
      <c r="C58" s="261"/>
      <c r="D58" s="232"/>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250</v>
      </c>
      <c r="C61" s="26"/>
      <c r="D61" s="26"/>
      <c r="E61" s="26"/>
      <c r="F61" s="26"/>
      <c r="G61" s="26"/>
      <c r="H61" s="26"/>
      <c r="I61" s="26"/>
      <c r="J61" s="26"/>
      <c r="K61" s="26"/>
      <c r="L61" s="26"/>
      <c r="M61" s="26"/>
    </row>
    <row r="62" spans="1:14" ht="15.75" x14ac:dyDescent="0.25">
      <c r="B62" s="694"/>
      <c r="C62" s="694"/>
      <c r="D62" s="694"/>
      <c r="E62" s="541"/>
      <c r="F62" s="694"/>
      <c r="G62" s="694"/>
      <c r="H62" s="694"/>
      <c r="I62" s="541"/>
      <c r="J62" s="694"/>
      <c r="K62" s="694"/>
      <c r="L62" s="694"/>
      <c r="M62" s="541"/>
    </row>
    <row r="63" spans="1:14" x14ac:dyDescent="0.2">
      <c r="A63" s="144"/>
      <c r="B63" s="695" t="s">
        <v>0</v>
      </c>
      <c r="C63" s="696"/>
      <c r="D63" s="697"/>
      <c r="E63" s="538"/>
      <c r="F63" s="696" t="s">
        <v>1</v>
      </c>
      <c r="G63" s="696"/>
      <c r="H63" s="696"/>
      <c r="I63" s="540"/>
      <c r="J63" s="695" t="s">
        <v>2</v>
      </c>
      <c r="K63" s="696"/>
      <c r="L63" s="696"/>
      <c r="M63" s="540"/>
    </row>
    <row r="64" spans="1:14" x14ac:dyDescent="0.2">
      <c r="A64" s="140"/>
      <c r="B64" s="152" t="s">
        <v>412</v>
      </c>
      <c r="C64" s="152" t="s">
        <v>413</v>
      </c>
      <c r="D64" s="222" t="s">
        <v>3</v>
      </c>
      <c r="E64" s="281" t="s">
        <v>29</v>
      </c>
      <c r="F64" s="152" t="s">
        <v>412</v>
      </c>
      <c r="G64" s="152" t="s">
        <v>413</v>
      </c>
      <c r="H64" s="222" t="s">
        <v>3</v>
      </c>
      <c r="I64" s="281" t="s">
        <v>29</v>
      </c>
      <c r="J64" s="152" t="s">
        <v>412</v>
      </c>
      <c r="K64" s="152" t="s">
        <v>413</v>
      </c>
      <c r="L64" s="222" t="s">
        <v>3</v>
      </c>
      <c r="M64" s="162" t="s">
        <v>29</v>
      </c>
    </row>
    <row r="65" spans="1:14" x14ac:dyDescent="0.2">
      <c r="A65" s="662"/>
      <c r="B65" s="156"/>
      <c r="C65" s="156"/>
      <c r="D65" s="223" t="s">
        <v>4</v>
      </c>
      <c r="E65" s="156" t="s">
        <v>30</v>
      </c>
      <c r="F65" s="161"/>
      <c r="G65" s="161"/>
      <c r="H65" s="222" t="s">
        <v>4</v>
      </c>
      <c r="I65" s="156" t="s">
        <v>30</v>
      </c>
      <c r="J65" s="161"/>
      <c r="K65" s="203"/>
      <c r="L65" s="156" t="s">
        <v>4</v>
      </c>
      <c r="M65" s="156" t="s">
        <v>30</v>
      </c>
    </row>
    <row r="66" spans="1:14" ht="15.75" x14ac:dyDescent="0.2">
      <c r="A66" s="14" t="s">
        <v>23</v>
      </c>
      <c r="B66" s="329"/>
      <c r="C66" s="329"/>
      <c r="D66" s="326"/>
      <c r="E66" s="11"/>
      <c r="F66" s="328"/>
      <c r="G66" s="328"/>
      <c r="H66" s="326"/>
      <c r="I66" s="24"/>
      <c r="J66" s="159"/>
      <c r="K66" s="292"/>
      <c r="L66" s="402"/>
      <c r="M66" s="11"/>
    </row>
    <row r="67" spans="1:14" x14ac:dyDescent="0.2">
      <c r="A67" s="393" t="s">
        <v>9</v>
      </c>
      <c r="B67" s="44"/>
      <c r="C67" s="145"/>
      <c r="D67" s="166"/>
      <c r="E67" s="23"/>
      <c r="F67" s="211"/>
      <c r="G67" s="145"/>
      <c r="H67" s="166"/>
      <c r="I67" s="23"/>
      <c r="J67" s="145"/>
      <c r="K67" s="44"/>
      <c r="L67" s="231"/>
      <c r="M67" s="27"/>
    </row>
    <row r="68" spans="1:14" x14ac:dyDescent="0.2">
      <c r="A68" s="21" t="s">
        <v>10</v>
      </c>
      <c r="B68" s="268"/>
      <c r="C68" s="269"/>
      <c r="D68" s="166"/>
      <c r="E68" s="23"/>
      <c r="F68" s="268"/>
      <c r="G68" s="269"/>
      <c r="H68" s="166"/>
      <c r="I68" s="23"/>
      <c r="J68" s="145"/>
      <c r="K68" s="44"/>
      <c r="L68" s="231"/>
      <c r="M68" s="27"/>
    </row>
    <row r="69" spans="1:14" ht="15.75" x14ac:dyDescent="0.2">
      <c r="A69" s="272" t="s">
        <v>356</v>
      </c>
      <c r="B69" s="295"/>
      <c r="C69" s="295"/>
      <c r="D69" s="166"/>
      <c r="E69" s="23"/>
      <c r="F69" s="295"/>
      <c r="G69" s="295"/>
      <c r="H69" s="166"/>
      <c r="I69" s="23"/>
      <c r="J69" s="295"/>
      <c r="K69" s="295"/>
      <c r="L69" s="166"/>
      <c r="M69" s="23"/>
    </row>
    <row r="70" spans="1:14" x14ac:dyDescent="0.2">
      <c r="A70" s="272" t="s">
        <v>12</v>
      </c>
      <c r="B70" s="270"/>
      <c r="C70" s="271"/>
      <c r="D70" s="166"/>
      <c r="E70" s="23"/>
      <c r="F70" s="270"/>
      <c r="G70" s="271"/>
      <c r="H70" s="166"/>
      <c r="I70" s="23"/>
      <c r="J70" s="270"/>
      <c r="K70" s="271"/>
      <c r="L70" s="166"/>
      <c r="M70" s="23"/>
    </row>
    <row r="71" spans="1:14" x14ac:dyDescent="0.2">
      <c r="A71" s="272" t="s">
        <v>13</v>
      </c>
      <c r="B71" s="212"/>
      <c r="C71" s="266"/>
      <c r="D71" s="166"/>
      <c r="E71" s="23"/>
      <c r="F71" s="212"/>
      <c r="G71" s="266"/>
      <c r="H71" s="166"/>
      <c r="I71" s="23"/>
      <c r="J71" s="212"/>
      <c r="K71" s="266"/>
      <c r="L71" s="166"/>
      <c r="M71" s="23"/>
    </row>
    <row r="72" spans="1:14" ht="15.75" x14ac:dyDescent="0.2">
      <c r="A72" s="272" t="s">
        <v>357</v>
      </c>
      <c r="B72" s="295"/>
      <c r="C72" s="295"/>
      <c r="D72" s="166"/>
      <c r="E72" s="23"/>
      <c r="F72" s="295"/>
      <c r="G72" s="295"/>
      <c r="H72" s="166"/>
      <c r="I72" s="23"/>
      <c r="J72" s="295"/>
      <c r="K72" s="295"/>
      <c r="L72" s="166"/>
      <c r="M72" s="23"/>
    </row>
    <row r="73" spans="1:14" x14ac:dyDescent="0.2">
      <c r="A73" s="272" t="s">
        <v>12</v>
      </c>
      <c r="B73" s="212"/>
      <c r="C73" s="266"/>
      <c r="D73" s="166"/>
      <c r="E73" s="23"/>
      <c r="F73" s="212"/>
      <c r="G73" s="266"/>
      <c r="H73" s="166"/>
      <c r="I73" s="23"/>
      <c r="J73" s="212"/>
      <c r="K73" s="266"/>
      <c r="L73" s="166"/>
      <c r="M73" s="23"/>
    </row>
    <row r="74" spans="1:14" s="3" customFormat="1" x14ac:dyDescent="0.2">
      <c r="A74" s="272" t="s">
        <v>13</v>
      </c>
      <c r="B74" s="212"/>
      <c r="C74" s="266"/>
      <c r="D74" s="166"/>
      <c r="E74" s="23"/>
      <c r="F74" s="212"/>
      <c r="G74" s="266"/>
      <c r="H74" s="166"/>
      <c r="I74" s="23"/>
      <c r="J74" s="212"/>
      <c r="K74" s="266"/>
      <c r="L74" s="166"/>
      <c r="M74" s="23"/>
      <c r="N74" s="148"/>
    </row>
    <row r="75" spans="1:14" s="3" customFormat="1" x14ac:dyDescent="0.2">
      <c r="A75" s="21" t="s">
        <v>326</v>
      </c>
      <c r="B75" s="211"/>
      <c r="C75" s="145"/>
      <c r="D75" s="166"/>
      <c r="E75" s="23"/>
      <c r="F75" s="211"/>
      <c r="G75" s="145"/>
      <c r="H75" s="166"/>
      <c r="I75" s="23"/>
      <c r="J75" s="145"/>
      <c r="K75" s="44"/>
      <c r="L75" s="231"/>
      <c r="M75" s="27"/>
      <c r="N75" s="148"/>
    </row>
    <row r="76" spans="1:14" s="3" customFormat="1" x14ac:dyDescent="0.2">
      <c r="A76" s="21" t="s">
        <v>325</v>
      </c>
      <c r="B76" s="211"/>
      <c r="C76" s="145"/>
      <c r="D76" s="166"/>
      <c r="E76" s="23"/>
      <c r="F76" s="211"/>
      <c r="G76" s="145"/>
      <c r="H76" s="166"/>
      <c r="I76" s="23"/>
      <c r="J76" s="145"/>
      <c r="K76" s="44"/>
      <c r="L76" s="231"/>
      <c r="M76" s="27"/>
      <c r="N76" s="148"/>
    </row>
    <row r="77" spans="1:14" ht="15.75" x14ac:dyDescent="0.2">
      <c r="A77" s="21" t="s">
        <v>358</v>
      </c>
      <c r="B77" s="211"/>
      <c r="C77" s="211"/>
      <c r="D77" s="166"/>
      <c r="E77" s="23"/>
      <c r="F77" s="211"/>
      <c r="G77" s="145"/>
      <c r="H77" s="166"/>
      <c r="I77" s="23"/>
      <c r="J77" s="145"/>
      <c r="K77" s="44"/>
      <c r="L77" s="231"/>
      <c r="M77" s="27"/>
    </row>
    <row r="78" spans="1:14" x14ac:dyDescent="0.2">
      <c r="A78" s="21" t="s">
        <v>9</v>
      </c>
      <c r="B78" s="211"/>
      <c r="C78" s="145"/>
      <c r="D78" s="166"/>
      <c r="E78" s="23"/>
      <c r="F78" s="211"/>
      <c r="G78" s="145"/>
      <c r="H78" s="166"/>
      <c r="I78" s="23"/>
      <c r="J78" s="145"/>
      <c r="K78" s="44"/>
      <c r="L78" s="231"/>
      <c r="M78" s="27"/>
    </row>
    <row r="79" spans="1:14" x14ac:dyDescent="0.2">
      <c r="A79" s="38" t="s">
        <v>398</v>
      </c>
      <c r="B79" s="268"/>
      <c r="C79" s="269"/>
      <c r="D79" s="166"/>
      <c r="E79" s="23"/>
      <c r="F79" s="268"/>
      <c r="G79" s="269"/>
      <c r="H79" s="166"/>
      <c r="I79" s="23"/>
      <c r="J79" s="145"/>
      <c r="K79" s="44"/>
      <c r="L79" s="231"/>
      <c r="M79" s="27"/>
    </row>
    <row r="80" spans="1:14" ht="15.75" x14ac:dyDescent="0.2">
      <c r="A80" s="272" t="s">
        <v>356</v>
      </c>
      <c r="B80" s="295"/>
      <c r="C80" s="295"/>
      <c r="D80" s="166"/>
      <c r="E80" s="23"/>
      <c r="F80" s="295"/>
      <c r="G80" s="295"/>
      <c r="H80" s="166"/>
      <c r="I80" s="23"/>
      <c r="J80" s="295"/>
      <c r="K80" s="295"/>
      <c r="L80" s="166"/>
      <c r="M80" s="23"/>
    </row>
    <row r="81" spans="1:13" x14ac:dyDescent="0.2">
      <c r="A81" s="272" t="s">
        <v>12</v>
      </c>
      <c r="B81" s="295"/>
      <c r="C81" s="295"/>
      <c r="D81" s="166"/>
      <c r="E81" s="23"/>
      <c r="F81" s="270"/>
      <c r="G81" s="271"/>
      <c r="H81" s="166"/>
      <c r="I81" s="23"/>
      <c r="J81" s="270"/>
      <c r="K81" s="271"/>
      <c r="L81" s="166"/>
      <c r="M81" s="23"/>
    </row>
    <row r="82" spans="1:13" x14ac:dyDescent="0.2">
      <c r="A82" s="272" t="s">
        <v>13</v>
      </c>
      <c r="B82" s="295"/>
      <c r="C82" s="295"/>
      <c r="D82" s="166"/>
      <c r="E82" s="23"/>
      <c r="F82" s="212"/>
      <c r="G82" s="266"/>
      <c r="H82" s="166"/>
      <c r="I82" s="23"/>
      <c r="J82" s="212"/>
      <c r="K82" s="266"/>
      <c r="L82" s="166"/>
      <c r="M82" s="23"/>
    </row>
    <row r="83" spans="1:13" ht="15.75" x14ac:dyDescent="0.2">
      <c r="A83" s="272" t="s">
        <v>357</v>
      </c>
      <c r="B83" s="295"/>
      <c r="C83" s="295"/>
      <c r="D83" s="166"/>
      <c r="E83" s="23"/>
      <c r="F83" s="295"/>
      <c r="G83" s="295"/>
      <c r="H83" s="166"/>
      <c r="I83" s="23"/>
      <c r="J83" s="295"/>
      <c r="K83" s="295"/>
      <c r="L83" s="166"/>
      <c r="M83" s="23"/>
    </row>
    <row r="84" spans="1:13" x14ac:dyDescent="0.2">
      <c r="A84" s="272" t="s">
        <v>12</v>
      </c>
      <c r="B84" s="212"/>
      <c r="C84" s="266"/>
      <c r="D84" s="166"/>
      <c r="E84" s="23"/>
      <c r="F84" s="212"/>
      <c r="G84" s="266"/>
      <c r="H84" s="166"/>
      <c r="I84" s="23"/>
      <c r="J84" s="212"/>
      <c r="K84" s="266"/>
      <c r="L84" s="166"/>
      <c r="M84" s="23"/>
    </row>
    <row r="85" spans="1:13" x14ac:dyDescent="0.2">
      <c r="A85" s="272" t="s">
        <v>13</v>
      </c>
      <c r="B85" s="212"/>
      <c r="C85" s="266"/>
      <c r="D85" s="166"/>
      <c r="E85" s="23"/>
      <c r="F85" s="212"/>
      <c r="G85" s="266"/>
      <c r="H85" s="166"/>
      <c r="I85" s="23"/>
      <c r="J85" s="212"/>
      <c r="K85" s="266"/>
      <c r="L85" s="166"/>
      <c r="M85" s="23"/>
    </row>
    <row r="86" spans="1:13" ht="15.75" x14ac:dyDescent="0.2">
      <c r="A86" s="21" t="s">
        <v>359</v>
      </c>
      <c r="B86" s="211"/>
      <c r="C86" s="145"/>
      <c r="D86" s="166"/>
      <c r="E86" s="23"/>
      <c r="F86" s="211"/>
      <c r="G86" s="145"/>
      <c r="H86" s="166"/>
      <c r="I86" s="23"/>
      <c r="J86" s="145"/>
      <c r="K86" s="44"/>
      <c r="L86" s="231"/>
      <c r="M86" s="27"/>
    </row>
    <row r="87" spans="1:13" ht="15.75" x14ac:dyDescent="0.2">
      <c r="A87" s="13" t="s">
        <v>341</v>
      </c>
      <c r="B87" s="329"/>
      <c r="C87" s="329"/>
      <c r="D87" s="171"/>
      <c r="E87" s="24"/>
      <c r="F87" s="328"/>
      <c r="G87" s="328"/>
      <c r="H87" s="171"/>
      <c r="I87" s="24"/>
      <c r="J87" s="159"/>
      <c r="K87" s="213"/>
      <c r="L87" s="402"/>
      <c r="M87" s="11"/>
    </row>
    <row r="88" spans="1:13" x14ac:dyDescent="0.2">
      <c r="A88" s="21" t="s">
        <v>9</v>
      </c>
      <c r="B88" s="211"/>
      <c r="C88" s="145"/>
      <c r="D88" s="166"/>
      <c r="E88" s="23"/>
      <c r="F88" s="211"/>
      <c r="G88" s="145"/>
      <c r="H88" s="166"/>
      <c r="I88" s="23"/>
      <c r="J88" s="145"/>
      <c r="K88" s="44"/>
      <c r="L88" s="231"/>
      <c r="M88" s="27"/>
    </row>
    <row r="89" spans="1:13" x14ac:dyDescent="0.2">
      <c r="A89" s="21" t="s">
        <v>10</v>
      </c>
      <c r="B89" s="211"/>
      <c r="C89" s="145"/>
      <c r="D89" s="166"/>
      <c r="E89" s="23"/>
      <c r="F89" s="211"/>
      <c r="G89" s="145"/>
      <c r="H89" s="166"/>
      <c r="I89" s="23"/>
      <c r="J89" s="145"/>
      <c r="K89" s="44"/>
      <c r="L89" s="231"/>
      <c r="M89" s="27"/>
    </row>
    <row r="90" spans="1:13" ht="15.75" x14ac:dyDescent="0.2">
      <c r="A90" s="272" t="s">
        <v>356</v>
      </c>
      <c r="B90" s="295"/>
      <c r="C90" s="295"/>
      <c r="D90" s="166"/>
      <c r="E90" s="23"/>
      <c r="F90" s="295"/>
      <c r="G90" s="295"/>
      <c r="H90" s="166"/>
      <c r="I90" s="23"/>
      <c r="J90" s="295"/>
      <c r="K90" s="295"/>
      <c r="L90" s="166"/>
      <c r="M90" s="23"/>
    </row>
    <row r="91" spans="1:13" x14ac:dyDescent="0.2">
      <c r="A91" s="272" t="s">
        <v>12</v>
      </c>
      <c r="B91" s="295"/>
      <c r="C91" s="295"/>
      <c r="D91" s="166"/>
      <c r="E91" s="23"/>
      <c r="F91" s="270"/>
      <c r="G91" s="271"/>
      <c r="H91" s="166"/>
      <c r="I91" s="23"/>
      <c r="J91" s="270"/>
      <c r="K91" s="271"/>
      <c r="L91" s="166"/>
      <c r="M91" s="23"/>
    </row>
    <row r="92" spans="1:13" x14ac:dyDescent="0.2">
      <c r="A92" s="272" t="s">
        <v>13</v>
      </c>
      <c r="B92" s="295"/>
      <c r="C92" s="295"/>
      <c r="D92" s="166"/>
      <c r="E92" s="23"/>
      <c r="F92" s="212"/>
      <c r="G92" s="266"/>
      <c r="H92" s="166"/>
      <c r="I92" s="23"/>
      <c r="J92" s="212"/>
      <c r="K92" s="266"/>
      <c r="L92" s="166"/>
      <c r="M92" s="23"/>
    </row>
    <row r="93" spans="1:13" ht="15.75" x14ac:dyDescent="0.2">
      <c r="A93" s="272" t="s">
        <v>357</v>
      </c>
      <c r="B93" s="295"/>
      <c r="C93" s="295"/>
      <c r="D93" s="166"/>
      <c r="E93" s="23"/>
      <c r="F93" s="295"/>
      <c r="G93" s="295"/>
      <c r="H93" s="166"/>
      <c r="I93" s="23"/>
      <c r="J93" s="295"/>
      <c r="K93" s="295"/>
      <c r="L93" s="166"/>
      <c r="M93" s="23"/>
    </row>
    <row r="94" spans="1:13" x14ac:dyDescent="0.2">
      <c r="A94" s="272" t="s">
        <v>12</v>
      </c>
      <c r="B94" s="212"/>
      <c r="C94" s="266"/>
      <c r="D94" s="166"/>
      <c r="E94" s="23"/>
      <c r="F94" s="212"/>
      <c r="G94" s="266"/>
      <c r="H94" s="166"/>
      <c r="I94" s="23"/>
      <c r="J94" s="212"/>
      <c r="K94" s="266"/>
      <c r="L94" s="166"/>
      <c r="M94" s="23"/>
    </row>
    <row r="95" spans="1:13" x14ac:dyDescent="0.2">
      <c r="A95" s="272" t="s">
        <v>13</v>
      </c>
      <c r="B95" s="212"/>
      <c r="C95" s="266"/>
      <c r="D95" s="166"/>
      <c r="E95" s="23"/>
      <c r="F95" s="212"/>
      <c r="G95" s="266"/>
      <c r="H95" s="166"/>
      <c r="I95" s="23"/>
      <c r="J95" s="212"/>
      <c r="K95" s="266"/>
      <c r="L95" s="166"/>
      <c r="M95" s="23"/>
    </row>
    <row r="96" spans="1:13" x14ac:dyDescent="0.2">
      <c r="A96" s="21" t="s">
        <v>324</v>
      </c>
      <c r="B96" s="211"/>
      <c r="C96" s="145"/>
      <c r="D96" s="166"/>
      <c r="E96" s="23"/>
      <c r="F96" s="211"/>
      <c r="G96" s="145"/>
      <c r="H96" s="166"/>
      <c r="I96" s="23"/>
      <c r="J96" s="145"/>
      <c r="K96" s="44"/>
      <c r="L96" s="231"/>
      <c r="M96" s="27"/>
    </row>
    <row r="97" spans="1:13" x14ac:dyDescent="0.2">
      <c r="A97" s="21" t="s">
        <v>323</v>
      </c>
      <c r="B97" s="211"/>
      <c r="C97" s="145"/>
      <c r="D97" s="166"/>
      <c r="E97" s="23"/>
      <c r="F97" s="211"/>
      <c r="G97" s="145"/>
      <c r="H97" s="166"/>
      <c r="I97" s="23"/>
      <c r="J97" s="145"/>
      <c r="K97" s="44"/>
      <c r="L97" s="231"/>
      <c r="M97" s="27"/>
    </row>
    <row r="98" spans="1:13" ht="15.75" x14ac:dyDescent="0.2">
      <c r="A98" s="21" t="s">
        <v>358</v>
      </c>
      <c r="B98" s="211"/>
      <c r="C98" s="211"/>
      <c r="D98" s="166"/>
      <c r="E98" s="23"/>
      <c r="F98" s="268"/>
      <c r="G98" s="268"/>
      <c r="H98" s="166"/>
      <c r="I98" s="23"/>
      <c r="J98" s="145"/>
      <c r="K98" s="44"/>
      <c r="L98" s="231"/>
      <c r="M98" s="27"/>
    </row>
    <row r="99" spans="1:13" x14ac:dyDescent="0.2">
      <c r="A99" s="21" t="s">
        <v>9</v>
      </c>
      <c r="B99" s="268"/>
      <c r="C99" s="269"/>
      <c r="D99" s="166"/>
      <c r="E99" s="23"/>
      <c r="F99" s="211"/>
      <c r="G99" s="145"/>
      <c r="H99" s="166"/>
      <c r="I99" s="23"/>
      <c r="J99" s="145"/>
      <c r="K99" s="44"/>
      <c r="L99" s="231"/>
      <c r="M99" s="27"/>
    </row>
    <row r="100" spans="1:13" ht="15.75" x14ac:dyDescent="0.2">
      <c r="A100" s="38" t="s">
        <v>399</v>
      </c>
      <c r="B100" s="268"/>
      <c r="C100" s="269"/>
      <c r="D100" s="166"/>
      <c r="E100" s="23"/>
      <c r="F100" s="211"/>
      <c r="G100" s="211"/>
      <c r="H100" s="166"/>
      <c r="I100" s="23"/>
      <c r="J100" s="145"/>
      <c r="K100" s="44"/>
      <c r="L100" s="231"/>
      <c r="M100" s="27"/>
    </row>
    <row r="101" spans="1:13" ht="15.75" x14ac:dyDescent="0.2">
      <c r="A101" s="38" t="s">
        <v>400</v>
      </c>
      <c r="B101" s="268"/>
      <c r="C101" s="268"/>
      <c r="D101" s="166"/>
      <c r="E101" s="23"/>
      <c r="F101" s="268"/>
      <c r="G101" s="268"/>
      <c r="H101" s="166"/>
      <c r="I101" s="23"/>
      <c r="J101" s="145"/>
      <c r="K101" s="44"/>
      <c r="L101" s="231"/>
      <c r="M101" s="27"/>
    </row>
    <row r="102" spans="1:13" ht="15.75" x14ac:dyDescent="0.2">
      <c r="A102" s="272" t="s">
        <v>356</v>
      </c>
      <c r="B102" s="295"/>
      <c r="C102" s="295"/>
      <c r="D102" s="166"/>
      <c r="E102" s="23"/>
      <c r="F102" s="295"/>
      <c r="G102" s="295"/>
      <c r="H102" s="166"/>
      <c r="I102" s="23"/>
      <c r="J102" s="295"/>
      <c r="K102" s="295"/>
      <c r="L102" s="166"/>
      <c r="M102" s="23"/>
    </row>
    <row r="103" spans="1:13" x14ac:dyDescent="0.2">
      <c r="A103" s="272" t="s">
        <v>12</v>
      </c>
      <c r="B103" s="295"/>
      <c r="C103" s="295"/>
      <c r="D103" s="166"/>
      <c r="E103" s="23"/>
      <c r="F103" s="270"/>
      <c r="G103" s="271"/>
      <c r="H103" s="166"/>
      <c r="I103" s="23"/>
      <c r="J103" s="270"/>
      <c r="K103" s="271"/>
      <c r="L103" s="166"/>
      <c r="M103" s="23"/>
    </row>
    <row r="104" spans="1:13" x14ac:dyDescent="0.2">
      <c r="A104" s="272" t="s">
        <v>13</v>
      </c>
      <c r="B104" s="295"/>
      <c r="C104" s="295"/>
      <c r="D104" s="166"/>
      <c r="E104" s="23"/>
      <c r="F104" s="212"/>
      <c r="G104" s="266"/>
      <c r="H104" s="166"/>
      <c r="I104" s="23"/>
      <c r="J104" s="212"/>
      <c r="K104" s="266"/>
      <c r="L104" s="166"/>
      <c r="M104" s="23"/>
    </row>
    <row r="105" spans="1:13" ht="15.75" x14ac:dyDescent="0.2">
      <c r="A105" s="272" t="s">
        <v>357</v>
      </c>
      <c r="B105" s="295"/>
      <c r="C105" s="295"/>
      <c r="D105" s="166"/>
      <c r="E105" s="23"/>
      <c r="F105" s="295"/>
      <c r="G105" s="295"/>
      <c r="H105" s="166"/>
      <c r="I105" s="23"/>
      <c r="J105" s="295"/>
      <c r="K105" s="295"/>
      <c r="L105" s="166"/>
      <c r="M105" s="23"/>
    </row>
    <row r="106" spans="1:13" x14ac:dyDescent="0.2">
      <c r="A106" s="272" t="s">
        <v>12</v>
      </c>
      <c r="B106" s="212"/>
      <c r="C106" s="266"/>
      <c r="D106" s="166"/>
      <c r="E106" s="23"/>
      <c r="F106" s="212"/>
      <c r="G106" s="266"/>
      <c r="H106" s="166"/>
      <c r="I106" s="23"/>
      <c r="J106" s="212"/>
      <c r="K106" s="266"/>
      <c r="L106" s="166"/>
      <c r="M106" s="23"/>
    </row>
    <row r="107" spans="1:13" x14ac:dyDescent="0.2">
      <c r="A107" s="272" t="s">
        <v>13</v>
      </c>
      <c r="B107" s="212"/>
      <c r="C107" s="266"/>
      <c r="D107" s="166"/>
      <c r="E107" s="23"/>
      <c r="F107" s="212"/>
      <c r="G107" s="266"/>
      <c r="H107" s="166"/>
      <c r="I107" s="23"/>
      <c r="J107" s="212"/>
      <c r="K107" s="266"/>
      <c r="L107" s="166"/>
      <c r="M107" s="23"/>
    </row>
    <row r="108" spans="1:13" ht="15.75" x14ac:dyDescent="0.2">
      <c r="A108" s="21" t="s">
        <v>359</v>
      </c>
      <c r="B108" s="211"/>
      <c r="C108" s="145"/>
      <c r="D108" s="166"/>
      <c r="E108" s="23"/>
      <c r="F108" s="211"/>
      <c r="G108" s="145"/>
      <c r="H108" s="166"/>
      <c r="I108" s="23"/>
      <c r="J108" s="145"/>
      <c r="K108" s="44"/>
      <c r="L108" s="231"/>
      <c r="M108" s="27"/>
    </row>
    <row r="109" spans="1:13" ht="15.75" x14ac:dyDescent="0.2">
      <c r="A109" s="21" t="s">
        <v>360</v>
      </c>
      <c r="B109" s="211"/>
      <c r="C109" s="211"/>
      <c r="D109" s="166"/>
      <c r="E109" s="23"/>
      <c r="F109" s="211"/>
      <c r="G109" s="211"/>
      <c r="H109" s="166"/>
      <c r="I109" s="23"/>
      <c r="J109" s="145"/>
      <c r="K109" s="44"/>
      <c r="L109" s="231"/>
      <c r="M109" s="27"/>
    </row>
    <row r="110" spans="1:13" ht="15.75" x14ac:dyDescent="0.2">
      <c r="A110" s="38" t="s">
        <v>416</v>
      </c>
      <c r="B110" s="211"/>
      <c r="C110" s="211"/>
      <c r="D110" s="166"/>
      <c r="E110" s="23"/>
      <c r="F110" s="211"/>
      <c r="G110" s="211"/>
      <c r="H110" s="166"/>
      <c r="I110" s="23"/>
      <c r="J110" s="145"/>
      <c r="K110" s="44"/>
      <c r="L110" s="231"/>
      <c r="M110" s="27"/>
    </row>
    <row r="111" spans="1:13" ht="15.75" x14ac:dyDescent="0.2">
      <c r="A111" s="21" t="s">
        <v>362</v>
      </c>
      <c r="B111" s="211"/>
      <c r="C111" s="211"/>
      <c r="D111" s="166"/>
      <c r="E111" s="23"/>
      <c r="F111" s="211"/>
      <c r="G111" s="211"/>
      <c r="H111" s="166"/>
      <c r="I111" s="23"/>
      <c r="J111" s="145"/>
      <c r="K111" s="44"/>
      <c r="L111" s="231"/>
      <c r="M111" s="27"/>
    </row>
    <row r="112" spans="1:13" ht="15.75" x14ac:dyDescent="0.2">
      <c r="A112" s="13" t="s">
        <v>342</v>
      </c>
      <c r="B112" s="284"/>
      <c r="C112" s="159"/>
      <c r="D112" s="171"/>
      <c r="E112" s="24"/>
      <c r="F112" s="284"/>
      <c r="G112" s="159"/>
      <c r="H112" s="171"/>
      <c r="I112" s="24"/>
      <c r="J112" s="159"/>
      <c r="K112" s="213"/>
      <c r="L112" s="402"/>
      <c r="M112" s="11"/>
    </row>
    <row r="113" spans="1:14" x14ac:dyDescent="0.2">
      <c r="A113" s="21" t="s">
        <v>9</v>
      </c>
      <c r="B113" s="211"/>
      <c r="C113" s="145"/>
      <c r="D113" s="166"/>
      <c r="E113" s="23"/>
      <c r="F113" s="211"/>
      <c r="G113" s="145"/>
      <c r="H113" s="166"/>
      <c r="I113" s="23"/>
      <c r="J113" s="145"/>
      <c r="K113" s="44"/>
      <c r="L113" s="231"/>
      <c r="M113" s="27"/>
    </row>
    <row r="114" spans="1:14" x14ac:dyDescent="0.2">
      <c r="A114" s="21" t="s">
        <v>10</v>
      </c>
      <c r="B114" s="211"/>
      <c r="C114" s="145"/>
      <c r="D114" s="166"/>
      <c r="E114" s="23"/>
      <c r="F114" s="211"/>
      <c r="G114" s="145"/>
      <c r="H114" s="166"/>
      <c r="I114" s="23"/>
      <c r="J114" s="145"/>
      <c r="K114" s="44"/>
      <c r="L114" s="231"/>
      <c r="M114" s="27"/>
    </row>
    <row r="115" spans="1:14" x14ac:dyDescent="0.2">
      <c r="A115" s="21" t="s">
        <v>26</v>
      </c>
      <c r="B115" s="211"/>
      <c r="C115" s="145"/>
      <c r="D115" s="166"/>
      <c r="E115" s="23"/>
      <c r="F115" s="211"/>
      <c r="G115" s="145"/>
      <c r="H115" s="166"/>
      <c r="I115" s="23"/>
      <c r="J115" s="145"/>
      <c r="K115" s="44"/>
      <c r="L115" s="231"/>
      <c r="M115" s="27"/>
    </row>
    <row r="116" spans="1:14" x14ac:dyDescent="0.2">
      <c r="A116" s="272" t="s">
        <v>15</v>
      </c>
      <c r="B116" s="258"/>
      <c r="C116" s="258"/>
      <c r="D116" s="166"/>
      <c r="E116" s="23"/>
      <c r="F116" s="665"/>
      <c r="G116" s="258"/>
      <c r="H116" s="166"/>
      <c r="I116" s="23"/>
      <c r="J116" s="667"/>
      <c r="K116" s="267"/>
      <c r="L116" s="166"/>
      <c r="M116" s="23"/>
    </row>
    <row r="117" spans="1:14" ht="15.75" x14ac:dyDescent="0.2">
      <c r="A117" s="21" t="s">
        <v>363</v>
      </c>
      <c r="B117" s="211"/>
      <c r="C117" s="211"/>
      <c r="D117" s="166"/>
      <c r="E117" s="23"/>
      <c r="F117" s="211"/>
      <c r="G117" s="211"/>
      <c r="H117" s="166"/>
      <c r="I117" s="23"/>
      <c r="J117" s="145"/>
      <c r="K117" s="44"/>
      <c r="L117" s="231"/>
      <c r="M117" s="27"/>
    </row>
    <row r="118" spans="1:14" ht="15.75" x14ac:dyDescent="0.2">
      <c r="A118" s="21" t="s">
        <v>364</v>
      </c>
      <c r="B118" s="211"/>
      <c r="C118" s="211"/>
      <c r="D118" s="166"/>
      <c r="E118" s="23"/>
      <c r="F118" s="211"/>
      <c r="G118" s="211"/>
      <c r="H118" s="166"/>
      <c r="I118" s="23"/>
      <c r="J118" s="145"/>
      <c r="K118" s="44"/>
      <c r="L118" s="231"/>
      <c r="M118" s="27"/>
    </row>
    <row r="119" spans="1:14" ht="15.75" x14ac:dyDescent="0.2">
      <c r="A119" s="21" t="s">
        <v>362</v>
      </c>
      <c r="B119" s="211"/>
      <c r="C119" s="211"/>
      <c r="D119" s="166"/>
      <c r="E119" s="23"/>
      <c r="F119" s="211"/>
      <c r="G119" s="211"/>
      <c r="H119" s="166"/>
      <c r="I119" s="23"/>
      <c r="J119" s="145"/>
      <c r="K119" s="44"/>
      <c r="L119" s="231"/>
      <c r="M119" s="27"/>
    </row>
    <row r="120" spans="1:14" ht="15.75" x14ac:dyDescent="0.2">
      <c r="A120" s="13" t="s">
        <v>343</v>
      </c>
      <c r="B120" s="284"/>
      <c r="C120" s="159"/>
      <c r="D120" s="171"/>
      <c r="E120" s="24"/>
      <c r="F120" s="284"/>
      <c r="G120" s="159"/>
      <c r="H120" s="171"/>
      <c r="I120" s="24"/>
      <c r="J120" s="159"/>
      <c r="K120" s="213"/>
      <c r="L120" s="402"/>
      <c r="M120" s="11"/>
    </row>
    <row r="121" spans="1:14" x14ac:dyDescent="0.2">
      <c r="A121" s="21" t="s">
        <v>9</v>
      </c>
      <c r="B121" s="211"/>
      <c r="C121" s="145"/>
      <c r="D121" s="166"/>
      <c r="E121" s="23"/>
      <c r="F121" s="211"/>
      <c r="G121" s="145"/>
      <c r="H121" s="166"/>
      <c r="I121" s="23"/>
      <c r="J121" s="145"/>
      <c r="K121" s="44"/>
      <c r="L121" s="231"/>
      <c r="M121" s="27"/>
    </row>
    <row r="122" spans="1:14" x14ac:dyDescent="0.2">
      <c r="A122" s="21" t="s">
        <v>10</v>
      </c>
      <c r="B122" s="211"/>
      <c r="C122" s="145"/>
      <c r="D122" s="166"/>
      <c r="E122" s="23"/>
      <c r="F122" s="211"/>
      <c r="G122" s="145"/>
      <c r="H122" s="166"/>
      <c r="I122" s="23"/>
      <c r="J122" s="145"/>
      <c r="K122" s="44"/>
      <c r="L122" s="231"/>
      <c r="M122" s="27"/>
    </row>
    <row r="123" spans="1:14" x14ac:dyDescent="0.2">
      <c r="A123" s="21" t="s">
        <v>26</v>
      </c>
      <c r="B123" s="211"/>
      <c r="C123" s="145"/>
      <c r="D123" s="166"/>
      <c r="E123" s="23"/>
      <c r="F123" s="211"/>
      <c r="G123" s="145"/>
      <c r="H123" s="166"/>
      <c r="I123" s="23"/>
      <c r="J123" s="145"/>
      <c r="K123" s="44"/>
      <c r="L123" s="231"/>
      <c r="M123" s="27"/>
    </row>
    <row r="124" spans="1:14" x14ac:dyDescent="0.2">
      <c r="A124" s="272" t="s">
        <v>14</v>
      </c>
      <c r="B124" s="258"/>
      <c r="C124" s="258"/>
      <c r="D124" s="166"/>
      <c r="E124" s="23"/>
      <c r="F124" s="665"/>
      <c r="G124" s="258"/>
      <c r="H124" s="166"/>
      <c r="I124" s="23"/>
      <c r="J124" s="667"/>
      <c r="K124" s="267"/>
      <c r="L124" s="166"/>
      <c r="M124" s="23"/>
    </row>
    <row r="125" spans="1:14" ht="15.75" x14ac:dyDescent="0.2">
      <c r="A125" s="21" t="s">
        <v>369</v>
      </c>
      <c r="B125" s="211"/>
      <c r="C125" s="211"/>
      <c r="D125" s="166"/>
      <c r="E125" s="23"/>
      <c r="F125" s="211"/>
      <c r="G125" s="211"/>
      <c r="H125" s="166"/>
      <c r="I125" s="23"/>
      <c r="J125" s="145"/>
      <c r="K125" s="44"/>
      <c r="L125" s="231"/>
      <c r="M125" s="27"/>
    </row>
    <row r="126" spans="1:14" ht="15.75" x14ac:dyDescent="0.2">
      <c r="A126" s="21" t="s">
        <v>361</v>
      </c>
      <c r="B126" s="211"/>
      <c r="C126" s="211"/>
      <c r="D126" s="166"/>
      <c r="E126" s="23"/>
      <c r="F126" s="211"/>
      <c r="G126" s="211"/>
      <c r="H126" s="166"/>
      <c r="I126" s="23"/>
      <c r="J126" s="145"/>
      <c r="K126" s="44"/>
      <c r="L126" s="231"/>
      <c r="M126" s="27"/>
    </row>
    <row r="127" spans="1:14" ht="15.75" x14ac:dyDescent="0.2">
      <c r="A127" s="10" t="s">
        <v>362</v>
      </c>
      <c r="B127" s="45"/>
      <c r="C127" s="45"/>
      <c r="D127" s="167"/>
      <c r="E127" s="22"/>
      <c r="F127" s="666"/>
      <c r="G127" s="45"/>
      <c r="H127" s="167"/>
      <c r="I127" s="22"/>
      <c r="J127" s="668"/>
      <c r="K127" s="45"/>
      <c r="L127" s="232"/>
      <c r="M127" s="22"/>
    </row>
    <row r="128" spans="1:14" x14ac:dyDescent="0.2">
      <c r="A128" s="155"/>
      <c r="L128" s="26"/>
      <c r="M128" s="26"/>
      <c r="N128" s="26"/>
    </row>
    <row r="129" spans="1:14" x14ac:dyDescent="0.2">
      <c r="L129" s="26"/>
      <c r="M129" s="26"/>
      <c r="N129" s="26"/>
    </row>
    <row r="130" spans="1:14" ht="15.75" x14ac:dyDescent="0.25">
      <c r="A130" s="165" t="s">
        <v>27</v>
      </c>
    </row>
    <row r="131" spans="1:14" ht="15.75" x14ac:dyDescent="0.25">
      <c r="B131" s="694"/>
      <c r="C131" s="694"/>
      <c r="D131" s="694"/>
      <c r="E131" s="541"/>
      <c r="F131" s="694"/>
      <c r="G131" s="694"/>
      <c r="H131" s="694"/>
      <c r="I131" s="541"/>
      <c r="J131" s="694"/>
      <c r="K131" s="694"/>
      <c r="L131" s="694"/>
      <c r="M131" s="541"/>
    </row>
    <row r="132" spans="1:14" s="3" customFormat="1" x14ac:dyDescent="0.2">
      <c r="A132" s="144"/>
      <c r="B132" s="695" t="s">
        <v>0</v>
      </c>
      <c r="C132" s="696"/>
      <c r="D132" s="696"/>
      <c r="E132" s="539"/>
      <c r="F132" s="695" t="s">
        <v>1</v>
      </c>
      <c r="G132" s="696"/>
      <c r="H132" s="696"/>
      <c r="I132" s="540"/>
      <c r="J132" s="695" t="s">
        <v>2</v>
      </c>
      <c r="K132" s="696"/>
      <c r="L132" s="696"/>
      <c r="M132" s="540"/>
      <c r="N132" s="148"/>
    </row>
    <row r="133" spans="1:14" s="3" customFormat="1" x14ac:dyDescent="0.2">
      <c r="A133" s="140"/>
      <c r="B133" s="152" t="s">
        <v>412</v>
      </c>
      <c r="C133" s="152" t="s">
        <v>413</v>
      </c>
      <c r="D133" s="222" t="s">
        <v>3</v>
      </c>
      <c r="E133" s="281" t="s">
        <v>29</v>
      </c>
      <c r="F133" s="152" t="s">
        <v>412</v>
      </c>
      <c r="G133" s="152" t="s">
        <v>413</v>
      </c>
      <c r="H133" s="203" t="s">
        <v>3</v>
      </c>
      <c r="I133" s="162" t="s">
        <v>29</v>
      </c>
      <c r="J133" s="152" t="s">
        <v>412</v>
      </c>
      <c r="K133" s="152" t="s">
        <v>413</v>
      </c>
      <c r="L133" s="223" t="s">
        <v>3</v>
      </c>
      <c r="M133" s="162" t="s">
        <v>29</v>
      </c>
      <c r="N133" s="148"/>
    </row>
    <row r="134" spans="1:14" s="3" customFormat="1" x14ac:dyDescent="0.2">
      <c r="A134" s="662"/>
      <c r="B134" s="156"/>
      <c r="C134" s="156"/>
      <c r="D134" s="223" t="s">
        <v>4</v>
      </c>
      <c r="E134" s="156" t="s">
        <v>30</v>
      </c>
      <c r="F134" s="161"/>
      <c r="G134" s="161"/>
      <c r="H134" s="203" t="s">
        <v>4</v>
      </c>
      <c r="I134" s="156" t="s">
        <v>30</v>
      </c>
      <c r="J134" s="156"/>
      <c r="K134" s="156"/>
      <c r="L134" s="150" t="s">
        <v>4</v>
      </c>
      <c r="M134" s="156" t="s">
        <v>30</v>
      </c>
      <c r="N134" s="148"/>
    </row>
    <row r="135" spans="1:14" s="3" customFormat="1" ht="15.75" x14ac:dyDescent="0.2">
      <c r="A135" s="14" t="s">
        <v>365</v>
      </c>
      <c r="B135" s="213"/>
      <c r="C135" s="285"/>
      <c r="D135" s="326"/>
      <c r="E135" s="11"/>
      <c r="F135" s="292"/>
      <c r="G135" s="293"/>
      <c r="H135" s="405"/>
      <c r="I135" s="24"/>
      <c r="J135" s="294"/>
      <c r="K135" s="294"/>
      <c r="L135" s="401"/>
      <c r="M135" s="11"/>
      <c r="N135" s="148"/>
    </row>
    <row r="136" spans="1:14" s="3" customFormat="1" ht="15.75" x14ac:dyDescent="0.2">
      <c r="A136" s="13" t="s">
        <v>370</v>
      </c>
      <c r="B136" s="213"/>
      <c r="C136" s="285"/>
      <c r="D136" s="171"/>
      <c r="E136" s="11"/>
      <c r="F136" s="213"/>
      <c r="G136" s="285"/>
      <c r="H136" s="406"/>
      <c r="I136" s="24"/>
      <c r="J136" s="284"/>
      <c r="K136" s="284"/>
      <c r="L136" s="402"/>
      <c r="M136" s="11"/>
      <c r="N136" s="148"/>
    </row>
    <row r="137" spans="1:14" s="3" customFormat="1" ht="15.75" x14ac:dyDescent="0.2">
      <c r="A137" s="13" t="s">
        <v>367</v>
      </c>
      <c r="B137" s="213"/>
      <c r="C137" s="285"/>
      <c r="D137" s="171"/>
      <c r="E137" s="11"/>
      <c r="F137" s="213"/>
      <c r="G137" s="285"/>
      <c r="H137" s="406"/>
      <c r="I137" s="24"/>
      <c r="J137" s="284"/>
      <c r="K137" s="284"/>
      <c r="L137" s="402"/>
      <c r="M137" s="11"/>
      <c r="N137" s="148"/>
    </row>
    <row r="138" spans="1:14" s="3" customFormat="1" ht="15.75" x14ac:dyDescent="0.2">
      <c r="A138" s="41" t="s">
        <v>368</v>
      </c>
      <c r="B138" s="253"/>
      <c r="C138" s="291"/>
      <c r="D138" s="169"/>
      <c r="E138" s="9"/>
      <c r="F138" s="253"/>
      <c r="G138" s="291"/>
      <c r="H138" s="407"/>
      <c r="I138" s="36"/>
      <c r="J138" s="290"/>
      <c r="K138" s="290"/>
      <c r="L138" s="403"/>
      <c r="M138" s="36"/>
      <c r="N138" s="148"/>
    </row>
    <row r="139" spans="1:14" s="3" customFormat="1"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68"/>
      <c r="B141" s="33"/>
      <c r="C141" s="33"/>
      <c r="D141" s="159"/>
      <c r="E141" s="159"/>
      <c r="F141" s="33"/>
      <c r="G141" s="33"/>
      <c r="H141" s="159"/>
      <c r="I141" s="159"/>
      <c r="J141" s="33"/>
      <c r="K141" s="33"/>
      <c r="L141" s="159"/>
      <c r="M141" s="159"/>
      <c r="N141" s="148"/>
    </row>
    <row r="142" spans="1:14" x14ac:dyDescent="0.2">
      <c r="A142" s="146"/>
      <c r="B142" s="146"/>
      <c r="C142" s="146"/>
      <c r="D142" s="146"/>
      <c r="E142" s="146"/>
      <c r="F142" s="146"/>
      <c r="G142" s="146"/>
      <c r="H142" s="146"/>
      <c r="I142" s="146"/>
      <c r="J142" s="146"/>
      <c r="K142" s="146"/>
      <c r="L142" s="146"/>
      <c r="M142" s="146"/>
      <c r="N142" s="146"/>
    </row>
    <row r="143" spans="1:14" ht="15.75" x14ac:dyDescent="0.25">
      <c r="B143" s="142"/>
      <c r="C143" s="142"/>
      <c r="D143" s="142"/>
      <c r="E143" s="142"/>
      <c r="F143" s="142"/>
      <c r="G143" s="142"/>
      <c r="H143" s="142"/>
      <c r="I143" s="142"/>
      <c r="J143" s="142"/>
      <c r="K143" s="142"/>
      <c r="L143" s="142"/>
      <c r="M143" s="142"/>
      <c r="N143" s="142"/>
    </row>
    <row r="144" spans="1:14" ht="15.75" x14ac:dyDescent="0.25">
      <c r="B144" s="157"/>
      <c r="C144" s="157"/>
      <c r="D144" s="157"/>
      <c r="E144" s="157"/>
      <c r="F144" s="157"/>
      <c r="G144" s="157"/>
      <c r="H144" s="157"/>
      <c r="I144" s="157"/>
      <c r="J144" s="157"/>
      <c r="K144" s="157"/>
      <c r="L144" s="157"/>
      <c r="M144" s="157"/>
      <c r="N144" s="157"/>
    </row>
    <row r="145" spans="2:14" ht="15.75" x14ac:dyDescent="0.25">
      <c r="B145" s="157"/>
      <c r="C145" s="157"/>
      <c r="D145" s="157"/>
      <c r="E145" s="157"/>
      <c r="F145" s="157"/>
      <c r="G145" s="157"/>
      <c r="H145" s="157"/>
      <c r="I145" s="157"/>
      <c r="J145" s="157"/>
      <c r="K145" s="157"/>
      <c r="L145" s="157"/>
      <c r="M145" s="157"/>
      <c r="N145" s="157"/>
    </row>
  </sheetData>
  <mergeCells count="31">
    <mergeCell ref="B131:D131"/>
    <mergeCell ref="F131:H131"/>
    <mergeCell ref="J131:L131"/>
    <mergeCell ref="B132:D132"/>
    <mergeCell ref="F132:H132"/>
    <mergeCell ref="J132:L132"/>
    <mergeCell ref="B44:D44"/>
    <mergeCell ref="B62:D62"/>
    <mergeCell ref="F62:H62"/>
    <mergeCell ref="J62:L62"/>
    <mergeCell ref="B63:D63"/>
    <mergeCell ref="F63:H63"/>
    <mergeCell ref="J63:L63"/>
    <mergeCell ref="D40:F40"/>
    <mergeCell ref="G40:I40"/>
    <mergeCell ref="J40:L40"/>
    <mergeCell ref="B42:D42"/>
    <mergeCell ref="F42:H42"/>
    <mergeCell ref="J42:L42"/>
    <mergeCell ref="B18:D18"/>
    <mergeCell ref="F18:H18"/>
    <mergeCell ref="J18:L18"/>
    <mergeCell ref="B19:D19"/>
    <mergeCell ref="F19:H19"/>
    <mergeCell ref="J19:L19"/>
    <mergeCell ref="B2:D2"/>
    <mergeCell ref="F2:H2"/>
    <mergeCell ref="J2:L2"/>
    <mergeCell ref="B4:D4"/>
    <mergeCell ref="F4:H4"/>
    <mergeCell ref="J4:L4"/>
  </mergeCells>
  <conditionalFormatting sqref="B116">
    <cfRule type="expression" dxfId="360" priority="45">
      <formula>kvartal &lt; 4</formula>
    </cfRule>
  </conditionalFormatting>
  <conditionalFormatting sqref="C116">
    <cfRule type="expression" dxfId="359" priority="44">
      <formula>kvartal &lt; 4</formula>
    </cfRule>
  </conditionalFormatting>
  <conditionalFormatting sqref="B124">
    <cfRule type="expression" dxfId="358" priority="43">
      <formula>kvartal &lt; 4</formula>
    </cfRule>
  </conditionalFormatting>
  <conditionalFormatting sqref="C124">
    <cfRule type="expression" dxfId="357" priority="42">
      <formula>kvartal &lt; 4</formula>
    </cfRule>
  </conditionalFormatting>
  <conditionalFormatting sqref="F116">
    <cfRule type="expression" dxfId="356" priority="31">
      <formula>kvartal &lt; 4</formula>
    </cfRule>
  </conditionalFormatting>
  <conditionalFormatting sqref="G116">
    <cfRule type="expression" dxfId="355" priority="30">
      <formula>kvartal &lt; 4</formula>
    </cfRule>
  </conditionalFormatting>
  <conditionalFormatting sqref="F124:G124">
    <cfRule type="expression" dxfId="354" priority="29">
      <formula>kvartal &lt; 4</formula>
    </cfRule>
  </conditionalFormatting>
  <conditionalFormatting sqref="J116:K116">
    <cfRule type="expression" dxfId="353" priority="12">
      <formula>kvartal &lt; 4</formula>
    </cfRule>
  </conditionalFormatting>
  <conditionalFormatting sqref="J124:K124">
    <cfRule type="expression" dxfId="352" priority="11">
      <formula>kvartal &lt; 4</formula>
    </cfRule>
  </conditionalFormatting>
  <conditionalFormatting sqref="A50:A52">
    <cfRule type="expression" dxfId="351" priority="8">
      <formula>kvartal &lt; 4</formula>
    </cfRule>
  </conditionalFormatting>
  <conditionalFormatting sqref="A69:A74">
    <cfRule type="expression" dxfId="350" priority="7">
      <formula>kvartal &lt; 4</formula>
    </cfRule>
  </conditionalFormatting>
  <conditionalFormatting sqref="A80:A85">
    <cfRule type="expression" dxfId="349" priority="6">
      <formula>kvartal &lt; 4</formula>
    </cfRule>
  </conditionalFormatting>
  <conditionalFormatting sqref="A90:A95">
    <cfRule type="expression" dxfId="348" priority="5">
      <formula>kvartal &lt; 4</formula>
    </cfRule>
  </conditionalFormatting>
  <conditionalFormatting sqref="A102:A107">
    <cfRule type="expression" dxfId="347" priority="4">
      <formula>kvartal &lt; 4</formula>
    </cfRule>
  </conditionalFormatting>
  <conditionalFormatting sqref="A116">
    <cfRule type="expression" dxfId="346" priority="3">
      <formula>kvartal &lt; 4</formula>
    </cfRule>
  </conditionalFormatting>
  <conditionalFormatting sqref="A124">
    <cfRule type="expression" dxfId="345" priority="2">
      <formula>kvartal &lt; 4</formula>
    </cfRule>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27"/>
  <dimension ref="A1:N145"/>
  <sheetViews>
    <sheetView showGridLines="0" zoomScaleNormal="100" workbookViewId="0">
      <selection activeCell="A111" sqref="A111"/>
    </sheetView>
  </sheetViews>
  <sheetFormatPr baseColWidth="10" defaultColWidth="11.42578125" defaultRowHeight="12.75" x14ac:dyDescent="0.2"/>
  <cols>
    <col min="1" max="1" width="41.57031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134</v>
      </c>
      <c r="B1" s="663"/>
      <c r="C1" s="225" t="s">
        <v>71</v>
      </c>
      <c r="D1" s="26"/>
      <c r="E1" s="26"/>
      <c r="F1" s="26"/>
      <c r="G1" s="26"/>
      <c r="H1" s="26"/>
      <c r="I1" s="26"/>
      <c r="J1" s="26"/>
      <c r="K1" s="26"/>
      <c r="L1" s="26"/>
      <c r="M1" s="26"/>
    </row>
    <row r="2" spans="1:14" ht="15.75" x14ac:dyDescent="0.25">
      <c r="A2" s="165" t="s">
        <v>28</v>
      </c>
      <c r="B2" s="699"/>
      <c r="C2" s="699"/>
      <c r="D2" s="699"/>
      <c r="E2" s="275"/>
      <c r="F2" s="699"/>
      <c r="G2" s="699"/>
      <c r="H2" s="699"/>
      <c r="I2" s="275"/>
      <c r="J2" s="699"/>
      <c r="K2" s="699"/>
      <c r="L2" s="699"/>
      <c r="M2" s="275"/>
    </row>
    <row r="3" spans="1:14" ht="15.75" x14ac:dyDescent="0.25">
      <c r="A3" s="163"/>
      <c r="B3" s="275"/>
      <c r="C3" s="275"/>
      <c r="D3" s="275"/>
      <c r="E3" s="275"/>
      <c r="F3" s="275"/>
      <c r="G3" s="275"/>
      <c r="H3" s="275"/>
      <c r="I3" s="275"/>
      <c r="J3" s="275"/>
      <c r="K3" s="275"/>
      <c r="L3" s="275"/>
      <c r="M3" s="275"/>
    </row>
    <row r="4" spans="1:14" x14ac:dyDescent="0.2">
      <c r="A4" s="144"/>
      <c r="B4" s="695" t="s">
        <v>0</v>
      </c>
      <c r="C4" s="696"/>
      <c r="D4" s="696"/>
      <c r="E4" s="277"/>
      <c r="F4" s="695" t="s">
        <v>1</v>
      </c>
      <c r="G4" s="696"/>
      <c r="H4" s="696"/>
      <c r="I4" s="280"/>
      <c r="J4" s="695" t="s">
        <v>2</v>
      </c>
      <c r="K4" s="696"/>
      <c r="L4" s="696"/>
      <c r="M4" s="280"/>
    </row>
    <row r="5" spans="1:14" x14ac:dyDescent="0.2">
      <c r="A5" s="158"/>
      <c r="B5" s="152" t="s">
        <v>412</v>
      </c>
      <c r="C5" s="152" t="s">
        <v>413</v>
      </c>
      <c r="D5" s="222" t="s">
        <v>3</v>
      </c>
      <c r="E5" s="281" t="s">
        <v>29</v>
      </c>
      <c r="F5" s="152" t="s">
        <v>412</v>
      </c>
      <c r="G5" s="152" t="s">
        <v>413</v>
      </c>
      <c r="H5" s="222" t="s">
        <v>3</v>
      </c>
      <c r="I5" s="162" t="s">
        <v>29</v>
      </c>
      <c r="J5" s="152" t="s">
        <v>412</v>
      </c>
      <c r="K5" s="152" t="s">
        <v>413</v>
      </c>
      <c r="L5" s="222" t="s">
        <v>3</v>
      </c>
      <c r="M5" s="162" t="s">
        <v>29</v>
      </c>
    </row>
    <row r="6" spans="1:14" x14ac:dyDescent="0.2">
      <c r="A6" s="661"/>
      <c r="B6" s="156"/>
      <c r="C6" s="156"/>
      <c r="D6" s="223" t="s">
        <v>4</v>
      </c>
      <c r="E6" s="156" t="s">
        <v>30</v>
      </c>
      <c r="F6" s="161"/>
      <c r="G6" s="161"/>
      <c r="H6" s="222" t="s">
        <v>4</v>
      </c>
      <c r="I6" s="156" t="s">
        <v>30</v>
      </c>
      <c r="J6" s="161"/>
      <c r="K6" s="161"/>
      <c r="L6" s="222" t="s">
        <v>4</v>
      </c>
      <c r="M6" s="156" t="s">
        <v>30</v>
      </c>
    </row>
    <row r="7" spans="1:14" ht="15.75" x14ac:dyDescent="0.2">
      <c r="A7" s="14" t="s">
        <v>23</v>
      </c>
      <c r="B7" s="282"/>
      <c r="C7" s="283"/>
      <c r="D7" s="326"/>
      <c r="E7" s="11"/>
      <c r="F7" s="282">
        <v>25990.417409999998</v>
      </c>
      <c r="G7" s="283">
        <v>27354.006140000001</v>
      </c>
      <c r="H7" s="326">
        <f t="shared" ref="H7:H12" si="0">IF(F7=0, "    ---- ", IF(ABS(ROUND(100/F7*G7-100,1))&lt;999,ROUND(100/F7*G7-100,1),IF(ROUND(100/F7*G7-100,1)&gt;999,999,-999)))</f>
        <v>5.2</v>
      </c>
      <c r="I7" s="160">
        <f>IFERROR(100/'Skjema total MA'!F7*G7,0)</f>
        <v>0.70092524810597479</v>
      </c>
      <c r="J7" s="284">
        <f t="shared" ref="J7:K12" si="1">SUM(B7,F7)</f>
        <v>25990.417409999998</v>
      </c>
      <c r="K7" s="285">
        <f t="shared" si="1"/>
        <v>27354.006140000001</v>
      </c>
      <c r="L7" s="401">
        <f t="shared" ref="L7:L12" si="2">IF(J7=0, "    ---- ", IF(ABS(ROUND(100/J7*K7-100,1))&lt;999,ROUND(100/J7*K7-100,1),IF(ROUND(100/J7*K7-100,1)&gt;999,999,-999)))</f>
        <v>5.2</v>
      </c>
      <c r="M7" s="11">
        <f>IFERROR(100/'Skjema total MA'!I7*K7,0)</f>
        <v>0.48954359278749199</v>
      </c>
    </row>
    <row r="8" spans="1:14" ht="15.75" x14ac:dyDescent="0.2">
      <c r="A8" s="21" t="s">
        <v>25</v>
      </c>
      <c r="B8" s="258"/>
      <c r="C8" s="259"/>
      <c r="D8" s="166"/>
      <c r="E8" s="27"/>
      <c r="F8" s="262"/>
      <c r="G8" s="263"/>
      <c r="H8" s="166"/>
      <c r="I8" s="175"/>
      <c r="J8" s="211"/>
      <c r="K8" s="264"/>
      <c r="L8" s="166"/>
      <c r="M8" s="27"/>
    </row>
    <row r="9" spans="1:14" ht="15.75" x14ac:dyDescent="0.2">
      <c r="A9" s="21" t="s">
        <v>24</v>
      </c>
      <c r="B9" s="258"/>
      <c r="C9" s="259"/>
      <c r="D9" s="166"/>
      <c r="E9" s="27"/>
      <c r="F9" s="262"/>
      <c r="G9" s="263"/>
      <c r="H9" s="166"/>
      <c r="I9" s="175"/>
      <c r="J9" s="211"/>
      <c r="K9" s="264"/>
      <c r="L9" s="166"/>
      <c r="M9" s="27"/>
    </row>
    <row r="10" spans="1:14" ht="15.75" x14ac:dyDescent="0.2">
      <c r="A10" s="13" t="s">
        <v>341</v>
      </c>
      <c r="B10" s="286"/>
      <c r="C10" s="287"/>
      <c r="D10" s="171"/>
      <c r="E10" s="11"/>
      <c r="F10" s="286">
        <v>816881.17992999998</v>
      </c>
      <c r="G10" s="287">
        <v>1131539.50517</v>
      </c>
      <c r="H10" s="171">
        <f t="shared" si="0"/>
        <v>38.5</v>
      </c>
      <c r="I10" s="160">
        <f>IFERROR(100/'Skjema total MA'!F10*G10,0)</f>
        <v>1.7345809163451857</v>
      </c>
      <c r="J10" s="284">
        <f t="shared" si="1"/>
        <v>816881.17992999998</v>
      </c>
      <c r="K10" s="285">
        <f t="shared" si="1"/>
        <v>1131539.50517</v>
      </c>
      <c r="L10" s="402">
        <f t="shared" si="2"/>
        <v>38.5</v>
      </c>
      <c r="M10" s="11">
        <f>IFERROR(100/'Skjema total MA'!I10*K10,0)</f>
        <v>1.3652824635986465</v>
      </c>
    </row>
    <row r="11" spans="1:14" s="43" customFormat="1" ht="15.75" x14ac:dyDescent="0.2">
      <c r="A11" s="13" t="s">
        <v>342</v>
      </c>
      <c r="B11" s="286"/>
      <c r="C11" s="287"/>
      <c r="D11" s="171"/>
      <c r="E11" s="11"/>
      <c r="F11" s="286">
        <v>4007.72</v>
      </c>
      <c r="G11" s="287">
        <v>3314.665</v>
      </c>
      <c r="H11" s="171">
        <f t="shared" si="0"/>
        <v>-17.3</v>
      </c>
      <c r="I11" s="160">
        <f>IFERROR(100/'Skjema total MA'!F11*G11,0)</f>
        <v>3.0906749985393711</v>
      </c>
      <c r="J11" s="284">
        <f t="shared" si="1"/>
        <v>4007.72</v>
      </c>
      <c r="K11" s="285">
        <f t="shared" si="1"/>
        <v>3314.665</v>
      </c>
      <c r="L11" s="402">
        <f t="shared" si="2"/>
        <v>-17.3</v>
      </c>
      <c r="M11" s="11">
        <f>IFERROR(100/'Skjema total MA'!I11*K11,0)</f>
        <v>2.8555427246993124</v>
      </c>
      <c r="N11" s="143"/>
    </row>
    <row r="12" spans="1:14" s="43" customFormat="1" ht="15.75" x14ac:dyDescent="0.2">
      <c r="A12" s="41" t="s">
        <v>343</v>
      </c>
      <c r="B12" s="288"/>
      <c r="C12" s="289"/>
      <c r="D12" s="169"/>
      <c r="E12" s="36"/>
      <c r="F12" s="288">
        <v>211.5581</v>
      </c>
      <c r="G12" s="289">
        <v>680.12275</v>
      </c>
      <c r="H12" s="169">
        <f t="shared" si="0"/>
        <v>221.5</v>
      </c>
      <c r="I12" s="169">
        <f>IFERROR(100/'Skjema total MA'!F12*G12,0)</f>
        <v>1.4116164425341589</v>
      </c>
      <c r="J12" s="290">
        <f t="shared" si="1"/>
        <v>211.5581</v>
      </c>
      <c r="K12" s="291">
        <f t="shared" si="1"/>
        <v>680.12275</v>
      </c>
      <c r="L12" s="403">
        <f t="shared" si="2"/>
        <v>221.5</v>
      </c>
      <c r="M12" s="36">
        <f>IFERROR(100/'Skjema total MA'!I12*K12,0)</f>
        <v>1.3159907992128024</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251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248</v>
      </c>
      <c r="B17" s="157"/>
      <c r="C17" s="157"/>
      <c r="D17" s="151"/>
      <c r="E17" s="151"/>
      <c r="F17" s="157"/>
      <c r="G17" s="157"/>
      <c r="H17" s="157"/>
      <c r="I17" s="157"/>
      <c r="J17" s="157"/>
      <c r="K17" s="157"/>
      <c r="L17" s="157"/>
      <c r="M17" s="157"/>
    </row>
    <row r="18" spans="1:14" ht="15.75" x14ac:dyDescent="0.25">
      <c r="B18" s="694"/>
      <c r="C18" s="694"/>
      <c r="D18" s="694"/>
      <c r="E18" s="275"/>
      <c r="F18" s="694"/>
      <c r="G18" s="694"/>
      <c r="H18" s="694"/>
      <c r="I18" s="275"/>
      <c r="J18" s="694"/>
      <c r="K18" s="694"/>
      <c r="L18" s="694"/>
      <c r="M18" s="275"/>
    </row>
    <row r="19" spans="1:14" x14ac:dyDescent="0.2">
      <c r="A19" s="144"/>
      <c r="B19" s="695" t="s">
        <v>0</v>
      </c>
      <c r="C19" s="696"/>
      <c r="D19" s="696"/>
      <c r="E19" s="277"/>
      <c r="F19" s="695" t="s">
        <v>1</v>
      </c>
      <c r="G19" s="696"/>
      <c r="H19" s="696"/>
      <c r="I19" s="280"/>
      <c r="J19" s="695" t="s">
        <v>2</v>
      </c>
      <c r="K19" s="696"/>
      <c r="L19" s="696"/>
      <c r="M19" s="280"/>
    </row>
    <row r="20" spans="1:14" x14ac:dyDescent="0.2">
      <c r="A20" s="140" t="s">
        <v>5</v>
      </c>
      <c r="B20" s="152" t="s">
        <v>412</v>
      </c>
      <c r="C20" s="152" t="s">
        <v>413</v>
      </c>
      <c r="D20" s="162" t="s">
        <v>3</v>
      </c>
      <c r="E20" s="281" t="s">
        <v>29</v>
      </c>
      <c r="F20" s="152" t="s">
        <v>412</v>
      </c>
      <c r="G20" s="152" t="s">
        <v>413</v>
      </c>
      <c r="H20" s="162" t="s">
        <v>3</v>
      </c>
      <c r="I20" s="162" t="s">
        <v>29</v>
      </c>
      <c r="J20" s="152" t="s">
        <v>412</v>
      </c>
      <c r="K20" s="152" t="s">
        <v>413</v>
      </c>
      <c r="L20" s="162" t="s">
        <v>3</v>
      </c>
      <c r="M20" s="162" t="s">
        <v>29</v>
      </c>
    </row>
    <row r="21" spans="1:14" x14ac:dyDescent="0.2">
      <c r="A21" s="662"/>
      <c r="B21" s="156"/>
      <c r="C21" s="156"/>
      <c r="D21" s="223" t="s">
        <v>4</v>
      </c>
      <c r="E21" s="156" t="s">
        <v>30</v>
      </c>
      <c r="F21" s="161"/>
      <c r="G21" s="161"/>
      <c r="H21" s="222" t="s">
        <v>4</v>
      </c>
      <c r="I21" s="156" t="s">
        <v>30</v>
      </c>
      <c r="J21" s="161"/>
      <c r="K21" s="161"/>
      <c r="L21" s="156" t="s">
        <v>4</v>
      </c>
      <c r="M21" s="156" t="s">
        <v>30</v>
      </c>
    </row>
    <row r="22" spans="1:14" ht="15.75" x14ac:dyDescent="0.2">
      <c r="A22" s="14" t="s">
        <v>23</v>
      </c>
      <c r="B22" s="286"/>
      <c r="C22" s="286"/>
      <c r="D22" s="326"/>
      <c r="E22" s="11"/>
      <c r="F22" s="294">
        <v>14663.18449</v>
      </c>
      <c r="G22" s="294">
        <v>16062.94795</v>
      </c>
      <c r="H22" s="326">
        <f t="shared" ref="H22:H35" si="3">IF(F22=0, "    ---- ", IF(ABS(ROUND(100/F22*G22-100,1))&lt;999,ROUND(100/F22*G22-100,1),IF(ROUND(100/F22*G22-100,1)&gt;999,999,-999)))</f>
        <v>9.5</v>
      </c>
      <c r="I22" s="11">
        <f>IFERROR(100/'Skjema total MA'!F22*G22,0)</f>
        <v>3.7946982280978325</v>
      </c>
      <c r="J22" s="292">
        <f t="shared" ref="J22:J35" si="4">SUM(B22,F22)</f>
        <v>14663.18449</v>
      </c>
      <c r="K22" s="292">
        <f t="shared" ref="K22:K35" si="5">SUM(C22,G22)</f>
        <v>16062.94795</v>
      </c>
      <c r="L22" s="401">
        <f t="shared" ref="L22:L35" si="6">IF(J22=0, "    ---- ", IF(ABS(ROUND(100/J22*K22-100,1))&lt;999,ROUND(100/J22*K22-100,1),IF(ROUND(100/J22*K22-100,1)&gt;999,999,-999)))</f>
        <v>9.5</v>
      </c>
      <c r="M22" s="24">
        <f>IFERROR(100/'Skjema total MA'!I22*K22,0)</f>
        <v>1.4544301520778651</v>
      </c>
    </row>
    <row r="23" spans="1:14" ht="15.75" x14ac:dyDescent="0.2">
      <c r="A23" s="545" t="s">
        <v>344</v>
      </c>
      <c r="B23" s="258"/>
      <c r="C23" s="258"/>
      <c r="D23" s="166"/>
      <c r="E23" s="11"/>
      <c r="F23" s="267">
        <v>76.087490000000003</v>
      </c>
      <c r="G23" s="267">
        <v>139.10195999999999</v>
      </c>
      <c r="H23" s="166">
        <f t="shared" si="3"/>
        <v>82.8</v>
      </c>
      <c r="I23" s="391">
        <f>IFERROR(100/'Skjema total MA'!F23*G23,0)</f>
        <v>0.20667738547247091</v>
      </c>
      <c r="J23" s="267">
        <f t="shared" si="4"/>
        <v>76.087490000000003</v>
      </c>
      <c r="K23" s="267">
        <f t="shared" si="5"/>
        <v>139.10195999999999</v>
      </c>
      <c r="L23" s="166">
        <f t="shared" si="6"/>
        <v>82.8</v>
      </c>
      <c r="M23" s="23">
        <f>IFERROR(100/'Skjema total MA'!I23*K23,0)</f>
        <v>3.4695087269129524E-2</v>
      </c>
    </row>
    <row r="24" spans="1:14" ht="15.75" x14ac:dyDescent="0.2">
      <c r="A24" s="545" t="s">
        <v>345</v>
      </c>
      <c r="B24" s="258"/>
      <c r="C24" s="258"/>
      <c r="D24" s="166"/>
      <c r="E24" s="11"/>
      <c r="F24" s="267"/>
      <c r="G24" s="267"/>
      <c r="H24" s="166"/>
      <c r="I24" s="391"/>
      <c r="J24" s="267"/>
      <c r="K24" s="267"/>
      <c r="L24" s="166"/>
      <c r="M24" s="23"/>
    </row>
    <row r="25" spans="1:14" ht="15.75" x14ac:dyDescent="0.2">
      <c r="A25" s="545" t="s">
        <v>346</v>
      </c>
      <c r="B25" s="258"/>
      <c r="C25" s="258"/>
      <c r="D25" s="166"/>
      <c r="E25" s="11"/>
      <c r="F25" s="267"/>
      <c r="G25" s="267"/>
      <c r="H25" s="166"/>
      <c r="I25" s="391"/>
      <c r="J25" s="267"/>
      <c r="K25" s="267"/>
      <c r="L25" s="166"/>
      <c r="M25" s="23"/>
    </row>
    <row r="26" spans="1:14" ht="15.75" x14ac:dyDescent="0.2">
      <c r="A26" s="545" t="s">
        <v>347</v>
      </c>
      <c r="B26" s="258"/>
      <c r="C26" s="258"/>
      <c r="D26" s="166"/>
      <c r="E26" s="11"/>
      <c r="F26" s="267">
        <v>14587.097</v>
      </c>
      <c r="G26" s="267">
        <v>15923.84599</v>
      </c>
      <c r="H26" s="166">
        <f t="shared" si="3"/>
        <v>9.1999999999999993</v>
      </c>
      <c r="I26" s="391">
        <f>IFERROR(100/'Skjema total MA'!F26*G26,0)</f>
        <v>4.5201596037682332</v>
      </c>
      <c r="J26" s="267">
        <f t="shared" si="4"/>
        <v>14587.097</v>
      </c>
      <c r="K26" s="267">
        <f t="shared" si="5"/>
        <v>15923.84599</v>
      </c>
      <c r="L26" s="166">
        <f t="shared" si="6"/>
        <v>9.1999999999999993</v>
      </c>
      <c r="M26" s="23">
        <f>IFERROR(100/'Skjema total MA'!I26*K26,0)</f>
        <v>4.5201596037682332</v>
      </c>
    </row>
    <row r="27" spans="1:14" x14ac:dyDescent="0.2">
      <c r="A27" s="545" t="s">
        <v>11</v>
      </c>
      <c r="B27" s="258"/>
      <c r="C27" s="258"/>
      <c r="D27" s="166"/>
      <c r="E27" s="11"/>
      <c r="F27" s="267"/>
      <c r="G27" s="267"/>
      <c r="H27" s="166"/>
      <c r="I27" s="391"/>
      <c r="J27" s="267"/>
      <c r="K27" s="267"/>
      <c r="L27" s="166"/>
      <c r="M27" s="23"/>
    </row>
    <row r="28" spans="1:14" ht="15.75" x14ac:dyDescent="0.2">
      <c r="A28" s="49" t="s">
        <v>252</v>
      </c>
      <c r="B28" s="44"/>
      <c r="C28" s="264"/>
      <c r="D28" s="166"/>
      <c r="E28" s="11"/>
      <c r="F28" s="211"/>
      <c r="G28" s="264"/>
      <c r="H28" s="166"/>
      <c r="I28" s="27"/>
      <c r="J28" s="44"/>
      <c r="K28" s="44"/>
      <c r="L28" s="231"/>
      <c r="M28" s="23"/>
    </row>
    <row r="29" spans="1:14" s="3" customFormat="1" ht="15.75" x14ac:dyDescent="0.2">
      <c r="A29" s="13" t="s">
        <v>341</v>
      </c>
      <c r="B29" s="213"/>
      <c r="C29" s="213"/>
      <c r="D29" s="171"/>
      <c r="E29" s="11"/>
      <c r="F29" s="284">
        <v>840067.88107999996</v>
      </c>
      <c r="G29" s="284">
        <v>1042641.2654499999</v>
      </c>
      <c r="H29" s="171">
        <f t="shared" si="3"/>
        <v>24.1</v>
      </c>
      <c r="I29" s="11">
        <f>IFERROR(100/'Skjema total MA'!F29*G29,0)</f>
        <v>4.1025148472318147</v>
      </c>
      <c r="J29" s="213">
        <f t="shared" si="4"/>
        <v>840067.88107999996</v>
      </c>
      <c r="K29" s="213">
        <f t="shared" si="5"/>
        <v>1042641.2654499999</v>
      </c>
      <c r="L29" s="402">
        <f t="shared" si="6"/>
        <v>24.1</v>
      </c>
      <c r="M29" s="24">
        <f>IFERROR(100/'Skjema total MA'!I29*K29,0)</f>
        <v>1.4637925675948007</v>
      </c>
      <c r="N29" s="148"/>
    </row>
    <row r="30" spans="1:14" s="3" customFormat="1" ht="15.75" x14ac:dyDescent="0.2">
      <c r="A30" s="545" t="s">
        <v>344</v>
      </c>
      <c r="B30" s="258"/>
      <c r="C30" s="258"/>
      <c r="D30" s="166"/>
      <c r="E30" s="11"/>
      <c r="F30" s="267">
        <v>110650.87475</v>
      </c>
      <c r="G30" s="267">
        <v>121283.28958</v>
      </c>
      <c r="H30" s="166">
        <f t="shared" si="3"/>
        <v>9.6</v>
      </c>
      <c r="I30" s="391">
        <f>IFERROR(100/'Skjema total MA'!F30*G30,0)</f>
        <v>2.6275140258347318</v>
      </c>
      <c r="J30" s="267">
        <f t="shared" si="4"/>
        <v>110650.87475</v>
      </c>
      <c r="K30" s="267">
        <f t="shared" si="5"/>
        <v>121283.28958</v>
      </c>
      <c r="L30" s="166">
        <f t="shared" si="6"/>
        <v>9.6</v>
      </c>
      <c r="M30" s="23">
        <f>IFERROR(100/'Skjema total MA'!I30*K30,0)</f>
        <v>0.66173548973855378</v>
      </c>
      <c r="N30" s="148"/>
    </row>
    <row r="31" spans="1:14" s="3" customFormat="1" ht="15.75" x14ac:dyDescent="0.2">
      <c r="A31" s="545" t="s">
        <v>345</v>
      </c>
      <c r="B31" s="258"/>
      <c r="C31" s="258"/>
      <c r="D31" s="166"/>
      <c r="E31" s="11"/>
      <c r="F31" s="267">
        <v>579823.62960999995</v>
      </c>
      <c r="G31" s="267">
        <v>653781.90281</v>
      </c>
      <c r="H31" s="166">
        <f t="shared" si="3"/>
        <v>12.8</v>
      </c>
      <c r="I31" s="391">
        <f>IFERROR(100/'Skjema total MA'!F31*G31,0)</f>
        <v>6.7030529284842508</v>
      </c>
      <c r="J31" s="267">
        <f t="shared" si="4"/>
        <v>579823.62960999995</v>
      </c>
      <c r="K31" s="267">
        <f t="shared" si="5"/>
        <v>653781.90281</v>
      </c>
      <c r="L31" s="166">
        <f t="shared" si="6"/>
        <v>12.8</v>
      </c>
      <c r="M31" s="23">
        <f>IFERROR(100/'Skjema total MA'!I31*K31,0)</f>
        <v>1.985130606223094</v>
      </c>
      <c r="N31" s="148"/>
    </row>
    <row r="32" spans="1:14" ht="15.75" x14ac:dyDescent="0.2">
      <c r="A32" s="545" t="s">
        <v>346</v>
      </c>
      <c r="B32" s="258"/>
      <c r="C32" s="258"/>
      <c r="D32" s="166"/>
      <c r="E32" s="11"/>
      <c r="F32" s="267"/>
      <c r="G32" s="267"/>
      <c r="H32" s="166"/>
      <c r="I32" s="391"/>
      <c r="J32" s="267"/>
      <c r="K32" s="267"/>
      <c r="L32" s="166"/>
      <c r="M32" s="23"/>
    </row>
    <row r="33" spans="1:14" ht="15.75" x14ac:dyDescent="0.2">
      <c r="A33" s="545" t="s">
        <v>347</v>
      </c>
      <c r="B33" s="258"/>
      <c r="C33" s="258"/>
      <c r="D33" s="166"/>
      <c r="E33" s="11"/>
      <c r="F33" s="267">
        <v>149593.37672</v>
      </c>
      <c r="G33" s="267">
        <v>267576.07306000002</v>
      </c>
      <c r="H33" s="166">
        <f t="shared" si="3"/>
        <v>78.900000000000006</v>
      </c>
      <c r="I33" s="391">
        <f>IFERROR(100/'Skjema total MA'!F34*G33,0)</f>
        <v>-1037.1531785792342</v>
      </c>
      <c r="J33" s="267">
        <f t="shared" si="4"/>
        <v>149593.37672</v>
      </c>
      <c r="K33" s="267">
        <f t="shared" si="5"/>
        <v>267576.07306000002</v>
      </c>
      <c r="L33" s="166">
        <f t="shared" si="6"/>
        <v>78.900000000000006</v>
      </c>
      <c r="M33" s="23">
        <f>IFERROR(100/'Skjema total MA'!I34*K33,0)</f>
        <v>-1252.7416535466373</v>
      </c>
    </row>
    <row r="34" spans="1:14" ht="15.75" x14ac:dyDescent="0.2">
      <c r="A34" s="13" t="s">
        <v>342</v>
      </c>
      <c r="B34" s="213"/>
      <c r="C34" s="285"/>
      <c r="D34" s="171"/>
      <c r="E34" s="11"/>
      <c r="F34" s="284">
        <v>2725.0079999999998</v>
      </c>
      <c r="G34" s="285">
        <v>1766.9949999999999</v>
      </c>
      <c r="H34" s="171">
        <f t="shared" si="3"/>
        <v>-35.200000000000003</v>
      </c>
      <c r="I34" s="11">
        <f>IFERROR(100/'Skjema total MA'!F34*G34,0)</f>
        <v>-6.8490596331185047</v>
      </c>
      <c r="J34" s="213">
        <f t="shared" si="4"/>
        <v>2725.0079999999998</v>
      </c>
      <c r="K34" s="213">
        <f t="shared" si="5"/>
        <v>1766.9949999999999</v>
      </c>
      <c r="L34" s="402">
        <f t="shared" si="6"/>
        <v>-35.200000000000003</v>
      </c>
      <c r="M34" s="24">
        <f>IFERROR(100/'Skjema total MA'!I34*K34,0)</f>
        <v>-8.272743570806032</v>
      </c>
    </row>
    <row r="35" spans="1:14" ht="15.75" x14ac:dyDescent="0.2">
      <c r="A35" s="13" t="s">
        <v>343</v>
      </c>
      <c r="B35" s="213"/>
      <c r="C35" s="285"/>
      <c r="D35" s="171"/>
      <c r="E35" s="11"/>
      <c r="F35" s="284">
        <v>2082.3435899999999</v>
      </c>
      <c r="G35" s="285">
        <v>2283.15497</v>
      </c>
      <c r="H35" s="171">
        <f t="shared" si="3"/>
        <v>9.6</v>
      </c>
      <c r="I35" s="11">
        <f>IFERROR(100/'Skjema total MA'!F35*G35,0)</f>
        <v>3.7822856949356223</v>
      </c>
      <c r="J35" s="213">
        <f t="shared" si="4"/>
        <v>2082.3435899999999</v>
      </c>
      <c r="K35" s="213">
        <f t="shared" si="5"/>
        <v>2283.15497</v>
      </c>
      <c r="L35" s="402">
        <f t="shared" si="6"/>
        <v>9.6</v>
      </c>
      <c r="M35" s="24">
        <f>IFERROR(100/'Skjema total MA'!I35*K35,0)</f>
        <v>26.161854642570045</v>
      </c>
    </row>
    <row r="36" spans="1:14" ht="15.75" x14ac:dyDescent="0.2">
      <c r="A36" s="12" t="s">
        <v>260</v>
      </c>
      <c r="B36" s="213"/>
      <c r="C36" s="285"/>
      <c r="D36" s="171"/>
      <c r="E36" s="11"/>
      <c r="F36" s="295"/>
      <c r="G36" s="296"/>
      <c r="H36" s="171"/>
      <c r="I36" s="408"/>
      <c r="J36" s="213"/>
      <c r="K36" s="213"/>
      <c r="L36" s="402"/>
      <c r="M36" s="24"/>
    </row>
    <row r="37" spans="1:14" ht="15.75" x14ac:dyDescent="0.2">
      <c r="A37" s="12" t="s">
        <v>349</v>
      </c>
      <c r="B37" s="213"/>
      <c r="C37" s="285"/>
      <c r="D37" s="171"/>
      <c r="E37" s="11"/>
      <c r="F37" s="295"/>
      <c r="G37" s="297"/>
      <c r="H37" s="171"/>
      <c r="I37" s="408"/>
      <c r="J37" s="213"/>
      <c r="K37" s="213"/>
      <c r="L37" s="402"/>
      <c r="M37" s="24"/>
    </row>
    <row r="38" spans="1:14" ht="15.75" x14ac:dyDescent="0.2">
      <c r="A38" s="12" t="s">
        <v>350</v>
      </c>
      <c r="B38" s="213"/>
      <c r="C38" s="285"/>
      <c r="D38" s="171"/>
      <c r="E38" s="24"/>
      <c r="F38" s="295"/>
      <c r="G38" s="296"/>
      <c r="H38" s="171"/>
      <c r="I38" s="408"/>
      <c r="J38" s="213"/>
      <c r="K38" s="213"/>
      <c r="L38" s="402"/>
      <c r="M38" s="24"/>
    </row>
    <row r="39" spans="1:14" ht="15.75" x14ac:dyDescent="0.2">
      <c r="A39" s="18" t="s">
        <v>351</v>
      </c>
      <c r="B39" s="253"/>
      <c r="C39" s="291"/>
      <c r="D39" s="169"/>
      <c r="E39" s="36"/>
      <c r="F39" s="298"/>
      <c r="G39" s="299"/>
      <c r="H39" s="169"/>
      <c r="I39" s="36"/>
      <c r="J39" s="213"/>
      <c r="K39" s="213"/>
      <c r="L39" s="403"/>
      <c r="M39" s="36"/>
    </row>
    <row r="40" spans="1:14" ht="15.75" x14ac:dyDescent="0.25">
      <c r="A40" s="47"/>
      <c r="B40" s="230"/>
      <c r="C40" s="230"/>
      <c r="D40" s="698"/>
      <c r="E40" s="698"/>
      <c r="F40" s="698"/>
      <c r="G40" s="698"/>
      <c r="H40" s="698"/>
      <c r="I40" s="698"/>
      <c r="J40" s="698"/>
      <c r="K40" s="698"/>
      <c r="L40" s="698"/>
      <c r="M40" s="278"/>
    </row>
    <row r="41" spans="1:14" x14ac:dyDescent="0.2">
      <c r="A41" s="155"/>
    </row>
    <row r="42" spans="1:14" ht="15.75" x14ac:dyDescent="0.25">
      <c r="A42" s="147" t="s">
        <v>249</v>
      </c>
      <c r="B42" s="699"/>
      <c r="C42" s="699"/>
      <c r="D42" s="699"/>
      <c r="E42" s="275"/>
      <c r="F42" s="700"/>
      <c r="G42" s="700"/>
      <c r="H42" s="700"/>
      <c r="I42" s="278"/>
      <c r="J42" s="700"/>
      <c r="K42" s="700"/>
      <c r="L42" s="700"/>
      <c r="M42" s="278"/>
    </row>
    <row r="43" spans="1:14" ht="15.75" x14ac:dyDescent="0.25">
      <c r="A43" s="163"/>
      <c r="B43" s="279"/>
      <c r="C43" s="279"/>
      <c r="D43" s="279"/>
      <c r="E43" s="279"/>
      <c r="F43" s="278"/>
      <c r="G43" s="278"/>
      <c r="H43" s="278"/>
      <c r="I43" s="278"/>
      <c r="J43" s="278"/>
      <c r="K43" s="278"/>
      <c r="L43" s="278"/>
      <c r="M43" s="278"/>
    </row>
    <row r="44" spans="1:14" ht="15.75" x14ac:dyDescent="0.25">
      <c r="A44" s="224"/>
      <c r="B44" s="695" t="s">
        <v>0</v>
      </c>
      <c r="C44" s="696"/>
      <c r="D44" s="696"/>
      <c r="E44" s="220"/>
      <c r="F44" s="278"/>
      <c r="G44" s="278"/>
      <c r="H44" s="278"/>
      <c r="I44" s="278"/>
      <c r="J44" s="278"/>
      <c r="K44" s="278"/>
      <c r="L44" s="278"/>
      <c r="M44" s="278"/>
    </row>
    <row r="45" spans="1:14" s="3" customFormat="1" x14ac:dyDescent="0.2">
      <c r="A45" s="140"/>
      <c r="B45" s="152" t="s">
        <v>412</v>
      </c>
      <c r="C45" s="152" t="s">
        <v>413</v>
      </c>
      <c r="D45" s="162" t="s">
        <v>3</v>
      </c>
      <c r="E45" s="162" t="s">
        <v>29</v>
      </c>
      <c r="F45" s="174"/>
      <c r="G45" s="174"/>
      <c r="H45" s="173"/>
      <c r="I45" s="173"/>
      <c r="J45" s="174"/>
      <c r="K45" s="174"/>
      <c r="L45" s="173"/>
      <c r="M45" s="173"/>
      <c r="N45" s="148"/>
    </row>
    <row r="46" spans="1:14" s="3" customFormat="1" x14ac:dyDescent="0.2">
      <c r="A46" s="662"/>
      <c r="B46" s="221"/>
      <c r="C46" s="221"/>
      <c r="D46" s="222" t="s">
        <v>4</v>
      </c>
      <c r="E46" s="156" t="s">
        <v>30</v>
      </c>
      <c r="F46" s="173"/>
      <c r="G46" s="173"/>
      <c r="H46" s="173"/>
      <c r="I46" s="173"/>
      <c r="J46" s="173"/>
      <c r="K46" s="173"/>
      <c r="L46" s="173"/>
      <c r="M46" s="173"/>
      <c r="N46" s="148"/>
    </row>
    <row r="47" spans="1:14" s="3" customFormat="1" ht="15.75" x14ac:dyDescent="0.2">
      <c r="A47" s="14" t="s">
        <v>23</v>
      </c>
      <c r="B47" s="286"/>
      <c r="C47" s="287"/>
      <c r="D47" s="401"/>
      <c r="E47" s="11"/>
      <c r="F47" s="145"/>
      <c r="G47" s="33"/>
      <c r="H47" s="159"/>
      <c r="I47" s="159"/>
      <c r="J47" s="37"/>
      <c r="K47" s="37"/>
      <c r="L47" s="159"/>
      <c r="M47" s="159"/>
      <c r="N47" s="148"/>
    </row>
    <row r="48" spans="1:14" s="3" customFormat="1" ht="15.75" x14ac:dyDescent="0.2">
      <c r="A48" s="38" t="s">
        <v>352</v>
      </c>
      <c r="B48" s="258"/>
      <c r="C48" s="259"/>
      <c r="D48" s="231"/>
      <c r="E48" s="27"/>
      <c r="F48" s="145"/>
      <c r="G48" s="33"/>
      <c r="H48" s="145"/>
      <c r="I48" s="145"/>
      <c r="J48" s="33"/>
      <c r="K48" s="33"/>
      <c r="L48" s="159"/>
      <c r="M48" s="159"/>
      <c r="N48" s="148"/>
    </row>
    <row r="49" spans="1:14" s="3" customFormat="1" ht="15.75" x14ac:dyDescent="0.2">
      <c r="A49" s="38" t="s">
        <v>353</v>
      </c>
      <c r="B49" s="44"/>
      <c r="C49" s="264"/>
      <c r="D49" s="231"/>
      <c r="E49" s="27"/>
      <c r="F49" s="145"/>
      <c r="G49" s="33"/>
      <c r="H49" s="145"/>
      <c r="I49" s="145"/>
      <c r="J49" s="37"/>
      <c r="K49" s="37"/>
      <c r="L49" s="159"/>
      <c r="M49" s="159"/>
      <c r="N49" s="148"/>
    </row>
    <row r="50" spans="1:14" s="3" customFormat="1" x14ac:dyDescent="0.2">
      <c r="A50" s="272" t="s">
        <v>6</v>
      </c>
      <c r="B50" s="295"/>
      <c r="C50" s="295"/>
      <c r="D50" s="231"/>
      <c r="E50" s="23"/>
      <c r="F50" s="145"/>
      <c r="G50" s="33"/>
      <c r="H50" s="145"/>
      <c r="I50" s="145"/>
      <c r="J50" s="33"/>
      <c r="K50" s="33"/>
      <c r="L50" s="159"/>
      <c r="M50" s="159"/>
      <c r="N50" s="148"/>
    </row>
    <row r="51" spans="1:14" s="3" customFormat="1" x14ac:dyDescent="0.2">
      <c r="A51" s="272" t="s">
        <v>7</v>
      </c>
      <c r="B51" s="295"/>
      <c r="C51" s="295"/>
      <c r="D51" s="231"/>
      <c r="E51" s="23"/>
      <c r="F51" s="145"/>
      <c r="G51" s="33"/>
      <c r="H51" s="145"/>
      <c r="I51" s="145"/>
      <c r="J51" s="33"/>
      <c r="K51" s="33"/>
      <c r="L51" s="159"/>
      <c r="M51" s="159"/>
      <c r="N51" s="148"/>
    </row>
    <row r="52" spans="1:14" s="3" customFormat="1" x14ac:dyDescent="0.2">
      <c r="A52" s="272" t="s">
        <v>8</v>
      </c>
      <c r="B52" s="295"/>
      <c r="C52" s="295"/>
      <c r="D52" s="231"/>
      <c r="E52" s="23"/>
      <c r="F52" s="145"/>
      <c r="G52" s="33"/>
      <c r="H52" s="145"/>
      <c r="I52" s="145"/>
      <c r="J52" s="33"/>
      <c r="K52" s="33"/>
      <c r="L52" s="159"/>
      <c r="M52" s="159"/>
      <c r="N52" s="148"/>
    </row>
    <row r="53" spans="1:14" s="3" customFormat="1" ht="15.75" x14ac:dyDescent="0.2">
      <c r="A53" s="39" t="s">
        <v>354</v>
      </c>
      <c r="B53" s="286"/>
      <c r="C53" s="287"/>
      <c r="D53" s="402"/>
      <c r="E53" s="11"/>
      <c r="F53" s="145"/>
      <c r="G53" s="33"/>
      <c r="H53" s="145"/>
      <c r="I53" s="145"/>
      <c r="J53" s="33"/>
      <c r="K53" s="33"/>
      <c r="L53" s="159"/>
      <c r="M53" s="159"/>
      <c r="N53" s="148"/>
    </row>
    <row r="54" spans="1:14" s="3" customFormat="1" ht="15.75" x14ac:dyDescent="0.2">
      <c r="A54" s="38" t="s">
        <v>352</v>
      </c>
      <c r="B54" s="258"/>
      <c r="C54" s="259"/>
      <c r="D54" s="231"/>
      <c r="E54" s="27"/>
      <c r="F54" s="145"/>
      <c r="G54" s="33"/>
      <c r="H54" s="145"/>
      <c r="I54" s="145"/>
      <c r="J54" s="33"/>
      <c r="K54" s="33"/>
      <c r="L54" s="159"/>
      <c r="M54" s="159"/>
      <c r="N54" s="148"/>
    </row>
    <row r="55" spans="1:14" s="3" customFormat="1" ht="15.75" x14ac:dyDescent="0.2">
      <c r="A55" s="38" t="s">
        <v>353</v>
      </c>
      <c r="B55" s="258"/>
      <c r="C55" s="259"/>
      <c r="D55" s="231"/>
      <c r="E55" s="27"/>
      <c r="F55" s="145"/>
      <c r="G55" s="33"/>
      <c r="H55" s="145"/>
      <c r="I55" s="145"/>
      <c r="J55" s="33"/>
      <c r="K55" s="33"/>
      <c r="L55" s="159"/>
      <c r="M55" s="159"/>
      <c r="N55" s="148"/>
    </row>
    <row r="56" spans="1:14" s="3" customFormat="1" ht="15.75" x14ac:dyDescent="0.2">
      <c r="A56" s="39" t="s">
        <v>355</v>
      </c>
      <c r="B56" s="286"/>
      <c r="C56" s="287"/>
      <c r="D56" s="402"/>
      <c r="E56" s="11"/>
      <c r="F56" s="145"/>
      <c r="G56" s="33"/>
      <c r="H56" s="145"/>
      <c r="I56" s="145"/>
      <c r="J56" s="33"/>
      <c r="K56" s="33"/>
      <c r="L56" s="159"/>
      <c r="M56" s="159"/>
      <c r="N56" s="148"/>
    </row>
    <row r="57" spans="1:14" s="3" customFormat="1" ht="15.75" x14ac:dyDescent="0.2">
      <c r="A57" s="38" t="s">
        <v>352</v>
      </c>
      <c r="B57" s="258"/>
      <c r="C57" s="259"/>
      <c r="D57" s="231"/>
      <c r="E57" s="27"/>
      <c r="F57" s="145"/>
      <c r="G57" s="33"/>
      <c r="H57" s="145"/>
      <c r="I57" s="145"/>
      <c r="J57" s="33"/>
      <c r="K57" s="33"/>
      <c r="L57" s="159"/>
      <c r="M57" s="159"/>
      <c r="N57" s="148"/>
    </row>
    <row r="58" spans="1:14" s="3" customFormat="1" ht="15.75" x14ac:dyDescent="0.2">
      <c r="A58" s="46" t="s">
        <v>353</v>
      </c>
      <c r="B58" s="260"/>
      <c r="C58" s="261"/>
      <c r="D58" s="232"/>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250</v>
      </c>
      <c r="C61" s="26"/>
      <c r="D61" s="26"/>
      <c r="E61" s="26"/>
      <c r="F61" s="26"/>
      <c r="G61" s="26"/>
      <c r="H61" s="26"/>
      <c r="I61" s="26"/>
      <c r="J61" s="26"/>
      <c r="K61" s="26"/>
      <c r="L61" s="26"/>
      <c r="M61" s="26"/>
    </row>
    <row r="62" spans="1:14" ht="15.75" x14ac:dyDescent="0.25">
      <c r="B62" s="694"/>
      <c r="C62" s="694"/>
      <c r="D62" s="694"/>
      <c r="E62" s="275"/>
      <c r="F62" s="694"/>
      <c r="G62" s="694"/>
      <c r="H62" s="694"/>
      <c r="I62" s="275"/>
      <c r="J62" s="694"/>
      <c r="K62" s="694"/>
      <c r="L62" s="694"/>
      <c r="M62" s="275"/>
    </row>
    <row r="63" spans="1:14" x14ac:dyDescent="0.2">
      <c r="A63" s="144"/>
      <c r="B63" s="695" t="s">
        <v>0</v>
      </c>
      <c r="C63" s="696"/>
      <c r="D63" s="697"/>
      <c r="E63" s="276"/>
      <c r="F63" s="696" t="s">
        <v>1</v>
      </c>
      <c r="G63" s="696"/>
      <c r="H63" s="696"/>
      <c r="I63" s="280"/>
      <c r="J63" s="695" t="s">
        <v>2</v>
      </c>
      <c r="K63" s="696"/>
      <c r="L63" s="696"/>
      <c r="M63" s="280"/>
    </row>
    <row r="64" spans="1:14" x14ac:dyDescent="0.2">
      <c r="A64" s="140"/>
      <c r="B64" s="152" t="s">
        <v>412</v>
      </c>
      <c r="C64" s="152" t="s">
        <v>413</v>
      </c>
      <c r="D64" s="222" t="s">
        <v>3</v>
      </c>
      <c r="E64" s="281" t="s">
        <v>29</v>
      </c>
      <c r="F64" s="152" t="s">
        <v>412</v>
      </c>
      <c r="G64" s="152" t="s">
        <v>413</v>
      </c>
      <c r="H64" s="222" t="s">
        <v>3</v>
      </c>
      <c r="I64" s="281" t="s">
        <v>29</v>
      </c>
      <c r="J64" s="152" t="s">
        <v>412</v>
      </c>
      <c r="K64" s="152" t="s">
        <v>413</v>
      </c>
      <c r="L64" s="222" t="s">
        <v>3</v>
      </c>
      <c r="M64" s="162" t="s">
        <v>29</v>
      </c>
    </row>
    <row r="65" spans="1:14" x14ac:dyDescent="0.2">
      <c r="A65" s="662"/>
      <c r="B65" s="156"/>
      <c r="C65" s="156"/>
      <c r="D65" s="223" t="s">
        <v>4</v>
      </c>
      <c r="E65" s="156" t="s">
        <v>30</v>
      </c>
      <c r="F65" s="161"/>
      <c r="G65" s="161"/>
      <c r="H65" s="222" t="s">
        <v>4</v>
      </c>
      <c r="I65" s="156" t="s">
        <v>30</v>
      </c>
      <c r="J65" s="161"/>
      <c r="K65" s="203"/>
      <c r="L65" s="156" t="s">
        <v>4</v>
      </c>
      <c r="M65" s="156" t="s">
        <v>30</v>
      </c>
    </row>
    <row r="66" spans="1:14" ht="15.75" x14ac:dyDescent="0.2">
      <c r="A66" s="14" t="s">
        <v>23</v>
      </c>
      <c r="B66" s="329"/>
      <c r="C66" s="329"/>
      <c r="D66" s="326"/>
      <c r="E66" s="11"/>
      <c r="F66" s="328">
        <v>39.948999999999998</v>
      </c>
      <c r="G66" s="328">
        <v>51.296810000000001</v>
      </c>
      <c r="H66" s="326">
        <f>IF(F66=0, "    ---- ", IF(ABS(ROUND(100/F66*G66-100,1))&lt;999,ROUND(100/F66*G66-100,1),IF(ROUND(100/F66*G66-100,1)&gt;999,999,-999)))</f>
        <v>28.4</v>
      </c>
      <c r="I66" s="24">
        <f>IFERROR(100/'Skjema total MA'!F66*G66,0)</f>
        <v>5.3826761623227012E-4</v>
      </c>
      <c r="J66" s="159">
        <f t="shared" ref="J66:K68" si="7">SUM(B66,F66)</f>
        <v>39.948999999999998</v>
      </c>
      <c r="K66" s="292">
        <f t="shared" si="7"/>
        <v>51.296810000000001</v>
      </c>
      <c r="L66" s="402">
        <f>IF(J66=0, "    ---- ", IF(ABS(ROUND(100/J66*K66-100,1))&lt;999,ROUND(100/J66*K66-100,1),IF(ROUND(100/J66*K66-100,1)&gt;999,999,-999)))</f>
        <v>28.4</v>
      </c>
      <c r="M66" s="11">
        <f>IFERROR(100/'Skjema total MA'!I66*K66,0)</f>
        <v>4.0549346275768633E-4</v>
      </c>
    </row>
    <row r="67" spans="1:14" x14ac:dyDescent="0.2">
      <c r="A67" s="393" t="s">
        <v>9</v>
      </c>
      <c r="B67" s="44"/>
      <c r="C67" s="145"/>
      <c r="D67" s="166"/>
      <c r="E67" s="23"/>
      <c r="F67" s="211"/>
      <c r="G67" s="145"/>
      <c r="H67" s="166"/>
      <c r="I67" s="23"/>
      <c r="J67" s="145"/>
      <c r="K67" s="44"/>
      <c r="L67" s="231"/>
      <c r="M67" s="27"/>
    </row>
    <row r="68" spans="1:14" x14ac:dyDescent="0.2">
      <c r="A68" s="21" t="s">
        <v>10</v>
      </c>
      <c r="B68" s="268"/>
      <c r="C68" s="269"/>
      <c r="D68" s="166"/>
      <c r="E68" s="23"/>
      <c r="F68" s="268">
        <v>39.948999999999998</v>
      </c>
      <c r="G68" s="269">
        <v>51.296810000000001</v>
      </c>
      <c r="H68" s="166">
        <f>IF(F68=0, "    ---- ", IF(ABS(ROUND(100/F68*G68-100,1))&lt;999,ROUND(100/F68*G68-100,1),IF(ROUND(100/F68*G68-100,1)&gt;999,999,-999)))</f>
        <v>28.4</v>
      </c>
      <c r="I68" s="23">
        <f>IFERROR(100/'Skjema total MA'!F68*G68,0)</f>
        <v>5.6009175814761552E-4</v>
      </c>
      <c r="J68" s="145">
        <f t="shared" si="7"/>
        <v>39.948999999999998</v>
      </c>
      <c r="K68" s="44">
        <f t="shared" si="7"/>
        <v>51.296810000000001</v>
      </c>
      <c r="L68" s="231">
        <f>IF(J68=0, "    ---- ", IF(ABS(ROUND(100/J68*K68-100,1))&lt;999,ROUND(100/J68*K68-100,1),IF(ROUND(100/J68*K68-100,1)&gt;999,999,-999)))</f>
        <v>28.4</v>
      </c>
      <c r="M68" s="27">
        <f>IFERROR(100/'Skjema total MA'!I68*K68,0)</f>
        <v>5.5924879051693483E-4</v>
      </c>
    </row>
    <row r="69" spans="1:14" ht="15.75" x14ac:dyDescent="0.2">
      <c r="A69" s="272" t="s">
        <v>356</v>
      </c>
      <c r="B69" s="295"/>
      <c r="C69" s="295"/>
      <c r="D69" s="166"/>
      <c r="E69" s="23"/>
      <c r="F69" s="295"/>
      <c r="G69" s="295"/>
      <c r="H69" s="166"/>
      <c r="I69" s="23"/>
      <c r="J69" s="295"/>
      <c r="K69" s="295"/>
      <c r="L69" s="166"/>
      <c r="M69" s="23"/>
    </row>
    <row r="70" spans="1:14" x14ac:dyDescent="0.2">
      <c r="A70" s="272" t="s">
        <v>12</v>
      </c>
      <c r="B70" s="270"/>
      <c r="C70" s="271"/>
      <c r="D70" s="166"/>
      <c r="E70" s="23"/>
      <c r="F70" s="270"/>
      <c r="G70" s="271"/>
      <c r="H70" s="166"/>
      <c r="I70" s="23"/>
      <c r="J70" s="270"/>
      <c r="K70" s="271"/>
      <c r="L70" s="166"/>
      <c r="M70" s="23"/>
    </row>
    <row r="71" spans="1:14" x14ac:dyDescent="0.2">
      <c r="A71" s="272" t="s">
        <v>13</v>
      </c>
      <c r="B71" s="212"/>
      <c r="C71" s="266"/>
      <c r="D71" s="166"/>
      <c r="E71" s="23"/>
      <c r="F71" s="212"/>
      <c r="G71" s="266"/>
      <c r="H71" s="166"/>
      <c r="I71" s="23"/>
      <c r="J71" s="212"/>
      <c r="K71" s="266"/>
      <c r="L71" s="166"/>
      <c r="M71" s="23"/>
    </row>
    <row r="72" spans="1:14" ht="15.75" x14ac:dyDescent="0.2">
      <c r="A72" s="272" t="s">
        <v>357</v>
      </c>
      <c r="B72" s="295"/>
      <c r="C72" s="295"/>
      <c r="D72" s="166"/>
      <c r="E72" s="23"/>
      <c r="F72" s="295"/>
      <c r="G72" s="295"/>
      <c r="H72" s="166"/>
      <c r="I72" s="23"/>
      <c r="J72" s="295"/>
      <c r="K72" s="295"/>
      <c r="L72" s="166"/>
      <c r="M72" s="23"/>
    </row>
    <row r="73" spans="1:14" x14ac:dyDescent="0.2">
      <c r="A73" s="272" t="s">
        <v>12</v>
      </c>
      <c r="B73" s="212"/>
      <c r="C73" s="266"/>
      <c r="D73" s="166"/>
      <c r="E73" s="23"/>
      <c r="F73" s="212"/>
      <c r="G73" s="266"/>
      <c r="H73" s="166"/>
      <c r="I73" s="23"/>
      <c r="J73" s="212"/>
      <c r="K73" s="266"/>
      <c r="L73" s="166"/>
      <c r="M73" s="23"/>
    </row>
    <row r="74" spans="1:14" s="3" customFormat="1" x14ac:dyDescent="0.2">
      <c r="A74" s="272" t="s">
        <v>13</v>
      </c>
      <c r="B74" s="212"/>
      <c r="C74" s="266"/>
      <c r="D74" s="166"/>
      <c r="E74" s="23"/>
      <c r="F74" s="212"/>
      <c r="G74" s="266"/>
      <c r="H74" s="166"/>
      <c r="I74" s="23"/>
      <c r="J74" s="212"/>
      <c r="K74" s="266"/>
      <c r="L74" s="166"/>
      <c r="M74" s="23"/>
      <c r="N74" s="148"/>
    </row>
    <row r="75" spans="1:14" s="3" customFormat="1" x14ac:dyDescent="0.2">
      <c r="A75" s="21" t="s">
        <v>326</v>
      </c>
      <c r="B75" s="211"/>
      <c r="C75" s="145"/>
      <c r="D75" s="166"/>
      <c r="E75" s="23"/>
      <c r="F75" s="211"/>
      <c r="G75" s="145"/>
      <c r="H75" s="166"/>
      <c r="I75" s="23"/>
      <c r="J75" s="145"/>
      <c r="K75" s="44"/>
      <c r="L75" s="231"/>
      <c r="M75" s="27"/>
      <c r="N75" s="148"/>
    </row>
    <row r="76" spans="1:14" s="3" customFormat="1" x14ac:dyDescent="0.2">
      <c r="A76" s="21" t="s">
        <v>325</v>
      </c>
      <c r="B76" s="211"/>
      <c r="C76" s="145"/>
      <c r="D76" s="166"/>
      <c r="E76" s="23"/>
      <c r="F76" s="211"/>
      <c r="G76" s="145"/>
      <c r="H76" s="166"/>
      <c r="I76" s="23"/>
      <c r="J76" s="145"/>
      <c r="K76" s="44"/>
      <c r="L76" s="231"/>
      <c r="M76" s="27"/>
      <c r="N76" s="148"/>
    </row>
    <row r="77" spans="1:14" ht="15.75" x14ac:dyDescent="0.2">
      <c r="A77" s="21" t="s">
        <v>358</v>
      </c>
      <c r="B77" s="211"/>
      <c r="C77" s="211"/>
      <c r="D77" s="166"/>
      <c r="E77" s="23"/>
      <c r="F77" s="211"/>
      <c r="G77" s="145"/>
      <c r="H77" s="166"/>
      <c r="I77" s="23"/>
      <c r="J77" s="145"/>
      <c r="K77" s="44"/>
      <c r="L77" s="231"/>
      <c r="M77" s="27"/>
    </row>
    <row r="78" spans="1:14" x14ac:dyDescent="0.2">
      <c r="A78" s="21" t="s">
        <v>9</v>
      </c>
      <c r="B78" s="211"/>
      <c r="C78" s="145"/>
      <c r="D78" s="166"/>
      <c r="E78" s="23"/>
      <c r="F78" s="211"/>
      <c r="G78" s="145"/>
      <c r="H78" s="166"/>
      <c r="I78" s="23"/>
      <c r="J78" s="145"/>
      <c r="K78" s="44"/>
      <c r="L78" s="231"/>
      <c r="M78" s="27"/>
    </row>
    <row r="79" spans="1:14" x14ac:dyDescent="0.2">
      <c r="A79" s="38" t="s">
        <v>398</v>
      </c>
      <c r="B79" s="268"/>
      <c r="C79" s="269"/>
      <c r="D79" s="166"/>
      <c r="E79" s="23"/>
      <c r="F79" s="268"/>
      <c r="G79" s="269"/>
      <c r="H79" s="166"/>
      <c r="I79" s="23"/>
      <c r="J79" s="145"/>
      <c r="K79" s="44"/>
      <c r="L79" s="231"/>
      <c r="M79" s="27"/>
    </row>
    <row r="80" spans="1:14" ht="15.75" x14ac:dyDescent="0.2">
      <c r="A80" s="272" t="s">
        <v>356</v>
      </c>
      <c r="B80" s="295"/>
      <c r="C80" s="295"/>
      <c r="D80" s="166"/>
      <c r="E80" s="23"/>
      <c r="F80" s="295"/>
      <c r="G80" s="295"/>
      <c r="H80" s="166"/>
      <c r="I80" s="23"/>
      <c r="J80" s="295"/>
      <c r="K80" s="295"/>
      <c r="L80" s="166"/>
      <c r="M80" s="23"/>
    </row>
    <row r="81" spans="1:13" x14ac:dyDescent="0.2">
      <c r="A81" s="272" t="s">
        <v>12</v>
      </c>
      <c r="B81" s="295"/>
      <c r="C81" s="295"/>
      <c r="D81" s="166"/>
      <c r="E81" s="23"/>
      <c r="F81" s="270"/>
      <c r="G81" s="271"/>
      <c r="H81" s="166"/>
      <c r="I81" s="23"/>
      <c r="J81" s="270"/>
      <c r="K81" s="271"/>
      <c r="L81" s="166"/>
      <c r="M81" s="23"/>
    </row>
    <row r="82" spans="1:13" x14ac:dyDescent="0.2">
      <c r="A82" s="272" t="s">
        <v>13</v>
      </c>
      <c r="B82" s="295"/>
      <c r="C82" s="295"/>
      <c r="D82" s="166"/>
      <c r="E82" s="23"/>
      <c r="F82" s="212"/>
      <c r="G82" s="266"/>
      <c r="H82" s="166"/>
      <c r="I82" s="23"/>
      <c r="J82" s="212"/>
      <c r="K82" s="266"/>
      <c r="L82" s="166"/>
      <c r="M82" s="23"/>
    </row>
    <row r="83" spans="1:13" ht="15.75" x14ac:dyDescent="0.2">
      <c r="A83" s="272" t="s">
        <v>357</v>
      </c>
      <c r="B83" s="295"/>
      <c r="C83" s="295"/>
      <c r="D83" s="166"/>
      <c r="E83" s="23"/>
      <c r="F83" s="295"/>
      <c r="G83" s="295"/>
      <c r="H83" s="166"/>
      <c r="I83" s="23"/>
      <c r="J83" s="295"/>
      <c r="K83" s="295"/>
      <c r="L83" s="166"/>
      <c r="M83" s="23"/>
    </row>
    <row r="84" spans="1:13" x14ac:dyDescent="0.2">
      <c r="A84" s="272" t="s">
        <v>12</v>
      </c>
      <c r="B84" s="212"/>
      <c r="C84" s="266"/>
      <c r="D84" s="166"/>
      <c r="E84" s="23"/>
      <c r="F84" s="212"/>
      <c r="G84" s="266"/>
      <c r="H84" s="166"/>
      <c r="I84" s="23"/>
      <c r="J84" s="212"/>
      <c r="K84" s="266"/>
      <c r="L84" s="166"/>
      <c r="M84" s="23"/>
    </row>
    <row r="85" spans="1:13" x14ac:dyDescent="0.2">
      <c r="A85" s="272" t="s">
        <v>13</v>
      </c>
      <c r="B85" s="212"/>
      <c r="C85" s="266"/>
      <c r="D85" s="166"/>
      <c r="E85" s="23"/>
      <c r="F85" s="212"/>
      <c r="G85" s="266"/>
      <c r="H85" s="166"/>
      <c r="I85" s="23"/>
      <c r="J85" s="212"/>
      <c r="K85" s="266"/>
      <c r="L85" s="166"/>
      <c r="M85" s="23"/>
    </row>
    <row r="86" spans="1:13" ht="15.75" x14ac:dyDescent="0.2">
      <c r="A86" s="21" t="s">
        <v>359</v>
      </c>
      <c r="B86" s="211"/>
      <c r="C86" s="145"/>
      <c r="D86" s="166"/>
      <c r="E86" s="23"/>
      <c r="F86" s="211">
        <v>39.948999999999998</v>
      </c>
      <c r="G86" s="145">
        <v>51.296810000000001</v>
      </c>
      <c r="H86" s="166">
        <f>IF(F86=0, "    ---- ", IF(ABS(ROUND(100/F86*G86-100,1))&lt;999,ROUND(100/F86*G86-100,1),IF(ROUND(100/F86*G86-100,1)&gt;999,999,-999)))</f>
        <v>28.4</v>
      </c>
      <c r="I86" s="23">
        <f>IFERROR(100/'Skjema total MA'!F86*G86,0)</f>
        <v>1.7065925364596912</v>
      </c>
      <c r="J86" s="145">
        <f t="shared" ref="J86:K89" si="8">SUM(B86,F86)</f>
        <v>39.948999999999998</v>
      </c>
      <c r="K86" s="44">
        <f t="shared" si="8"/>
        <v>51.296810000000001</v>
      </c>
      <c r="L86" s="231">
        <f>IF(J86=0, "    ---- ", IF(ABS(ROUND(100/J86*K86-100,1))&lt;999,ROUND(100/J86*K86-100,1),IF(ROUND(100/J86*K86-100,1)&gt;999,999,-999)))</f>
        <v>28.4</v>
      </c>
      <c r="M86" s="27">
        <f>IFERROR(100/'Skjema total MA'!I86*K86,0)</f>
        <v>5.4724885150131866E-2</v>
      </c>
    </row>
    <row r="87" spans="1:13" ht="15.75" x14ac:dyDescent="0.2">
      <c r="A87" s="13" t="s">
        <v>341</v>
      </c>
      <c r="B87" s="329"/>
      <c r="C87" s="329"/>
      <c r="D87" s="171"/>
      <c r="E87" s="24"/>
      <c r="F87" s="328">
        <v>612679.44524000003</v>
      </c>
      <c r="G87" s="328">
        <v>877072.94293999998</v>
      </c>
      <c r="H87" s="171">
        <f>IF(F87=0, "    ---- ", IF(ABS(ROUND(100/F87*G87-100,1))&lt;999,ROUND(100/F87*G87-100,1),IF(ROUND(100/F87*G87-100,1)&gt;999,999,-999)))</f>
        <v>43.2</v>
      </c>
      <c r="I87" s="24">
        <f>IFERROR(100/'Skjema total MA'!F87*G87,0)</f>
        <v>0.22285081175578331</v>
      </c>
      <c r="J87" s="159">
        <f t="shared" si="8"/>
        <v>612679.44524000003</v>
      </c>
      <c r="K87" s="213">
        <f t="shared" si="8"/>
        <v>877072.94293999998</v>
      </c>
      <c r="L87" s="402">
        <f>IF(J87=0, "    ---- ", IF(ABS(ROUND(100/J87*K87-100,1))&lt;999,ROUND(100/J87*K87-100,1),IF(ROUND(100/J87*K87-100,1)&gt;999,999,-999)))</f>
        <v>43.2</v>
      </c>
      <c r="M87" s="11">
        <f>IFERROR(100/'Skjema total MA'!I87*K87,0)</f>
        <v>0.1106662028164104</v>
      </c>
    </row>
    <row r="88" spans="1:13" x14ac:dyDescent="0.2">
      <c r="A88" s="21" t="s">
        <v>9</v>
      </c>
      <c r="B88" s="211"/>
      <c r="C88" s="145"/>
      <c r="D88" s="166"/>
      <c r="E88" s="23"/>
      <c r="F88" s="211"/>
      <c r="G88" s="145"/>
      <c r="H88" s="166"/>
      <c r="I88" s="23"/>
      <c r="J88" s="145"/>
      <c r="K88" s="44"/>
      <c r="L88" s="231"/>
      <c r="M88" s="27"/>
    </row>
    <row r="89" spans="1:13" x14ac:dyDescent="0.2">
      <c r="A89" s="21" t="s">
        <v>10</v>
      </c>
      <c r="B89" s="211"/>
      <c r="C89" s="145"/>
      <c r="D89" s="166"/>
      <c r="E89" s="23"/>
      <c r="F89" s="211">
        <v>612679.44524000003</v>
      </c>
      <c r="G89" s="145">
        <v>877072.94293999998</v>
      </c>
      <c r="H89" s="166">
        <f>IF(F89=0, "    ---- ", IF(ABS(ROUND(100/F89*G89-100,1))&lt;999,ROUND(100/F89*G89-100,1),IF(ROUND(100/F89*G89-100,1)&gt;999,999,-999)))</f>
        <v>43.2</v>
      </c>
      <c r="I89" s="23">
        <f>IFERROR(100/'Skjema total MA'!F89*G89,0)</f>
        <v>0.22490316896779836</v>
      </c>
      <c r="J89" s="145">
        <f t="shared" si="8"/>
        <v>612679.44524000003</v>
      </c>
      <c r="K89" s="44">
        <f t="shared" si="8"/>
        <v>877072.94293999998</v>
      </c>
      <c r="L89" s="231">
        <f>IF(J89=0, "    ---- ", IF(ABS(ROUND(100/J89*K89-100,1))&lt;999,ROUND(100/J89*K89-100,1),IF(ROUND(100/J89*K89-100,1)&gt;999,999,-999)))</f>
        <v>43.2</v>
      </c>
      <c r="M89" s="27">
        <f>IFERROR(100/'Skjema total MA'!I89*K89,0)</f>
        <v>0.22315435651455323</v>
      </c>
    </row>
    <row r="90" spans="1:13" ht="15.75" x14ac:dyDescent="0.2">
      <c r="A90" s="272" t="s">
        <v>356</v>
      </c>
      <c r="B90" s="295"/>
      <c r="C90" s="295"/>
      <c r="D90" s="166"/>
      <c r="E90" s="23"/>
      <c r="F90" s="295"/>
      <c r="G90" s="295"/>
      <c r="H90" s="166"/>
      <c r="I90" s="23"/>
      <c r="J90" s="295"/>
      <c r="K90" s="295"/>
      <c r="L90" s="166"/>
      <c r="M90" s="23"/>
    </row>
    <row r="91" spans="1:13" x14ac:dyDescent="0.2">
      <c r="A91" s="272" t="s">
        <v>12</v>
      </c>
      <c r="B91" s="295"/>
      <c r="C91" s="295"/>
      <c r="D91" s="166"/>
      <c r="E91" s="23"/>
      <c r="F91" s="270"/>
      <c r="G91" s="271"/>
      <c r="H91" s="166"/>
      <c r="I91" s="23"/>
      <c r="J91" s="270"/>
      <c r="K91" s="271"/>
      <c r="L91" s="166"/>
      <c r="M91" s="23"/>
    </row>
    <row r="92" spans="1:13" x14ac:dyDescent="0.2">
      <c r="A92" s="272" t="s">
        <v>13</v>
      </c>
      <c r="B92" s="295"/>
      <c r="C92" s="295"/>
      <c r="D92" s="166"/>
      <c r="E92" s="23"/>
      <c r="F92" s="212"/>
      <c r="G92" s="266"/>
      <c r="H92" s="166"/>
      <c r="I92" s="23"/>
      <c r="J92" s="212"/>
      <c r="K92" s="266"/>
      <c r="L92" s="166"/>
      <c r="M92" s="23"/>
    </row>
    <row r="93" spans="1:13" ht="15.75" x14ac:dyDescent="0.2">
      <c r="A93" s="272" t="s">
        <v>357</v>
      </c>
      <c r="B93" s="295"/>
      <c r="C93" s="295"/>
      <c r="D93" s="166"/>
      <c r="E93" s="23"/>
      <c r="F93" s="295"/>
      <c r="G93" s="295"/>
      <c r="H93" s="166"/>
      <c r="I93" s="23"/>
      <c r="J93" s="295"/>
      <c r="K93" s="295"/>
      <c r="L93" s="166"/>
      <c r="M93" s="23"/>
    </row>
    <row r="94" spans="1:13" x14ac:dyDescent="0.2">
      <c r="A94" s="272" t="s">
        <v>12</v>
      </c>
      <c r="B94" s="212"/>
      <c r="C94" s="266"/>
      <c r="D94" s="166"/>
      <c r="E94" s="23"/>
      <c r="F94" s="212"/>
      <c r="G94" s="266"/>
      <c r="H94" s="166"/>
      <c r="I94" s="23"/>
      <c r="J94" s="212"/>
      <c r="K94" s="266"/>
      <c r="L94" s="166"/>
      <c r="M94" s="23"/>
    </row>
    <row r="95" spans="1:13" x14ac:dyDescent="0.2">
      <c r="A95" s="272" t="s">
        <v>13</v>
      </c>
      <c r="B95" s="212"/>
      <c r="C95" s="266"/>
      <c r="D95" s="166"/>
      <c r="E95" s="23"/>
      <c r="F95" s="212"/>
      <c r="G95" s="266"/>
      <c r="H95" s="166"/>
      <c r="I95" s="23"/>
      <c r="J95" s="212"/>
      <c r="K95" s="266"/>
      <c r="L95" s="166"/>
      <c r="M95" s="23"/>
    </row>
    <row r="96" spans="1:13" x14ac:dyDescent="0.2">
      <c r="A96" s="21" t="s">
        <v>324</v>
      </c>
      <c r="B96" s="211"/>
      <c r="C96" s="145"/>
      <c r="D96" s="166"/>
      <c r="E96" s="23"/>
      <c r="F96" s="211"/>
      <c r="G96" s="145"/>
      <c r="H96" s="166"/>
      <c r="I96" s="23"/>
      <c r="J96" s="145"/>
      <c r="K96" s="44"/>
      <c r="L96" s="231"/>
      <c r="M96" s="27"/>
    </row>
    <row r="97" spans="1:13" x14ac:dyDescent="0.2">
      <c r="A97" s="21" t="s">
        <v>323</v>
      </c>
      <c r="B97" s="211"/>
      <c r="C97" s="145"/>
      <c r="D97" s="166"/>
      <c r="E97" s="23"/>
      <c r="F97" s="211"/>
      <c r="G97" s="145"/>
      <c r="H97" s="166"/>
      <c r="I97" s="23"/>
      <c r="J97" s="145"/>
      <c r="K97" s="44"/>
      <c r="L97" s="231"/>
      <c r="M97" s="27"/>
    </row>
    <row r="98" spans="1:13" ht="15.75" x14ac:dyDescent="0.2">
      <c r="A98" s="21" t="s">
        <v>358</v>
      </c>
      <c r="B98" s="211"/>
      <c r="C98" s="211"/>
      <c r="D98" s="166"/>
      <c r="E98" s="23"/>
      <c r="F98" s="268"/>
      <c r="G98" s="268"/>
      <c r="H98" s="166"/>
      <c r="I98" s="23"/>
      <c r="J98" s="145"/>
      <c r="K98" s="44"/>
      <c r="L98" s="231"/>
      <c r="M98" s="27"/>
    </row>
    <row r="99" spans="1:13" x14ac:dyDescent="0.2">
      <c r="A99" s="21" t="s">
        <v>9</v>
      </c>
      <c r="B99" s="268"/>
      <c r="C99" s="269"/>
      <c r="D99" s="166"/>
      <c r="E99" s="23"/>
      <c r="F99" s="211"/>
      <c r="G99" s="145"/>
      <c r="H99" s="166"/>
      <c r="I99" s="23"/>
      <c r="J99" s="145"/>
      <c r="K99" s="44"/>
      <c r="L99" s="231"/>
      <c r="M99" s="27"/>
    </row>
    <row r="100" spans="1:13" ht="15.75" x14ac:dyDescent="0.2">
      <c r="A100" s="38" t="s">
        <v>399</v>
      </c>
      <c r="B100" s="268"/>
      <c r="C100" s="269"/>
      <c r="D100" s="166"/>
      <c r="E100" s="23"/>
      <c r="F100" s="211"/>
      <c r="G100" s="211"/>
      <c r="H100" s="166"/>
      <c r="I100" s="23"/>
      <c r="J100" s="145"/>
      <c r="K100" s="44"/>
      <c r="L100" s="231"/>
      <c r="M100" s="27"/>
    </row>
    <row r="101" spans="1:13" ht="15.75" x14ac:dyDescent="0.2">
      <c r="A101" s="38" t="s">
        <v>400</v>
      </c>
      <c r="B101" s="268"/>
      <c r="C101" s="268"/>
      <c r="D101" s="166"/>
      <c r="E101" s="23"/>
      <c r="F101" s="268"/>
      <c r="G101" s="268"/>
      <c r="H101" s="166"/>
      <c r="I101" s="23"/>
      <c r="J101" s="145"/>
      <c r="K101" s="44"/>
      <c r="L101" s="231"/>
      <c r="M101" s="27"/>
    </row>
    <row r="102" spans="1:13" ht="15.75" x14ac:dyDescent="0.2">
      <c r="A102" s="272" t="s">
        <v>356</v>
      </c>
      <c r="B102" s="295"/>
      <c r="C102" s="295"/>
      <c r="D102" s="166"/>
      <c r="E102" s="23"/>
      <c r="F102" s="295"/>
      <c r="G102" s="295"/>
      <c r="H102" s="166"/>
      <c r="I102" s="23"/>
      <c r="J102" s="295"/>
      <c r="K102" s="295"/>
      <c r="L102" s="166"/>
      <c r="M102" s="23"/>
    </row>
    <row r="103" spans="1:13" x14ac:dyDescent="0.2">
      <c r="A103" s="272" t="s">
        <v>12</v>
      </c>
      <c r="B103" s="295"/>
      <c r="C103" s="295"/>
      <c r="D103" s="166"/>
      <c r="E103" s="23"/>
      <c r="F103" s="270"/>
      <c r="G103" s="271"/>
      <c r="H103" s="166"/>
      <c r="I103" s="23"/>
      <c r="J103" s="270"/>
      <c r="K103" s="271"/>
      <c r="L103" s="166"/>
      <c r="M103" s="23"/>
    </row>
    <row r="104" spans="1:13" x14ac:dyDescent="0.2">
      <c r="A104" s="272" t="s">
        <v>13</v>
      </c>
      <c r="B104" s="295"/>
      <c r="C104" s="295"/>
      <c r="D104" s="166"/>
      <c r="E104" s="23"/>
      <c r="F104" s="212"/>
      <c r="G104" s="266"/>
      <c r="H104" s="166"/>
      <c r="I104" s="23"/>
      <c r="J104" s="212"/>
      <c r="K104" s="266"/>
      <c r="L104" s="166"/>
      <c r="M104" s="23"/>
    </row>
    <row r="105" spans="1:13" ht="15.75" x14ac:dyDescent="0.2">
      <c r="A105" s="272" t="s">
        <v>357</v>
      </c>
      <c r="B105" s="295"/>
      <c r="C105" s="295"/>
      <c r="D105" s="166"/>
      <c r="E105" s="23"/>
      <c r="F105" s="295"/>
      <c r="G105" s="295"/>
      <c r="H105" s="166"/>
      <c r="I105" s="23"/>
      <c r="J105" s="295"/>
      <c r="K105" s="295"/>
      <c r="L105" s="166"/>
      <c r="M105" s="23"/>
    </row>
    <row r="106" spans="1:13" x14ac:dyDescent="0.2">
      <c r="A106" s="272" t="s">
        <v>12</v>
      </c>
      <c r="B106" s="212"/>
      <c r="C106" s="266"/>
      <c r="D106" s="166"/>
      <c r="E106" s="23"/>
      <c r="F106" s="212"/>
      <c r="G106" s="266"/>
      <c r="H106" s="166"/>
      <c r="I106" s="23"/>
      <c r="J106" s="212"/>
      <c r="K106" s="266"/>
      <c r="L106" s="166"/>
      <c r="M106" s="23"/>
    </row>
    <row r="107" spans="1:13" x14ac:dyDescent="0.2">
      <c r="A107" s="272" t="s">
        <v>13</v>
      </c>
      <c r="B107" s="212"/>
      <c r="C107" s="266"/>
      <c r="D107" s="166"/>
      <c r="E107" s="23"/>
      <c r="F107" s="212"/>
      <c r="G107" s="266"/>
      <c r="H107" s="166"/>
      <c r="I107" s="23"/>
      <c r="J107" s="212"/>
      <c r="K107" s="266"/>
      <c r="L107" s="166"/>
      <c r="M107" s="23"/>
    </row>
    <row r="108" spans="1:13" ht="15.75" x14ac:dyDescent="0.2">
      <c r="A108" s="21" t="s">
        <v>359</v>
      </c>
      <c r="B108" s="211"/>
      <c r="C108" s="145"/>
      <c r="D108" s="166"/>
      <c r="E108" s="23"/>
      <c r="F108" s="211">
        <v>612679.44524000003</v>
      </c>
      <c r="G108" s="145">
        <v>877072.94293999998</v>
      </c>
      <c r="H108" s="166">
        <f t="shared" ref="H108:H112" si="9">IF(F108=0, "    ---- ", IF(ABS(ROUND(100/F108*G108-100,1))&lt;999,ROUND(100/F108*G108-100,1),IF(ROUND(100/F108*G108-100,1)&gt;999,999,-999)))</f>
        <v>43.2</v>
      </c>
      <c r="I108" s="23">
        <f>IFERROR(100/'Skjema total MA'!F108*G108,0)</f>
        <v>81.332473775862766</v>
      </c>
      <c r="J108" s="145">
        <f t="shared" ref="J108:K112" si="10">SUM(B108,F108)</f>
        <v>612679.44524000003</v>
      </c>
      <c r="K108" s="44">
        <f t="shared" si="10"/>
        <v>877072.94293999998</v>
      </c>
      <c r="L108" s="231">
        <f t="shared" ref="L108:L112" si="11">IF(J108=0, "    ---- ", IF(ABS(ROUND(100/J108*K108-100,1))&lt;999,ROUND(100/J108*K108-100,1),IF(ROUND(100/J108*K108-100,1)&gt;999,999,-999)))</f>
        <v>43.2</v>
      </c>
      <c r="M108" s="27">
        <f>IFERROR(100/'Skjema total MA'!I108*K108,0)</f>
        <v>15.87533525700634</v>
      </c>
    </row>
    <row r="109" spans="1:13" ht="15.75" x14ac:dyDescent="0.2">
      <c r="A109" s="21" t="s">
        <v>360</v>
      </c>
      <c r="B109" s="211"/>
      <c r="C109" s="211"/>
      <c r="D109" s="166"/>
      <c r="E109" s="23"/>
      <c r="F109" s="211"/>
      <c r="G109" s="211"/>
      <c r="H109" s="166"/>
      <c r="I109" s="23"/>
      <c r="J109" s="145"/>
      <c r="K109" s="44"/>
      <c r="L109" s="231"/>
      <c r="M109" s="27"/>
    </row>
    <row r="110" spans="1:13" ht="15.75" x14ac:dyDescent="0.2">
      <c r="A110" s="38" t="s">
        <v>416</v>
      </c>
      <c r="B110" s="211"/>
      <c r="C110" s="211"/>
      <c r="D110" s="166"/>
      <c r="E110" s="23"/>
      <c r="F110" s="211">
        <v>457028.89337000001</v>
      </c>
      <c r="G110" s="211">
        <v>689216.48519000004</v>
      </c>
      <c r="H110" s="166">
        <f t="shared" si="9"/>
        <v>50.8</v>
      </c>
      <c r="I110" s="23">
        <f>IFERROR(100/'Skjema total MA'!F110*G110,0)</f>
        <v>0.50952853858743996</v>
      </c>
      <c r="J110" s="145">
        <f t="shared" si="10"/>
        <v>457028.89337000001</v>
      </c>
      <c r="K110" s="44">
        <f t="shared" si="10"/>
        <v>689216.48519000004</v>
      </c>
      <c r="L110" s="231">
        <f t="shared" si="11"/>
        <v>50.8</v>
      </c>
      <c r="M110" s="27">
        <f>IFERROR(100/'Skjema total MA'!I110*K110,0)</f>
        <v>0.50358972988566986</v>
      </c>
    </row>
    <row r="111" spans="1:13" ht="15.75" x14ac:dyDescent="0.2">
      <c r="A111" s="21" t="s">
        <v>362</v>
      </c>
      <c r="B111" s="211"/>
      <c r="C111" s="211"/>
      <c r="D111" s="166"/>
      <c r="E111" s="23"/>
      <c r="F111" s="211"/>
      <c r="G111" s="211"/>
      <c r="H111" s="166"/>
      <c r="I111" s="23"/>
      <c r="J111" s="145"/>
      <c r="K111" s="44"/>
      <c r="L111" s="231"/>
      <c r="M111" s="27"/>
    </row>
    <row r="112" spans="1:13" ht="15.75" x14ac:dyDescent="0.2">
      <c r="A112" s="13" t="s">
        <v>342</v>
      </c>
      <c r="B112" s="284"/>
      <c r="C112" s="159"/>
      <c r="D112" s="171"/>
      <c r="E112" s="24"/>
      <c r="F112" s="284">
        <v>31970.420999999998</v>
      </c>
      <c r="G112" s="159">
        <v>25408.076000000001</v>
      </c>
      <c r="H112" s="171">
        <f t="shared" si="9"/>
        <v>-20.5</v>
      </c>
      <c r="I112" s="24">
        <f>IFERROR(100/'Skjema total MA'!F112*G112,0)</f>
        <v>0.26366510134275151</v>
      </c>
      <c r="J112" s="159">
        <f t="shared" si="10"/>
        <v>31970.420999999998</v>
      </c>
      <c r="K112" s="213">
        <f t="shared" si="10"/>
        <v>25408.076000000001</v>
      </c>
      <c r="L112" s="402">
        <f t="shared" si="11"/>
        <v>-20.5</v>
      </c>
      <c r="M112" s="11">
        <f>IFERROR(100/'Skjema total MA'!I112*K112,0)</f>
        <v>0.24655273835974276</v>
      </c>
    </row>
    <row r="113" spans="1:14" x14ac:dyDescent="0.2">
      <c r="A113" s="21" t="s">
        <v>9</v>
      </c>
      <c r="B113" s="211"/>
      <c r="C113" s="145"/>
      <c r="D113" s="166"/>
      <c r="E113" s="23"/>
      <c r="F113" s="211"/>
      <c r="G113" s="145"/>
      <c r="H113" s="166"/>
      <c r="I113" s="23"/>
      <c r="J113" s="145"/>
      <c r="K113" s="44"/>
      <c r="L113" s="231"/>
      <c r="M113" s="27"/>
    </row>
    <row r="114" spans="1:14" x14ac:dyDescent="0.2">
      <c r="A114" s="21" t="s">
        <v>10</v>
      </c>
      <c r="B114" s="211"/>
      <c r="C114" s="145"/>
      <c r="D114" s="166"/>
      <c r="E114" s="23"/>
      <c r="F114" s="211">
        <v>31970.420999999998</v>
      </c>
      <c r="G114" s="145">
        <v>25408.076000000001</v>
      </c>
      <c r="H114" s="166">
        <f t="shared" ref="H114:H126" si="12">IF(F114=0, "    ---- ", IF(ABS(ROUND(100/F114*G114-100,1))&lt;999,ROUND(100/F114*G114-100,1),IF(ROUND(100/F114*G114-100,1)&gt;999,999,-999)))</f>
        <v>-20.5</v>
      </c>
      <c r="I114" s="23">
        <f>IFERROR(100/'Skjema total MA'!F114*G114,0)</f>
        <v>0.26394196065751385</v>
      </c>
      <c r="J114" s="145">
        <f t="shared" ref="J114:K126" si="13">SUM(B114,F114)</f>
        <v>31970.420999999998</v>
      </c>
      <c r="K114" s="44">
        <f t="shared" si="13"/>
        <v>25408.076000000001</v>
      </c>
      <c r="L114" s="231">
        <f t="shared" ref="L114:L126" si="14">IF(J114=0, "    ---- ", IF(ABS(ROUND(100/J114*K114-100,1))&lt;999,ROUND(100/J114*K114-100,1),IF(ROUND(100/J114*K114-100,1)&gt;999,999,-999)))</f>
        <v>-20.5</v>
      </c>
      <c r="M114" s="27">
        <f>IFERROR(100/'Skjema total MA'!I114*K114,0)</f>
        <v>0.26393641759979569</v>
      </c>
    </row>
    <row r="115" spans="1:14" x14ac:dyDescent="0.2">
      <c r="A115" s="21" t="s">
        <v>26</v>
      </c>
      <c r="B115" s="211"/>
      <c r="C115" s="145"/>
      <c r="D115" s="166"/>
      <c r="E115" s="23"/>
      <c r="F115" s="211"/>
      <c r="G115" s="145"/>
      <c r="H115" s="166"/>
      <c r="I115" s="23"/>
      <c r="J115" s="145"/>
      <c r="K115" s="44"/>
      <c r="L115" s="231"/>
      <c r="M115" s="27"/>
    </row>
    <row r="116" spans="1:14" x14ac:dyDescent="0.2">
      <c r="A116" s="272" t="s">
        <v>15</v>
      </c>
      <c r="B116" s="258"/>
      <c r="C116" s="258"/>
      <c r="D116" s="166"/>
      <c r="E116" s="23"/>
      <c r="F116" s="665"/>
      <c r="G116" s="258"/>
      <c r="H116" s="166"/>
      <c r="I116" s="23"/>
      <c r="J116" s="667"/>
      <c r="K116" s="267"/>
      <c r="L116" s="166"/>
      <c r="M116" s="23"/>
    </row>
    <row r="117" spans="1:14" ht="15.75" x14ac:dyDescent="0.2">
      <c r="A117" s="21" t="s">
        <v>363</v>
      </c>
      <c r="B117" s="211"/>
      <c r="C117" s="211"/>
      <c r="D117" s="166"/>
      <c r="E117" s="23"/>
      <c r="F117" s="211"/>
      <c r="G117" s="211"/>
      <c r="H117" s="166"/>
      <c r="I117" s="23"/>
      <c r="J117" s="145"/>
      <c r="K117" s="44"/>
      <c r="L117" s="231"/>
      <c r="M117" s="27"/>
    </row>
    <row r="118" spans="1:14" ht="15.75" x14ac:dyDescent="0.2">
      <c r="A118" s="21" t="s">
        <v>364</v>
      </c>
      <c r="B118" s="211"/>
      <c r="C118" s="211"/>
      <c r="D118" s="166"/>
      <c r="E118" s="23"/>
      <c r="F118" s="211">
        <v>31970.420999999998</v>
      </c>
      <c r="G118" s="211">
        <v>25408.076000000001</v>
      </c>
      <c r="H118" s="166">
        <f t="shared" si="12"/>
        <v>-20.5</v>
      </c>
      <c r="I118" s="23">
        <f>IFERROR(100/'Skjema total MA'!F118*G118,0)</f>
        <v>2.7240127400020571</v>
      </c>
      <c r="J118" s="145">
        <f t="shared" si="13"/>
        <v>31970.420999999998</v>
      </c>
      <c r="K118" s="44">
        <f t="shared" si="13"/>
        <v>25408.076000000001</v>
      </c>
      <c r="L118" s="231">
        <f t="shared" si="14"/>
        <v>-20.5</v>
      </c>
      <c r="M118" s="27">
        <f>IFERROR(100/'Skjema total MA'!I118*K118,0)</f>
        <v>2.7240127400020571</v>
      </c>
    </row>
    <row r="119" spans="1:14" ht="15.75" x14ac:dyDescent="0.2">
      <c r="A119" s="21" t="s">
        <v>362</v>
      </c>
      <c r="B119" s="211"/>
      <c r="C119" s="211"/>
      <c r="D119" s="166"/>
      <c r="E119" s="23"/>
      <c r="F119" s="211"/>
      <c r="G119" s="211"/>
      <c r="H119" s="166"/>
      <c r="I119" s="23"/>
      <c r="J119" s="145"/>
      <c r="K119" s="44"/>
      <c r="L119" s="231"/>
      <c r="M119" s="27"/>
    </row>
    <row r="120" spans="1:14" ht="15.75" x14ac:dyDescent="0.2">
      <c r="A120" s="13" t="s">
        <v>343</v>
      </c>
      <c r="B120" s="284"/>
      <c r="C120" s="159"/>
      <c r="D120" s="171"/>
      <c r="E120" s="24"/>
      <c r="F120" s="284">
        <v>2229.94398</v>
      </c>
      <c r="G120" s="159">
        <v>6968.9656800000002</v>
      </c>
      <c r="H120" s="171">
        <f t="shared" si="12"/>
        <v>212.5</v>
      </c>
      <c r="I120" s="24">
        <f>IFERROR(100/'Skjema total MA'!F120*G120,0)</f>
        <v>5.7618804206603237E-2</v>
      </c>
      <c r="J120" s="159">
        <f t="shared" si="13"/>
        <v>2229.94398</v>
      </c>
      <c r="K120" s="213">
        <f t="shared" si="13"/>
        <v>6968.9656800000002</v>
      </c>
      <c r="L120" s="402">
        <f t="shared" si="14"/>
        <v>212.5</v>
      </c>
      <c r="M120" s="11">
        <f>IFERROR(100/'Skjema total MA'!I120*K120,0)</f>
        <v>5.7001930798345139E-2</v>
      </c>
    </row>
    <row r="121" spans="1:14" x14ac:dyDescent="0.2">
      <c r="A121" s="21" t="s">
        <v>9</v>
      </c>
      <c r="B121" s="211"/>
      <c r="C121" s="145"/>
      <c r="D121" s="166"/>
      <c r="E121" s="23"/>
      <c r="F121" s="211"/>
      <c r="G121" s="145"/>
      <c r="H121" s="166"/>
      <c r="I121" s="23"/>
      <c r="J121" s="145"/>
      <c r="K121" s="44"/>
      <c r="L121" s="231"/>
      <c r="M121" s="27"/>
    </row>
    <row r="122" spans="1:14" x14ac:dyDescent="0.2">
      <c r="A122" s="21" t="s">
        <v>10</v>
      </c>
      <c r="B122" s="211"/>
      <c r="C122" s="145"/>
      <c r="D122" s="166"/>
      <c r="E122" s="23"/>
      <c r="F122" s="211">
        <v>2229.94398</v>
      </c>
      <c r="G122" s="145">
        <v>6968.9656800000002</v>
      </c>
      <c r="H122" s="166">
        <f t="shared" si="12"/>
        <v>212.5</v>
      </c>
      <c r="I122" s="23">
        <f>IFERROR(100/'Skjema total MA'!F122*G122,0)</f>
        <v>5.7618804206603237E-2</v>
      </c>
      <c r="J122" s="145">
        <f t="shared" si="13"/>
        <v>2229.94398</v>
      </c>
      <c r="K122" s="44">
        <f t="shared" si="13"/>
        <v>6968.9656800000002</v>
      </c>
      <c r="L122" s="231">
        <f t="shared" si="14"/>
        <v>212.5</v>
      </c>
      <c r="M122" s="27">
        <f>IFERROR(100/'Skjema total MA'!I122*K122,0)</f>
        <v>5.7568460128946779E-2</v>
      </c>
    </row>
    <row r="123" spans="1:14" x14ac:dyDescent="0.2">
      <c r="A123" s="21" t="s">
        <v>26</v>
      </c>
      <c r="B123" s="211"/>
      <c r="C123" s="145"/>
      <c r="D123" s="166"/>
      <c r="E123" s="23"/>
      <c r="F123" s="211"/>
      <c r="G123" s="145"/>
      <c r="H123" s="166"/>
      <c r="I123" s="23"/>
      <c r="J123" s="145"/>
      <c r="K123" s="44"/>
      <c r="L123" s="231"/>
      <c r="M123" s="27"/>
    </row>
    <row r="124" spans="1:14" x14ac:dyDescent="0.2">
      <c r="A124" s="272" t="s">
        <v>14</v>
      </c>
      <c r="B124" s="258"/>
      <c r="C124" s="258"/>
      <c r="D124" s="166"/>
      <c r="E124" s="23"/>
      <c r="F124" s="665"/>
      <c r="G124" s="258"/>
      <c r="H124" s="166"/>
      <c r="I124" s="23"/>
      <c r="J124" s="667"/>
      <c r="K124" s="267"/>
      <c r="L124" s="166"/>
      <c r="M124" s="23"/>
    </row>
    <row r="125" spans="1:14" ht="15.75" x14ac:dyDescent="0.2">
      <c r="A125" s="21" t="s">
        <v>369</v>
      </c>
      <c r="B125" s="211"/>
      <c r="C125" s="211"/>
      <c r="D125" s="166"/>
      <c r="E125" s="23"/>
      <c r="F125" s="211"/>
      <c r="G125" s="211"/>
      <c r="H125" s="166"/>
      <c r="I125" s="23"/>
      <c r="J125" s="145"/>
      <c r="K125" s="44"/>
      <c r="L125" s="231"/>
      <c r="M125" s="27"/>
    </row>
    <row r="126" spans="1:14" ht="15.75" x14ac:dyDescent="0.2">
      <c r="A126" s="21" t="s">
        <v>361</v>
      </c>
      <c r="B126" s="211"/>
      <c r="C126" s="211"/>
      <c r="D126" s="166"/>
      <c r="E126" s="23"/>
      <c r="F126" s="211">
        <v>2229.94398</v>
      </c>
      <c r="G126" s="211">
        <v>6968.9656800000002</v>
      </c>
      <c r="H126" s="166">
        <f t="shared" si="12"/>
        <v>212.5</v>
      </c>
      <c r="I126" s="23">
        <f>IFERROR(100/'Skjema total MA'!F126*G126,0)</f>
        <v>0.25523742123508758</v>
      </c>
      <c r="J126" s="145">
        <f t="shared" si="13"/>
        <v>2229.94398</v>
      </c>
      <c r="K126" s="44">
        <f t="shared" si="13"/>
        <v>6968.9656800000002</v>
      </c>
      <c r="L126" s="231">
        <f t="shared" si="14"/>
        <v>212.5</v>
      </c>
      <c r="M126" s="27">
        <f>IFERROR(100/'Skjema total MA'!I126*K126,0)</f>
        <v>0.25522114687497111</v>
      </c>
    </row>
    <row r="127" spans="1:14" ht="15.75" x14ac:dyDescent="0.2">
      <c r="A127" s="10" t="s">
        <v>362</v>
      </c>
      <c r="B127" s="45"/>
      <c r="C127" s="45"/>
      <c r="D127" s="167"/>
      <c r="E127" s="22"/>
      <c r="F127" s="666"/>
      <c r="G127" s="45"/>
      <c r="H127" s="167"/>
      <c r="I127" s="22"/>
      <c r="J127" s="668"/>
      <c r="K127" s="45"/>
      <c r="L127" s="232"/>
      <c r="M127" s="22"/>
    </row>
    <row r="128" spans="1:14" x14ac:dyDescent="0.2">
      <c r="A128" s="155"/>
      <c r="L128" s="26"/>
      <c r="M128" s="26"/>
      <c r="N128" s="26"/>
    </row>
    <row r="129" spans="1:14" x14ac:dyDescent="0.2">
      <c r="L129" s="26"/>
      <c r="M129" s="26"/>
      <c r="N129" s="26"/>
    </row>
    <row r="130" spans="1:14" ht="15.75" x14ac:dyDescent="0.25">
      <c r="A130" s="165" t="s">
        <v>27</v>
      </c>
    </row>
    <row r="131" spans="1:14" ht="15.75" x14ac:dyDescent="0.25">
      <c r="B131" s="694"/>
      <c r="C131" s="694"/>
      <c r="D131" s="694"/>
      <c r="E131" s="275"/>
      <c r="F131" s="694"/>
      <c r="G131" s="694"/>
      <c r="H131" s="694"/>
      <c r="I131" s="275"/>
      <c r="J131" s="694"/>
      <c r="K131" s="694"/>
      <c r="L131" s="694"/>
      <c r="M131" s="275"/>
    </row>
    <row r="132" spans="1:14" s="3" customFormat="1" x14ac:dyDescent="0.2">
      <c r="A132" s="144"/>
      <c r="B132" s="695" t="s">
        <v>0</v>
      </c>
      <c r="C132" s="696"/>
      <c r="D132" s="696"/>
      <c r="E132" s="277"/>
      <c r="F132" s="695" t="s">
        <v>1</v>
      </c>
      <c r="G132" s="696"/>
      <c r="H132" s="696"/>
      <c r="I132" s="280"/>
      <c r="J132" s="695" t="s">
        <v>2</v>
      </c>
      <c r="K132" s="696"/>
      <c r="L132" s="696"/>
      <c r="M132" s="280"/>
      <c r="N132" s="148"/>
    </row>
    <row r="133" spans="1:14" s="3" customFormat="1" x14ac:dyDescent="0.2">
      <c r="A133" s="140"/>
      <c r="B133" s="152" t="s">
        <v>412</v>
      </c>
      <c r="C133" s="152" t="s">
        <v>413</v>
      </c>
      <c r="D133" s="222" t="s">
        <v>3</v>
      </c>
      <c r="E133" s="281" t="s">
        <v>29</v>
      </c>
      <c r="F133" s="152" t="s">
        <v>412</v>
      </c>
      <c r="G133" s="152" t="s">
        <v>413</v>
      </c>
      <c r="H133" s="203" t="s">
        <v>3</v>
      </c>
      <c r="I133" s="162" t="s">
        <v>29</v>
      </c>
      <c r="J133" s="152" t="s">
        <v>412</v>
      </c>
      <c r="K133" s="152" t="s">
        <v>413</v>
      </c>
      <c r="L133" s="223" t="s">
        <v>3</v>
      </c>
      <c r="M133" s="162" t="s">
        <v>29</v>
      </c>
      <c r="N133" s="148"/>
    </row>
    <row r="134" spans="1:14" s="3" customFormat="1" x14ac:dyDescent="0.2">
      <c r="A134" s="662"/>
      <c r="B134" s="156"/>
      <c r="C134" s="156"/>
      <c r="D134" s="223" t="s">
        <v>4</v>
      </c>
      <c r="E134" s="156" t="s">
        <v>30</v>
      </c>
      <c r="F134" s="161"/>
      <c r="G134" s="161"/>
      <c r="H134" s="203" t="s">
        <v>4</v>
      </c>
      <c r="I134" s="156" t="s">
        <v>30</v>
      </c>
      <c r="J134" s="156"/>
      <c r="K134" s="156"/>
      <c r="L134" s="150" t="s">
        <v>4</v>
      </c>
      <c r="M134" s="156" t="s">
        <v>30</v>
      </c>
      <c r="N134" s="148"/>
    </row>
    <row r="135" spans="1:14" s="3" customFormat="1" ht="15.75" x14ac:dyDescent="0.2">
      <c r="A135" s="14" t="s">
        <v>365</v>
      </c>
      <c r="B135" s="213"/>
      <c r="C135" s="285"/>
      <c r="D135" s="326"/>
      <c r="E135" s="11"/>
      <c r="F135" s="292"/>
      <c r="G135" s="293"/>
      <c r="H135" s="405"/>
      <c r="I135" s="24"/>
      <c r="J135" s="294"/>
      <c r="K135" s="294"/>
      <c r="L135" s="401"/>
      <c r="M135" s="11"/>
      <c r="N135" s="148"/>
    </row>
    <row r="136" spans="1:14" s="3" customFormat="1" ht="15.75" x14ac:dyDescent="0.2">
      <c r="A136" s="13" t="s">
        <v>370</v>
      </c>
      <c r="B136" s="213"/>
      <c r="C136" s="285"/>
      <c r="D136" s="171"/>
      <c r="E136" s="11"/>
      <c r="F136" s="213"/>
      <c r="G136" s="285"/>
      <c r="H136" s="406"/>
      <c r="I136" s="24"/>
      <c r="J136" s="284"/>
      <c r="K136" s="284"/>
      <c r="L136" s="402"/>
      <c r="M136" s="11"/>
      <c r="N136" s="148"/>
    </row>
    <row r="137" spans="1:14" s="3" customFormat="1" ht="15.75" x14ac:dyDescent="0.2">
      <c r="A137" s="13" t="s">
        <v>367</v>
      </c>
      <c r="B137" s="213"/>
      <c r="C137" s="285"/>
      <c r="D137" s="171"/>
      <c r="E137" s="11"/>
      <c r="F137" s="213"/>
      <c r="G137" s="285"/>
      <c r="H137" s="406"/>
      <c r="I137" s="24"/>
      <c r="J137" s="284"/>
      <c r="K137" s="284"/>
      <c r="L137" s="402"/>
      <c r="M137" s="11"/>
      <c r="N137" s="148"/>
    </row>
    <row r="138" spans="1:14" s="3" customFormat="1" ht="15.75" x14ac:dyDescent="0.2">
      <c r="A138" s="41" t="s">
        <v>368</v>
      </c>
      <c r="B138" s="253"/>
      <c r="C138" s="291"/>
      <c r="D138" s="169"/>
      <c r="E138" s="9"/>
      <c r="F138" s="253"/>
      <c r="G138" s="291"/>
      <c r="H138" s="407"/>
      <c r="I138" s="36"/>
      <c r="J138" s="290"/>
      <c r="K138" s="290"/>
      <c r="L138" s="403"/>
      <c r="M138" s="36"/>
      <c r="N138" s="148"/>
    </row>
    <row r="139" spans="1:14" s="3" customFormat="1"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68"/>
      <c r="B141" s="33"/>
      <c r="C141" s="33"/>
      <c r="D141" s="159"/>
      <c r="E141" s="159"/>
      <c r="F141" s="33"/>
      <c r="G141" s="33"/>
      <c r="H141" s="159"/>
      <c r="I141" s="159"/>
      <c r="J141" s="33"/>
      <c r="K141" s="33"/>
      <c r="L141" s="159"/>
      <c r="M141" s="159"/>
      <c r="N141" s="148"/>
    </row>
    <row r="142" spans="1:14" x14ac:dyDescent="0.2">
      <c r="A142" s="146"/>
      <c r="B142" s="146"/>
      <c r="C142" s="146"/>
      <c r="D142" s="146"/>
      <c r="E142" s="146"/>
      <c r="F142" s="146"/>
      <c r="G142" s="146"/>
      <c r="H142" s="146"/>
      <c r="I142" s="146"/>
      <c r="J142" s="146"/>
      <c r="K142" s="146"/>
      <c r="L142" s="146"/>
      <c r="M142" s="146"/>
      <c r="N142" s="146"/>
    </row>
    <row r="143" spans="1:14" ht="15.75" x14ac:dyDescent="0.25">
      <c r="B143" s="142"/>
      <c r="C143" s="142"/>
      <c r="D143" s="142"/>
      <c r="E143" s="142"/>
      <c r="F143" s="142"/>
      <c r="G143" s="142"/>
      <c r="H143" s="142"/>
      <c r="I143" s="142"/>
      <c r="J143" s="142"/>
      <c r="K143" s="142"/>
      <c r="L143" s="142"/>
      <c r="M143" s="142"/>
      <c r="N143" s="142"/>
    </row>
    <row r="144" spans="1:14" ht="15.75" x14ac:dyDescent="0.25">
      <c r="B144" s="157"/>
      <c r="C144" s="157"/>
      <c r="D144" s="157"/>
      <c r="E144" s="157"/>
      <c r="F144" s="157"/>
      <c r="G144" s="157"/>
      <c r="H144" s="157"/>
      <c r="I144" s="157"/>
      <c r="J144" s="157"/>
      <c r="K144" s="157"/>
      <c r="L144" s="157"/>
      <c r="M144" s="157"/>
      <c r="N144" s="157"/>
    </row>
    <row r="145" spans="2:14" ht="15.75" x14ac:dyDescent="0.25">
      <c r="B145" s="157"/>
      <c r="C145" s="157"/>
      <c r="D145" s="157"/>
      <c r="E145" s="157"/>
      <c r="F145" s="157"/>
      <c r="G145" s="157"/>
      <c r="H145" s="157"/>
      <c r="I145" s="157"/>
      <c r="J145" s="157"/>
      <c r="K145" s="157"/>
      <c r="L145" s="157"/>
      <c r="M145" s="157"/>
      <c r="N145" s="157"/>
    </row>
  </sheetData>
  <mergeCells count="31">
    <mergeCell ref="B132:D132"/>
    <mergeCell ref="F132:H132"/>
    <mergeCell ref="J132:L132"/>
    <mergeCell ref="B63:D63"/>
    <mergeCell ref="F63:H63"/>
    <mergeCell ref="J63:L63"/>
    <mergeCell ref="B131:D131"/>
    <mergeCell ref="F131:H131"/>
    <mergeCell ref="J131:L131"/>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6">
    <cfRule type="expression" dxfId="344" priority="76">
      <formula>kvartal &lt; 4</formula>
    </cfRule>
  </conditionalFormatting>
  <conditionalFormatting sqref="C116">
    <cfRule type="expression" dxfId="343" priority="75">
      <formula>kvartal &lt; 4</formula>
    </cfRule>
  </conditionalFormatting>
  <conditionalFormatting sqref="B124">
    <cfRule type="expression" dxfId="342" priority="74">
      <formula>kvartal &lt; 4</formula>
    </cfRule>
  </conditionalFormatting>
  <conditionalFormatting sqref="C124">
    <cfRule type="expression" dxfId="341" priority="73">
      <formula>kvartal &lt; 4</formula>
    </cfRule>
  </conditionalFormatting>
  <conditionalFormatting sqref="F116">
    <cfRule type="expression" dxfId="340" priority="58">
      <formula>kvartal &lt; 4</formula>
    </cfRule>
  </conditionalFormatting>
  <conditionalFormatting sqref="G116">
    <cfRule type="expression" dxfId="339" priority="57">
      <formula>kvartal &lt; 4</formula>
    </cfRule>
  </conditionalFormatting>
  <conditionalFormatting sqref="F124:G124">
    <cfRule type="expression" dxfId="338" priority="56">
      <formula>kvartal &lt; 4</formula>
    </cfRule>
  </conditionalFormatting>
  <conditionalFormatting sqref="J116:K116">
    <cfRule type="expression" dxfId="337" priority="32">
      <formula>kvartal &lt; 4</formula>
    </cfRule>
  </conditionalFormatting>
  <conditionalFormatting sqref="J124:K124">
    <cfRule type="expression" dxfId="336" priority="31">
      <formula>kvartal &lt; 4</formula>
    </cfRule>
  </conditionalFormatting>
  <conditionalFormatting sqref="A50:A52">
    <cfRule type="expression" dxfId="335" priority="12">
      <formula>kvartal &lt; 4</formula>
    </cfRule>
  </conditionalFormatting>
  <conditionalFormatting sqref="A69:A74">
    <cfRule type="expression" dxfId="334" priority="10">
      <formula>kvartal &lt; 4</formula>
    </cfRule>
  </conditionalFormatting>
  <conditionalFormatting sqref="A80:A85">
    <cfRule type="expression" dxfId="333" priority="9">
      <formula>kvartal &lt; 4</formula>
    </cfRule>
  </conditionalFormatting>
  <conditionalFormatting sqref="A90:A95">
    <cfRule type="expression" dxfId="332" priority="6">
      <formula>kvartal &lt; 4</formula>
    </cfRule>
  </conditionalFormatting>
  <conditionalFormatting sqref="A102:A107">
    <cfRule type="expression" dxfId="331" priority="5">
      <formula>kvartal &lt; 4</formula>
    </cfRule>
  </conditionalFormatting>
  <conditionalFormatting sqref="A116">
    <cfRule type="expression" dxfId="330" priority="4">
      <formula>kvartal &lt; 4</formula>
    </cfRule>
  </conditionalFormatting>
  <conditionalFormatting sqref="A124">
    <cfRule type="expression" dxfId="329" priority="3">
      <formula>kvartal &lt; 4</formula>
    </cfRule>
  </conditionalFormatting>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29"/>
  <dimension ref="A1:N145"/>
  <sheetViews>
    <sheetView showGridLines="0" zoomScaleNormal="100" workbookViewId="0">
      <selection activeCell="A111" sqref="A111"/>
    </sheetView>
  </sheetViews>
  <sheetFormatPr baseColWidth="10" defaultColWidth="11.42578125" defaultRowHeight="12.75" x14ac:dyDescent="0.2"/>
  <cols>
    <col min="1" max="1" width="41.57031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134</v>
      </c>
      <c r="B1" s="663"/>
      <c r="C1" s="225" t="s">
        <v>132</v>
      </c>
      <c r="D1" s="26"/>
      <c r="E1" s="26"/>
      <c r="F1" s="26"/>
      <c r="G1" s="26"/>
      <c r="H1" s="26"/>
      <c r="I1" s="26"/>
      <c r="J1" s="26"/>
      <c r="K1" s="26"/>
      <c r="L1" s="26"/>
      <c r="M1" s="26"/>
    </row>
    <row r="2" spans="1:14" ht="15.75" x14ac:dyDescent="0.25">
      <c r="A2" s="165" t="s">
        <v>28</v>
      </c>
      <c r="B2" s="699"/>
      <c r="C2" s="699"/>
      <c r="D2" s="699"/>
      <c r="E2" s="275"/>
      <c r="F2" s="699"/>
      <c r="G2" s="699"/>
      <c r="H2" s="699"/>
      <c r="I2" s="275"/>
      <c r="J2" s="699"/>
      <c r="K2" s="699"/>
      <c r="L2" s="699"/>
      <c r="M2" s="275"/>
    </row>
    <row r="3" spans="1:14" ht="15.75" x14ac:dyDescent="0.25">
      <c r="A3" s="163"/>
      <c r="B3" s="275"/>
      <c r="C3" s="275"/>
      <c r="D3" s="275"/>
      <c r="E3" s="275"/>
      <c r="F3" s="275"/>
      <c r="G3" s="275"/>
      <c r="H3" s="275"/>
      <c r="I3" s="275"/>
      <c r="J3" s="275"/>
      <c r="K3" s="275"/>
      <c r="L3" s="275"/>
      <c r="M3" s="275"/>
    </row>
    <row r="4" spans="1:14" x14ac:dyDescent="0.2">
      <c r="A4" s="144"/>
      <c r="B4" s="695" t="s">
        <v>0</v>
      </c>
      <c r="C4" s="696"/>
      <c r="D4" s="696"/>
      <c r="E4" s="277"/>
      <c r="F4" s="695" t="s">
        <v>1</v>
      </c>
      <c r="G4" s="696"/>
      <c r="H4" s="696"/>
      <c r="I4" s="280"/>
      <c r="J4" s="695" t="s">
        <v>2</v>
      </c>
      <c r="K4" s="696"/>
      <c r="L4" s="696"/>
      <c r="M4" s="280"/>
    </row>
    <row r="5" spans="1:14" x14ac:dyDescent="0.2">
      <c r="A5" s="158"/>
      <c r="B5" s="152" t="s">
        <v>412</v>
      </c>
      <c r="C5" s="152" t="s">
        <v>413</v>
      </c>
      <c r="D5" s="222" t="s">
        <v>3</v>
      </c>
      <c r="E5" s="281" t="s">
        <v>29</v>
      </c>
      <c r="F5" s="152" t="s">
        <v>412</v>
      </c>
      <c r="G5" s="152" t="s">
        <v>413</v>
      </c>
      <c r="H5" s="222" t="s">
        <v>3</v>
      </c>
      <c r="I5" s="162" t="s">
        <v>29</v>
      </c>
      <c r="J5" s="152" t="s">
        <v>412</v>
      </c>
      <c r="K5" s="152" t="s">
        <v>413</v>
      </c>
      <c r="L5" s="222" t="s">
        <v>3</v>
      </c>
      <c r="M5" s="162" t="s">
        <v>29</v>
      </c>
    </row>
    <row r="6" spans="1:14" x14ac:dyDescent="0.2">
      <c r="A6" s="661"/>
      <c r="B6" s="156"/>
      <c r="C6" s="156"/>
      <c r="D6" s="223" t="s">
        <v>4</v>
      </c>
      <c r="E6" s="156" t="s">
        <v>30</v>
      </c>
      <c r="F6" s="161"/>
      <c r="G6" s="161"/>
      <c r="H6" s="222" t="s">
        <v>4</v>
      </c>
      <c r="I6" s="156" t="s">
        <v>30</v>
      </c>
      <c r="J6" s="161"/>
      <c r="K6" s="161"/>
      <c r="L6" s="222" t="s">
        <v>4</v>
      </c>
      <c r="M6" s="156" t="s">
        <v>30</v>
      </c>
    </row>
    <row r="7" spans="1:14" ht="15.75" x14ac:dyDescent="0.2">
      <c r="A7" s="14" t="s">
        <v>23</v>
      </c>
      <c r="B7" s="282">
        <v>1939.9349400000001</v>
      </c>
      <c r="C7" s="283">
        <v>1518.87221</v>
      </c>
      <c r="D7" s="326">
        <f t="shared" ref="D7:D10" si="0">IF(B7=0, "    ---- ", IF(ABS(ROUND(100/B7*C7-100,1))&lt;999,ROUND(100/B7*C7-100,1),IF(ROUND(100/B7*C7-100,1)&gt;999,999,-999)))</f>
        <v>-21.7</v>
      </c>
      <c r="E7" s="11">
        <f>IFERROR(100/'Skjema total MA'!C7*C7,0)</f>
        <v>9.0135542383541517E-2</v>
      </c>
      <c r="F7" s="282">
        <v>112724.65820999999</v>
      </c>
      <c r="G7" s="283">
        <v>151571.08749000001</v>
      </c>
      <c r="H7" s="326">
        <f t="shared" ref="H7:H12" si="1">IF(F7=0, "    ---- ", IF(ABS(ROUND(100/F7*G7-100,1))&lt;999,ROUND(100/F7*G7-100,1),IF(ROUND(100/F7*G7-100,1)&gt;999,999,-999)))</f>
        <v>34.5</v>
      </c>
      <c r="I7" s="160">
        <f>IFERROR(100/'Skjema total MA'!F7*G7,0)</f>
        <v>3.8838918716650057</v>
      </c>
      <c r="J7" s="284">
        <f t="shared" ref="J7:K12" si="2">SUM(B7,F7)</f>
        <v>114664.59315</v>
      </c>
      <c r="K7" s="285">
        <f t="shared" si="2"/>
        <v>153089.95970000001</v>
      </c>
      <c r="L7" s="401">
        <f t="shared" ref="L7:L12" si="3">IF(J7=0, "    ---- ", IF(ABS(ROUND(100/J7*K7-100,1))&lt;999,ROUND(100/J7*K7-100,1),IF(ROUND(100/J7*K7-100,1)&gt;999,999,-999)))</f>
        <v>33.5</v>
      </c>
      <c r="M7" s="11">
        <f>IFERROR(100/'Skjema total MA'!I7*K7,0)</f>
        <v>2.739789137563978</v>
      </c>
    </row>
    <row r="8" spans="1:14" ht="15.75" x14ac:dyDescent="0.2">
      <c r="A8" s="21" t="s">
        <v>25</v>
      </c>
      <c r="B8" s="258">
        <v>1564.9952900000001</v>
      </c>
      <c r="C8" s="259">
        <v>1367.57519999999</v>
      </c>
      <c r="D8" s="166">
        <f t="shared" si="0"/>
        <v>-12.6</v>
      </c>
      <c r="E8" s="27">
        <f>IFERROR(100/'Skjema total MA'!C8*C8,0)</f>
        <v>0.11993713362121348</v>
      </c>
      <c r="F8" s="262"/>
      <c r="G8" s="263"/>
      <c r="H8" s="166"/>
      <c r="I8" s="175"/>
      <c r="J8" s="211">
        <f t="shared" si="2"/>
        <v>1564.9952900000001</v>
      </c>
      <c r="K8" s="264">
        <f t="shared" si="2"/>
        <v>1367.57519999999</v>
      </c>
      <c r="L8" s="166">
        <f t="shared" si="3"/>
        <v>-12.6</v>
      </c>
      <c r="M8" s="27">
        <f>IFERROR(100/'Skjema total MA'!I8*K8,0)</f>
        <v>0.11993713362121348</v>
      </c>
    </row>
    <row r="9" spans="1:14" ht="15.75" x14ac:dyDescent="0.2">
      <c r="A9" s="21" t="s">
        <v>24</v>
      </c>
      <c r="B9" s="258">
        <v>656.98141999999996</v>
      </c>
      <c r="C9" s="259">
        <v>566.74191000000303</v>
      </c>
      <c r="D9" s="166">
        <f t="shared" si="0"/>
        <v>-13.7</v>
      </c>
      <c r="E9" s="27">
        <f>IFERROR(100/'Skjema total MA'!C9*C9,0)</f>
        <v>0.15889955213623363</v>
      </c>
      <c r="F9" s="262"/>
      <c r="G9" s="263"/>
      <c r="H9" s="166"/>
      <c r="I9" s="175"/>
      <c r="J9" s="211">
        <f t="shared" si="2"/>
        <v>656.98141999999996</v>
      </c>
      <c r="K9" s="264">
        <f t="shared" si="2"/>
        <v>566.74191000000303</v>
      </c>
      <c r="L9" s="166">
        <f t="shared" si="3"/>
        <v>-13.7</v>
      </c>
      <c r="M9" s="27">
        <f>IFERROR(100/'Skjema total MA'!I9*K9,0)</f>
        <v>0.15889955213623363</v>
      </c>
    </row>
    <row r="10" spans="1:14" ht="15.75" x14ac:dyDescent="0.2">
      <c r="A10" s="13" t="s">
        <v>341</v>
      </c>
      <c r="B10" s="286">
        <v>461647.64171</v>
      </c>
      <c r="C10" s="287">
        <v>407394.26301</v>
      </c>
      <c r="D10" s="171">
        <f t="shared" si="0"/>
        <v>-11.8</v>
      </c>
      <c r="E10" s="11">
        <f>IFERROR(100/'Skjema total MA'!C10*C10,0)</f>
        <v>2.3087918240730945</v>
      </c>
      <c r="F10" s="286">
        <v>2343013.2545799999</v>
      </c>
      <c r="G10" s="287">
        <v>3565114.3928</v>
      </c>
      <c r="H10" s="171">
        <f t="shared" si="1"/>
        <v>52.2</v>
      </c>
      <c r="I10" s="160">
        <f>IFERROR(100/'Skjema total MA'!F10*G10,0)</f>
        <v>5.4651025104151065</v>
      </c>
      <c r="J10" s="284">
        <f t="shared" si="2"/>
        <v>2804660.8962900001</v>
      </c>
      <c r="K10" s="285">
        <f t="shared" si="2"/>
        <v>3972508.6558099999</v>
      </c>
      <c r="L10" s="402">
        <f t="shared" si="3"/>
        <v>41.6</v>
      </c>
      <c r="M10" s="11">
        <f>IFERROR(100/'Skjema total MA'!I10*K10,0)</f>
        <v>4.7931127278286185</v>
      </c>
    </row>
    <row r="11" spans="1:14" s="43" customFormat="1" ht="15.75" x14ac:dyDescent="0.2">
      <c r="A11" s="13" t="s">
        <v>342</v>
      </c>
      <c r="B11" s="286"/>
      <c r="C11" s="287"/>
      <c r="D11" s="171"/>
      <c r="E11" s="11"/>
      <c r="F11" s="286">
        <v>18566.283609999999</v>
      </c>
      <c r="G11" s="287">
        <v>6808.1942799999997</v>
      </c>
      <c r="H11" s="171">
        <f t="shared" si="1"/>
        <v>-63.3</v>
      </c>
      <c r="I11" s="160">
        <f>IFERROR(100/'Skjema total MA'!F11*G11,0)</f>
        <v>6.348127441655417</v>
      </c>
      <c r="J11" s="284">
        <f t="shared" si="2"/>
        <v>18566.283609999999</v>
      </c>
      <c r="K11" s="285">
        <f t="shared" si="2"/>
        <v>6808.1942799999997</v>
      </c>
      <c r="L11" s="402">
        <f t="shared" si="3"/>
        <v>-63.3</v>
      </c>
      <c r="M11" s="11">
        <f>IFERROR(100/'Skjema total MA'!I11*K11,0)</f>
        <v>5.8651748048727317</v>
      </c>
      <c r="N11" s="143"/>
    </row>
    <row r="12" spans="1:14" s="43" customFormat="1" ht="15.75" x14ac:dyDescent="0.2">
      <c r="A12" s="41" t="s">
        <v>343</v>
      </c>
      <c r="B12" s="288"/>
      <c r="C12" s="289"/>
      <c r="D12" s="169"/>
      <c r="E12" s="36"/>
      <c r="F12" s="288">
        <v>2172.5895300000002</v>
      </c>
      <c r="G12" s="289">
        <v>668.08749</v>
      </c>
      <c r="H12" s="169">
        <f t="shared" si="1"/>
        <v>-69.2</v>
      </c>
      <c r="I12" s="169">
        <f>IFERROR(100/'Skjema total MA'!F12*G12,0)</f>
        <v>1.3866368768510913</v>
      </c>
      <c r="J12" s="290">
        <f t="shared" si="2"/>
        <v>2172.5895300000002</v>
      </c>
      <c r="K12" s="291">
        <f t="shared" si="2"/>
        <v>668.08749</v>
      </c>
      <c r="L12" s="403">
        <f t="shared" si="3"/>
        <v>-69.2</v>
      </c>
      <c r="M12" s="36">
        <f>IFERROR(100/'Skjema total MA'!I12*K12,0)</f>
        <v>1.2927033978927702</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251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248</v>
      </c>
      <c r="B17" s="157"/>
      <c r="C17" s="157"/>
      <c r="D17" s="151"/>
      <c r="E17" s="151"/>
      <c r="F17" s="157"/>
      <c r="G17" s="157"/>
      <c r="H17" s="157"/>
      <c r="I17" s="157"/>
      <c r="J17" s="157"/>
      <c r="K17" s="157"/>
      <c r="L17" s="157"/>
      <c r="M17" s="157"/>
    </row>
    <row r="18" spans="1:14" ht="15.75" x14ac:dyDescent="0.25">
      <c r="B18" s="694"/>
      <c r="C18" s="694"/>
      <c r="D18" s="694"/>
      <c r="E18" s="275"/>
      <c r="F18" s="694"/>
      <c r="G18" s="694"/>
      <c r="H18" s="694"/>
      <c r="I18" s="275"/>
      <c r="J18" s="694"/>
      <c r="K18" s="694"/>
      <c r="L18" s="694"/>
      <c r="M18" s="275"/>
    </row>
    <row r="19" spans="1:14" x14ac:dyDescent="0.2">
      <c r="A19" s="144"/>
      <c r="B19" s="695" t="s">
        <v>0</v>
      </c>
      <c r="C19" s="696"/>
      <c r="D19" s="696"/>
      <c r="E19" s="277"/>
      <c r="F19" s="695" t="s">
        <v>1</v>
      </c>
      <c r="G19" s="696"/>
      <c r="H19" s="696"/>
      <c r="I19" s="280"/>
      <c r="J19" s="695" t="s">
        <v>2</v>
      </c>
      <c r="K19" s="696"/>
      <c r="L19" s="696"/>
      <c r="M19" s="280"/>
    </row>
    <row r="20" spans="1:14" x14ac:dyDescent="0.2">
      <c r="A20" s="140" t="s">
        <v>5</v>
      </c>
      <c r="B20" s="152" t="s">
        <v>412</v>
      </c>
      <c r="C20" s="152" t="s">
        <v>413</v>
      </c>
      <c r="D20" s="162" t="s">
        <v>3</v>
      </c>
      <c r="E20" s="281" t="s">
        <v>29</v>
      </c>
      <c r="F20" s="152" t="s">
        <v>412</v>
      </c>
      <c r="G20" s="152" t="s">
        <v>413</v>
      </c>
      <c r="H20" s="162" t="s">
        <v>3</v>
      </c>
      <c r="I20" s="162" t="s">
        <v>29</v>
      </c>
      <c r="J20" s="152" t="s">
        <v>412</v>
      </c>
      <c r="K20" s="152" t="s">
        <v>413</v>
      </c>
      <c r="L20" s="162" t="s">
        <v>3</v>
      </c>
      <c r="M20" s="162" t="s">
        <v>29</v>
      </c>
    </row>
    <row r="21" spans="1:14" x14ac:dyDescent="0.2">
      <c r="A21" s="662"/>
      <c r="B21" s="156"/>
      <c r="C21" s="156"/>
      <c r="D21" s="223" t="s">
        <v>4</v>
      </c>
      <c r="E21" s="156" t="s">
        <v>30</v>
      </c>
      <c r="F21" s="161"/>
      <c r="G21" s="161"/>
      <c r="H21" s="222" t="s">
        <v>4</v>
      </c>
      <c r="I21" s="156" t="s">
        <v>30</v>
      </c>
      <c r="J21" s="161"/>
      <c r="K21" s="161"/>
      <c r="L21" s="156" t="s">
        <v>4</v>
      </c>
      <c r="M21" s="156" t="s">
        <v>30</v>
      </c>
    </row>
    <row r="22" spans="1:14" ht="15.75" x14ac:dyDescent="0.2">
      <c r="A22" s="14" t="s">
        <v>23</v>
      </c>
      <c r="B22" s="286">
        <v>807.47190999999998</v>
      </c>
      <c r="C22" s="286">
        <v>1667.41057</v>
      </c>
      <c r="D22" s="326">
        <f t="shared" ref="D22:D35" si="4">IF(B22=0, "    ---- ", IF(ABS(ROUND(100/B22*C22-100,1))&lt;999,ROUND(100/B22*C22-100,1),IF(ROUND(100/B22*C22-100,1)&gt;999,999,-999)))</f>
        <v>106.5</v>
      </c>
      <c r="E22" s="11">
        <f>IFERROR(100/'Skjema total MA'!C22*C22,0)</f>
        <v>0.24480585675487365</v>
      </c>
      <c r="F22" s="294">
        <v>69122.561220000003</v>
      </c>
      <c r="G22" s="294">
        <v>93240.803709999993</v>
      </c>
      <c r="H22" s="326">
        <f t="shared" ref="H22:H35" si="5">IF(F22=0, "    ---- ", IF(ABS(ROUND(100/F22*G22-100,1))&lt;999,ROUND(100/F22*G22-100,1),IF(ROUND(100/F22*G22-100,1)&gt;999,999,-999)))</f>
        <v>34.9</v>
      </c>
      <c r="I22" s="11">
        <f>IFERROR(100/'Skjema total MA'!F22*G22,0)</f>
        <v>22.027134354547591</v>
      </c>
      <c r="J22" s="292">
        <f t="shared" ref="J22:J35" si="6">SUM(B22,F22)</f>
        <v>69930.033129999996</v>
      </c>
      <c r="K22" s="292">
        <f t="shared" ref="K22:K35" si="7">SUM(C22,G22)</f>
        <v>94908.214279999986</v>
      </c>
      <c r="L22" s="401">
        <f t="shared" ref="L22:L35" si="8">IF(J22=0, "    ---- ", IF(ABS(ROUND(100/J22*K22-100,1))&lt;999,ROUND(100/J22*K22-100,1),IF(ROUND(100/J22*K22-100,1)&gt;999,999,-999)))</f>
        <v>35.700000000000003</v>
      </c>
      <c r="M22" s="24">
        <f>IFERROR(100/'Skjema total MA'!I22*K22,0)</f>
        <v>8.5935264783510039</v>
      </c>
    </row>
    <row r="23" spans="1:14" ht="15.75" x14ac:dyDescent="0.2">
      <c r="A23" s="545" t="s">
        <v>344</v>
      </c>
      <c r="B23" s="258">
        <v>802.61585000000002</v>
      </c>
      <c r="C23" s="258">
        <v>1662.32663</v>
      </c>
      <c r="D23" s="166">
        <f t="shared" si="4"/>
        <v>107.1</v>
      </c>
      <c r="E23" s="11">
        <f>IFERROR(100/'Skjema total MA'!C23*C23,0)</f>
        <v>0.49826491517364446</v>
      </c>
      <c r="F23" s="267">
        <v>1201.5116499999999</v>
      </c>
      <c r="G23" s="267">
        <v>1884.24199</v>
      </c>
      <c r="H23" s="166">
        <f t="shared" si="5"/>
        <v>56.8</v>
      </c>
      <c r="I23" s="391">
        <f>IFERROR(100/'Skjema total MA'!F23*G23,0)</f>
        <v>2.7996025943174754</v>
      </c>
      <c r="J23" s="267">
        <f t="shared" si="6"/>
        <v>2004.1275000000001</v>
      </c>
      <c r="K23" s="267">
        <f t="shared" si="7"/>
        <v>3546.56862</v>
      </c>
      <c r="L23" s="166">
        <f t="shared" si="8"/>
        <v>77</v>
      </c>
      <c r="M23" s="23">
        <f>IFERROR(100/'Skjema total MA'!I23*K23,0)</f>
        <v>0.88459219249575105</v>
      </c>
    </row>
    <row r="24" spans="1:14" ht="15.75" x14ac:dyDescent="0.2">
      <c r="A24" s="545" t="s">
        <v>345</v>
      </c>
      <c r="B24" s="258">
        <v>4.8560600000000003</v>
      </c>
      <c r="C24" s="258">
        <v>5.0839400000000001</v>
      </c>
      <c r="D24" s="166">
        <f t="shared" si="4"/>
        <v>4.7</v>
      </c>
      <c r="E24" s="11">
        <f>IFERROR(100/'Skjema total MA'!C24*C24,0)</f>
        <v>6.8508331173094281E-2</v>
      </c>
      <c r="F24" s="267">
        <v>433.54450000000003</v>
      </c>
      <c r="G24" s="267">
        <v>41.213290000000001</v>
      </c>
      <c r="H24" s="166">
        <f t="shared" si="5"/>
        <v>-90.5</v>
      </c>
      <c r="I24" s="391">
        <f>IFERROR(100/'Skjema total MA'!F24*G24,0)</f>
        <v>85.823401575642691</v>
      </c>
      <c r="J24" s="267">
        <f t="shared" si="6"/>
        <v>438.40056000000004</v>
      </c>
      <c r="K24" s="267">
        <f t="shared" si="7"/>
        <v>46.297229999999999</v>
      </c>
      <c r="L24" s="166">
        <f t="shared" si="8"/>
        <v>-89.4</v>
      </c>
      <c r="M24" s="23">
        <f>IFERROR(100/'Skjema total MA'!I24*K24,0)</f>
        <v>0.61986439851350328</v>
      </c>
    </row>
    <row r="25" spans="1:14" ht="15.75" x14ac:dyDescent="0.2">
      <c r="A25" s="545" t="s">
        <v>346</v>
      </c>
      <c r="B25" s="258"/>
      <c r="C25" s="258"/>
      <c r="D25" s="166"/>
      <c r="E25" s="11"/>
      <c r="F25" s="267">
        <v>2024.9713200000001</v>
      </c>
      <c r="G25" s="267">
        <v>457.02012999999999</v>
      </c>
      <c r="H25" s="166">
        <f t="shared" si="5"/>
        <v>-77.400000000000006</v>
      </c>
      <c r="I25" s="391">
        <f>IFERROR(100/'Skjema total MA'!F25*G25,0)</f>
        <v>12.477421196522542</v>
      </c>
      <c r="J25" s="267">
        <f t="shared" si="6"/>
        <v>2024.9713200000001</v>
      </c>
      <c r="K25" s="267">
        <f t="shared" si="7"/>
        <v>457.02012999999999</v>
      </c>
      <c r="L25" s="166">
        <f t="shared" si="8"/>
        <v>-77.400000000000006</v>
      </c>
      <c r="M25" s="23">
        <f>IFERROR(100/'Skjema total MA'!I25*K25,0)</f>
        <v>3.3849880410307014</v>
      </c>
    </row>
    <row r="26" spans="1:14" ht="15.75" x14ac:dyDescent="0.2">
      <c r="A26" s="545" t="s">
        <v>347</v>
      </c>
      <c r="B26" s="258"/>
      <c r="C26" s="258"/>
      <c r="D26" s="166"/>
      <c r="E26" s="11"/>
      <c r="F26" s="267">
        <v>65462.533750000002</v>
      </c>
      <c r="G26" s="267">
        <v>90858.328299999994</v>
      </c>
      <c r="H26" s="166">
        <f t="shared" si="5"/>
        <v>38.799999999999997</v>
      </c>
      <c r="I26" s="391">
        <f>IFERROR(100/'Skjema total MA'!F26*G26,0)</f>
        <v>25.791140250005142</v>
      </c>
      <c r="J26" s="267">
        <f t="shared" si="6"/>
        <v>65462.533750000002</v>
      </c>
      <c r="K26" s="267">
        <f t="shared" si="7"/>
        <v>90858.328299999994</v>
      </c>
      <c r="L26" s="166">
        <f t="shared" si="8"/>
        <v>38.799999999999997</v>
      </c>
      <c r="M26" s="23">
        <f>IFERROR(100/'Skjema total MA'!I26*K26,0)</f>
        <v>25.791140250005142</v>
      </c>
    </row>
    <row r="27" spans="1:14" x14ac:dyDescent="0.2">
      <c r="A27" s="545" t="s">
        <v>11</v>
      </c>
      <c r="B27" s="258"/>
      <c r="C27" s="258"/>
      <c r="D27" s="166"/>
      <c r="E27" s="11"/>
      <c r="F27" s="267"/>
      <c r="G27" s="267"/>
      <c r="H27" s="166"/>
      <c r="I27" s="391"/>
      <c r="J27" s="267"/>
      <c r="K27" s="267"/>
      <c r="L27" s="166"/>
      <c r="M27" s="23"/>
    </row>
    <row r="28" spans="1:14" ht="15.75" x14ac:dyDescent="0.2">
      <c r="A28" s="49" t="s">
        <v>252</v>
      </c>
      <c r="B28" s="44"/>
      <c r="C28" s="264"/>
      <c r="D28" s="166"/>
      <c r="E28" s="11"/>
      <c r="F28" s="211"/>
      <c r="G28" s="264"/>
      <c r="H28" s="166"/>
      <c r="I28" s="27"/>
      <c r="J28" s="44"/>
      <c r="K28" s="44"/>
      <c r="L28" s="231"/>
      <c r="M28" s="23"/>
    </row>
    <row r="29" spans="1:14" s="3" customFormat="1" ht="15.75" x14ac:dyDescent="0.2">
      <c r="A29" s="13" t="s">
        <v>341</v>
      </c>
      <c r="B29" s="213">
        <v>2863027.96722</v>
      </c>
      <c r="C29" s="213">
        <v>2695696.4639400002</v>
      </c>
      <c r="D29" s="171">
        <f t="shared" si="4"/>
        <v>-5.8</v>
      </c>
      <c r="E29" s="11">
        <f>IFERROR(100/'Skjema total MA'!C29*C29,0)</f>
        <v>5.8839922872911501</v>
      </c>
      <c r="F29" s="284">
        <v>2352408.2591800001</v>
      </c>
      <c r="G29" s="284">
        <v>3354649.1181999999</v>
      </c>
      <c r="H29" s="171">
        <f t="shared" si="5"/>
        <v>42.6</v>
      </c>
      <c r="I29" s="11">
        <f>IFERROR(100/'Skjema total MA'!F29*G29,0)</f>
        <v>13.1996481155278</v>
      </c>
      <c r="J29" s="213">
        <f t="shared" si="6"/>
        <v>5215436.2264</v>
      </c>
      <c r="K29" s="213">
        <f t="shared" si="7"/>
        <v>6050345.5821400005</v>
      </c>
      <c r="L29" s="402">
        <f t="shared" si="8"/>
        <v>16</v>
      </c>
      <c r="M29" s="24">
        <f>IFERROR(100/'Skjema total MA'!I29*K29,0)</f>
        <v>8.4942455166438862</v>
      </c>
      <c r="N29" s="148"/>
    </row>
    <row r="30" spans="1:14" s="3" customFormat="1" ht="15.75" x14ac:dyDescent="0.2">
      <c r="A30" s="545" t="s">
        <v>344</v>
      </c>
      <c r="B30" s="258">
        <v>1642496.32174673</v>
      </c>
      <c r="C30" s="258">
        <v>1546499.57222262</v>
      </c>
      <c r="D30" s="166">
        <f t="shared" si="4"/>
        <v>-5.8</v>
      </c>
      <c r="E30" s="11">
        <f>IFERROR(100/'Skjema total MA'!C30*C30,0)</f>
        <v>11.278301949423108</v>
      </c>
      <c r="F30" s="267">
        <v>527058.31292999897</v>
      </c>
      <c r="G30" s="267">
        <v>660361.78467999899</v>
      </c>
      <c r="H30" s="166">
        <f t="shared" si="5"/>
        <v>25.3</v>
      </c>
      <c r="I30" s="391">
        <f>IFERROR(100/'Skjema total MA'!F30*G30,0)</f>
        <v>14.306256512175587</v>
      </c>
      <c r="J30" s="267">
        <f t="shared" si="6"/>
        <v>2169554.6346767289</v>
      </c>
      <c r="K30" s="267">
        <f t="shared" si="7"/>
        <v>2206861.3569026189</v>
      </c>
      <c r="L30" s="166">
        <f t="shared" si="8"/>
        <v>1.7</v>
      </c>
      <c r="M30" s="23">
        <f>IFERROR(100/'Skjema total MA'!I30*K30,0)</f>
        <v>12.040887791320772</v>
      </c>
      <c r="N30" s="148"/>
    </row>
    <row r="31" spans="1:14" s="3" customFormat="1" ht="15.75" x14ac:dyDescent="0.2">
      <c r="A31" s="545" t="s">
        <v>345</v>
      </c>
      <c r="B31" s="258">
        <v>1220531.64547327</v>
      </c>
      <c r="C31" s="258">
        <v>1149196.8917173899</v>
      </c>
      <c r="D31" s="166">
        <f t="shared" si="4"/>
        <v>-5.8</v>
      </c>
      <c r="E31" s="11">
        <f>IFERROR(100/'Skjema total MA'!C31*C31,0)</f>
        <v>4.9576115572682475</v>
      </c>
      <c r="F31" s="267">
        <v>782660.42521999998</v>
      </c>
      <c r="G31" s="267">
        <v>941874.43309999898</v>
      </c>
      <c r="H31" s="166">
        <f t="shared" si="5"/>
        <v>20.3</v>
      </c>
      <c r="I31" s="391">
        <f>IFERROR(100/'Skjema total MA'!F31*G31,0)</f>
        <v>9.6567894429622694</v>
      </c>
      <c r="J31" s="267">
        <f t="shared" si="6"/>
        <v>2003192.0706932698</v>
      </c>
      <c r="K31" s="267">
        <f t="shared" si="7"/>
        <v>2091071.3248173888</v>
      </c>
      <c r="L31" s="166">
        <f t="shared" si="8"/>
        <v>4.4000000000000004</v>
      </c>
      <c r="M31" s="23">
        <f>IFERROR(100/'Skjema total MA'!I31*K31,0)</f>
        <v>6.3492881476972238</v>
      </c>
      <c r="N31" s="148"/>
    </row>
    <row r="32" spans="1:14" ht="15.75" x14ac:dyDescent="0.2">
      <c r="A32" s="545" t="s">
        <v>346</v>
      </c>
      <c r="B32" s="258"/>
      <c r="C32" s="258"/>
      <c r="D32" s="166"/>
      <c r="E32" s="11"/>
      <c r="F32" s="267">
        <v>360518.71662000002</v>
      </c>
      <c r="G32" s="267">
        <v>518118.69365999999</v>
      </c>
      <c r="H32" s="166">
        <f t="shared" si="5"/>
        <v>43.7</v>
      </c>
      <c r="I32" s="391">
        <f>IFERROR(100/'Skjema total MA'!F32*G32,0)</f>
        <v>9.5122676259528998</v>
      </c>
      <c r="J32" s="267">
        <f t="shared" si="6"/>
        <v>360518.71662000002</v>
      </c>
      <c r="K32" s="267">
        <f t="shared" si="7"/>
        <v>518118.69365999999</v>
      </c>
      <c r="L32" s="166">
        <f t="shared" si="8"/>
        <v>43.7</v>
      </c>
      <c r="M32" s="23">
        <f>IFERROR(100/'Skjema total MA'!I32*K32,0)</f>
        <v>6.1715603454127965</v>
      </c>
    </row>
    <row r="33" spans="1:14" ht="15.75" x14ac:dyDescent="0.2">
      <c r="A33" s="545" t="s">
        <v>347</v>
      </c>
      <c r="B33" s="258"/>
      <c r="C33" s="258"/>
      <c r="D33" s="166"/>
      <c r="E33" s="11"/>
      <c r="F33" s="267">
        <v>682170.80440999998</v>
      </c>
      <c r="G33" s="267">
        <v>1234294.20676</v>
      </c>
      <c r="H33" s="166">
        <f t="shared" si="5"/>
        <v>80.900000000000006</v>
      </c>
      <c r="I33" s="391">
        <f>IFERROR(100/'Skjema total MA'!F34*G33,0)</f>
        <v>-4784.2549791662923</v>
      </c>
      <c r="J33" s="267">
        <f t="shared" si="6"/>
        <v>682170.80440999998</v>
      </c>
      <c r="K33" s="267">
        <f t="shared" si="7"/>
        <v>1234294.20676</v>
      </c>
      <c r="L33" s="166">
        <f t="shared" si="8"/>
        <v>80.900000000000006</v>
      </c>
      <c r="M33" s="23">
        <f>IFERROR(100/'Skjema total MA'!I34*K33,0)</f>
        <v>-5778.7370442230576</v>
      </c>
    </row>
    <row r="34" spans="1:14" ht="15.75" x14ac:dyDescent="0.2">
      <c r="A34" s="13" t="s">
        <v>342</v>
      </c>
      <c r="B34" s="213"/>
      <c r="C34" s="285"/>
      <c r="D34" s="171"/>
      <c r="E34" s="11"/>
      <c r="F34" s="284">
        <v>9714.9769899999992</v>
      </c>
      <c r="G34" s="285">
        <v>6528.5340299999998</v>
      </c>
      <c r="H34" s="171">
        <f t="shared" si="5"/>
        <v>-32.799999999999997</v>
      </c>
      <c r="I34" s="11">
        <f>IFERROR(100/'Skjema total MA'!F34*G34,0)</f>
        <v>-25.305288859512039</v>
      </c>
      <c r="J34" s="213">
        <f t="shared" si="6"/>
        <v>9714.9769899999992</v>
      </c>
      <c r="K34" s="213">
        <f t="shared" si="7"/>
        <v>6528.5340299999998</v>
      </c>
      <c r="L34" s="402">
        <f t="shared" si="8"/>
        <v>-32.799999999999997</v>
      </c>
      <c r="M34" s="24">
        <f>IFERROR(100/'Skjema total MA'!I34*K34,0)</f>
        <v>-30.565388087386154</v>
      </c>
    </row>
    <row r="35" spans="1:14" ht="15.75" x14ac:dyDescent="0.2">
      <c r="A35" s="13" t="s">
        <v>343</v>
      </c>
      <c r="B35" s="213">
        <v>435.90222</v>
      </c>
      <c r="C35" s="285">
        <v>0</v>
      </c>
      <c r="D35" s="171">
        <f t="shared" si="4"/>
        <v>-100</v>
      </c>
      <c r="E35" s="11">
        <f>IFERROR(100/'Skjema total MA'!C35*C35,0)</f>
        <v>0</v>
      </c>
      <c r="F35" s="284">
        <v>2387.2499899999998</v>
      </c>
      <c r="G35" s="285">
        <v>8248.4571899999992</v>
      </c>
      <c r="H35" s="171">
        <f t="shared" si="5"/>
        <v>245.5</v>
      </c>
      <c r="I35" s="11">
        <f>IFERROR(100/'Skjema total MA'!F35*G35,0)</f>
        <v>13.664434541219896</v>
      </c>
      <c r="J35" s="213">
        <f t="shared" si="6"/>
        <v>2823.1522099999997</v>
      </c>
      <c r="K35" s="213">
        <f t="shared" si="7"/>
        <v>8248.4571899999992</v>
      </c>
      <c r="L35" s="402">
        <f t="shared" si="8"/>
        <v>192.2</v>
      </c>
      <c r="M35" s="24">
        <f>IFERROR(100/'Skjema total MA'!I35*K35,0)</f>
        <v>94.516115141427193</v>
      </c>
    </row>
    <row r="36" spans="1:14" ht="15.75" x14ac:dyDescent="0.2">
      <c r="A36" s="12" t="s">
        <v>260</v>
      </c>
      <c r="B36" s="213"/>
      <c r="C36" s="285"/>
      <c r="D36" s="171"/>
      <c r="E36" s="11"/>
      <c r="F36" s="295"/>
      <c r="G36" s="296"/>
      <c r="H36" s="171"/>
      <c r="I36" s="408"/>
      <c r="J36" s="213"/>
      <c r="K36" s="213"/>
      <c r="L36" s="402"/>
      <c r="M36" s="24"/>
    </row>
    <row r="37" spans="1:14" ht="15.75" x14ac:dyDescent="0.2">
      <c r="A37" s="12" t="s">
        <v>349</v>
      </c>
      <c r="B37" s="213"/>
      <c r="C37" s="285"/>
      <c r="D37" s="171"/>
      <c r="E37" s="11"/>
      <c r="F37" s="295"/>
      <c r="G37" s="297"/>
      <c r="H37" s="171"/>
      <c r="I37" s="408"/>
      <c r="J37" s="213"/>
      <c r="K37" s="213"/>
      <c r="L37" s="402"/>
      <c r="M37" s="24"/>
    </row>
    <row r="38" spans="1:14" ht="15.75" x14ac:dyDescent="0.2">
      <c r="A38" s="12" t="s">
        <v>350</v>
      </c>
      <c r="B38" s="213"/>
      <c r="C38" s="285"/>
      <c r="D38" s="171"/>
      <c r="E38" s="24"/>
      <c r="F38" s="295"/>
      <c r="G38" s="296"/>
      <c r="H38" s="171"/>
      <c r="I38" s="408"/>
      <c r="J38" s="213"/>
      <c r="K38" s="213"/>
      <c r="L38" s="402"/>
      <c r="M38" s="24"/>
    </row>
    <row r="39" spans="1:14" ht="15.75" x14ac:dyDescent="0.2">
      <c r="A39" s="18" t="s">
        <v>351</v>
      </c>
      <c r="B39" s="253"/>
      <c r="C39" s="291"/>
      <c r="D39" s="169"/>
      <c r="E39" s="36"/>
      <c r="F39" s="298"/>
      <c r="G39" s="299"/>
      <c r="H39" s="169"/>
      <c r="I39" s="36"/>
      <c r="J39" s="213"/>
      <c r="K39" s="213"/>
      <c r="L39" s="403"/>
      <c r="M39" s="36"/>
    </row>
    <row r="40" spans="1:14" ht="15.75" x14ac:dyDescent="0.25">
      <c r="A40" s="47"/>
      <c r="B40" s="230"/>
      <c r="C40" s="230"/>
      <c r="D40" s="698"/>
      <c r="E40" s="698"/>
      <c r="F40" s="698"/>
      <c r="G40" s="698"/>
      <c r="H40" s="698"/>
      <c r="I40" s="698"/>
      <c r="J40" s="698"/>
      <c r="K40" s="698"/>
      <c r="L40" s="698"/>
      <c r="M40" s="278"/>
    </row>
    <row r="41" spans="1:14" x14ac:dyDescent="0.2">
      <c r="A41" s="155"/>
    </row>
    <row r="42" spans="1:14" ht="15.75" x14ac:dyDescent="0.25">
      <c r="A42" s="147" t="s">
        <v>249</v>
      </c>
      <c r="B42" s="699"/>
      <c r="C42" s="699"/>
      <c r="D42" s="699"/>
      <c r="E42" s="275"/>
      <c r="F42" s="700"/>
      <c r="G42" s="700"/>
      <c r="H42" s="700"/>
      <c r="I42" s="278"/>
      <c r="J42" s="700"/>
      <c r="K42" s="700"/>
      <c r="L42" s="700"/>
      <c r="M42" s="278"/>
    </row>
    <row r="43" spans="1:14" ht="15.75" x14ac:dyDescent="0.25">
      <c r="A43" s="163"/>
      <c r="B43" s="279"/>
      <c r="C43" s="279"/>
      <c r="D43" s="279"/>
      <c r="E43" s="279"/>
      <c r="F43" s="278"/>
      <c r="G43" s="278"/>
      <c r="H43" s="278"/>
      <c r="I43" s="278"/>
      <c r="J43" s="278"/>
      <c r="K43" s="278"/>
      <c r="L43" s="278"/>
      <c r="M43" s="278"/>
    </row>
    <row r="44" spans="1:14" ht="15.75" x14ac:dyDescent="0.25">
      <c r="A44" s="224"/>
      <c r="B44" s="695" t="s">
        <v>0</v>
      </c>
      <c r="C44" s="696"/>
      <c r="D44" s="696"/>
      <c r="E44" s="220"/>
      <c r="F44" s="278"/>
      <c r="G44" s="278"/>
      <c r="H44" s="278"/>
      <c r="I44" s="278"/>
      <c r="J44" s="278"/>
      <c r="K44" s="278"/>
      <c r="L44" s="278"/>
      <c r="M44" s="278"/>
    </row>
    <row r="45" spans="1:14" s="3" customFormat="1" x14ac:dyDescent="0.2">
      <c r="A45" s="140"/>
      <c r="B45" s="152" t="s">
        <v>412</v>
      </c>
      <c r="C45" s="152" t="s">
        <v>413</v>
      </c>
      <c r="D45" s="162" t="s">
        <v>3</v>
      </c>
      <c r="E45" s="162" t="s">
        <v>29</v>
      </c>
      <c r="F45" s="174"/>
      <c r="G45" s="174"/>
      <c r="H45" s="173"/>
      <c r="I45" s="173"/>
      <c r="J45" s="174"/>
      <c r="K45" s="174"/>
      <c r="L45" s="173"/>
      <c r="M45" s="173"/>
      <c r="N45" s="148"/>
    </row>
    <row r="46" spans="1:14" s="3" customFormat="1" x14ac:dyDescent="0.2">
      <c r="A46" s="662"/>
      <c r="B46" s="221"/>
      <c r="C46" s="221"/>
      <c r="D46" s="222" t="s">
        <v>4</v>
      </c>
      <c r="E46" s="156" t="s">
        <v>30</v>
      </c>
      <c r="F46" s="173"/>
      <c r="G46" s="173"/>
      <c r="H46" s="173"/>
      <c r="I46" s="173"/>
      <c r="J46" s="173"/>
      <c r="K46" s="173"/>
      <c r="L46" s="173"/>
      <c r="M46" s="173"/>
      <c r="N46" s="148"/>
    </row>
    <row r="47" spans="1:14" s="3" customFormat="1" ht="15.75" x14ac:dyDescent="0.2">
      <c r="A47" s="14" t="s">
        <v>23</v>
      </c>
      <c r="B47" s="286"/>
      <c r="C47" s="287"/>
      <c r="D47" s="401"/>
      <c r="E47" s="11"/>
      <c r="F47" s="145"/>
      <c r="G47" s="33"/>
      <c r="H47" s="159"/>
      <c r="I47" s="159"/>
      <c r="J47" s="37"/>
      <c r="K47" s="37"/>
      <c r="L47" s="159"/>
      <c r="M47" s="159"/>
      <c r="N47" s="148"/>
    </row>
    <row r="48" spans="1:14" s="3" customFormat="1" ht="15.75" x14ac:dyDescent="0.2">
      <c r="A48" s="38" t="s">
        <v>352</v>
      </c>
      <c r="B48" s="258"/>
      <c r="C48" s="259"/>
      <c r="D48" s="231"/>
      <c r="E48" s="27"/>
      <c r="F48" s="145"/>
      <c r="G48" s="33"/>
      <c r="H48" s="145"/>
      <c r="I48" s="145"/>
      <c r="J48" s="33"/>
      <c r="K48" s="33"/>
      <c r="L48" s="159"/>
      <c r="M48" s="159"/>
      <c r="N48" s="148"/>
    </row>
    <row r="49" spans="1:14" s="3" customFormat="1" ht="15.75" x14ac:dyDescent="0.2">
      <c r="A49" s="38" t="s">
        <v>353</v>
      </c>
      <c r="B49" s="44"/>
      <c r="C49" s="264"/>
      <c r="D49" s="231"/>
      <c r="E49" s="27"/>
      <c r="F49" s="145"/>
      <c r="G49" s="33"/>
      <c r="H49" s="145"/>
      <c r="I49" s="145"/>
      <c r="J49" s="37"/>
      <c r="K49" s="37"/>
      <c r="L49" s="159"/>
      <c r="M49" s="159"/>
      <c r="N49" s="148"/>
    </row>
    <row r="50" spans="1:14" s="3" customFormat="1" x14ac:dyDescent="0.2">
      <c r="A50" s="272" t="s">
        <v>6</v>
      </c>
      <c r="B50" s="295"/>
      <c r="C50" s="295"/>
      <c r="D50" s="231"/>
      <c r="E50" s="23"/>
      <c r="F50" s="145"/>
      <c r="G50" s="33"/>
      <c r="H50" s="145"/>
      <c r="I50" s="145"/>
      <c r="J50" s="33"/>
      <c r="K50" s="33"/>
      <c r="L50" s="159"/>
      <c r="M50" s="159"/>
      <c r="N50" s="148"/>
    </row>
    <row r="51" spans="1:14" s="3" customFormat="1" x14ac:dyDescent="0.2">
      <c r="A51" s="272" t="s">
        <v>7</v>
      </c>
      <c r="B51" s="295"/>
      <c r="C51" s="295"/>
      <c r="D51" s="231"/>
      <c r="E51" s="23"/>
      <c r="F51" s="145"/>
      <c r="G51" s="33"/>
      <c r="H51" s="145"/>
      <c r="I51" s="145"/>
      <c r="J51" s="33"/>
      <c r="K51" s="33"/>
      <c r="L51" s="159"/>
      <c r="M51" s="159"/>
      <c r="N51" s="148"/>
    </row>
    <row r="52" spans="1:14" s="3" customFormat="1" x14ac:dyDescent="0.2">
      <c r="A52" s="272" t="s">
        <v>8</v>
      </c>
      <c r="B52" s="295"/>
      <c r="C52" s="295"/>
      <c r="D52" s="231"/>
      <c r="E52" s="23"/>
      <c r="F52" s="145"/>
      <c r="G52" s="33"/>
      <c r="H52" s="145"/>
      <c r="I52" s="145"/>
      <c r="J52" s="33"/>
      <c r="K52" s="33"/>
      <c r="L52" s="159"/>
      <c r="M52" s="159"/>
      <c r="N52" s="148"/>
    </row>
    <row r="53" spans="1:14" s="3" customFormat="1" ht="15.75" x14ac:dyDescent="0.2">
      <c r="A53" s="39" t="s">
        <v>354</v>
      </c>
      <c r="B53" s="286"/>
      <c r="C53" s="287"/>
      <c r="D53" s="402"/>
      <c r="E53" s="11"/>
      <c r="F53" s="145"/>
      <c r="G53" s="33"/>
      <c r="H53" s="145"/>
      <c r="I53" s="145"/>
      <c r="J53" s="33"/>
      <c r="K53" s="33"/>
      <c r="L53" s="159"/>
      <c r="M53" s="159"/>
      <c r="N53" s="148"/>
    </row>
    <row r="54" spans="1:14" s="3" customFormat="1" ht="15.75" x14ac:dyDescent="0.2">
      <c r="A54" s="38" t="s">
        <v>352</v>
      </c>
      <c r="B54" s="258"/>
      <c r="C54" s="259"/>
      <c r="D54" s="231"/>
      <c r="E54" s="27"/>
      <c r="F54" s="145"/>
      <c r="G54" s="33"/>
      <c r="H54" s="145"/>
      <c r="I54" s="145"/>
      <c r="J54" s="33"/>
      <c r="K54" s="33"/>
      <c r="L54" s="159"/>
      <c r="M54" s="159"/>
      <c r="N54" s="148"/>
    </row>
    <row r="55" spans="1:14" s="3" customFormat="1" ht="15.75" x14ac:dyDescent="0.2">
      <c r="A55" s="38" t="s">
        <v>353</v>
      </c>
      <c r="B55" s="258"/>
      <c r="C55" s="259"/>
      <c r="D55" s="231"/>
      <c r="E55" s="27"/>
      <c r="F55" s="145"/>
      <c r="G55" s="33"/>
      <c r="H55" s="145"/>
      <c r="I55" s="145"/>
      <c r="J55" s="33"/>
      <c r="K55" s="33"/>
      <c r="L55" s="159"/>
      <c r="M55" s="159"/>
      <c r="N55" s="148"/>
    </row>
    <row r="56" spans="1:14" s="3" customFormat="1" ht="15.75" x14ac:dyDescent="0.2">
      <c r="A56" s="39" t="s">
        <v>355</v>
      </c>
      <c r="B56" s="286"/>
      <c r="C56" s="287"/>
      <c r="D56" s="402"/>
      <c r="E56" s="11"/>
      <c r="F56" s="145"/>
      <c r="G56" s="33"/>
      <c r="H56" s="145"/>
      <c r="I56" s="145"/>
      <c r="J56" s="33"/>
      <c r="K56" s="33"/>
      <c r="L56" s="159"/>
      <c r="M56" s="159"/>
      <c r="N56" s="148"/>
    </row>
    <row r="57" spans="1:14" s="3" customFormat="1" ht="15.75" x14ac:dyDescent="0.2">
      <c r="A57" s="38" t="s">
        <v>352</v>
      </c>
      <c r="B57" s="258"/>
      <c r="C57" s="259"/>
      <c r="D57" s="231"/>
      <c r="E57" s="27"/>
      <c r="F57" s="145"/>
      <c r="G57" s="33"/>
      <c r="H57" s="145"/>
      <c r="I57" s="145"/>
      <c r="J57" s="33"/>
      <c r="K57" s="33"/>
      <c r="L57" s="159"/>
      <c r="M57" s="159"/>
      <c r="N57" s="148"/>
    </row>
    <row r="58" spans="1:14" s="3" customFormat="1" ht="15.75" x14ac:dyDescent="0.2">
      <c r="A58" s="46" t="s">
        <v>353</v>
      </c>
      <c r="B58" s="260"/>
      <c r="C58" s="261"/>
      <c r="D58" s="232"/>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250</v>
      </c>
      <c r="C61" s="26"/>
      <c r="D61" s="26"/>
      <c r="E61" s="26"/>
      <c r="F61" s="26"/>
      <c r="G61" s="26"/>
      <c r="H61" s="26"/>
      <c r="I61" s="26"/>
      <c r="J61" s="26"/>
      <c r="K61" s="26"/>
      <c r="L61" s="26"/>
      <c r="M61" s="26"/>
    </row>
    <row r="62" spans="1:14" ht="15.75" x14ac:dyDescent="0.25">
      <c r="B62" s="694"/>
      <c r="C62" s="694"/>
      <c r="D62" s="694"/>
      <c r="E62" s="275"/>
      <c r="F62" s="694"/>
      <c r="G62" s="694"/>
      <c r="H62" s="694"/>
      <c r="I62" s="275"/>
      <c r="J62" s="694"/>
      <c r="K62" s="694"/>
      <c r="L62" s="694"/>
      <c r="M62" s="275"/>
    </row>
    <row r="63" spans="1:14" x14ac:dyDescent="0.2">
      <c r="A63" s="144"/>
      <c r="B63" s="695" t="s">
        <v>0</v>
      </c>
      <c r="C63" s="696"/>
      <c r="D63" s="697"/>
      <c r="E63" s="276"/>
      <c r="F63" s="696" t="s">
        <v>1</v>
      </c>
      <c r="G63" s="696"/>
      <c r="H63" s="696"/>
      <c r="I63" s="280"/>
      <c r="J63" s="695" t="s">
        <v>2</v>
      </c>
      <c r="K63" s="696"/>
      <c r="L63" s="696"/>
      <c r="M63" s="280"/>
    </row>
    <row r="64" spans="1:14" x14ac:dyDescent="0.2">
      <c r="A64" s="140"/>
      <c r="B64" s="152" t="s">
        <v>412</v>
      </c>
      <c r="C64" s="152" t="s">
        <v>413</v>
      </c>
      <c r="D64" s="222" t="s">
        <v>3</v>
      </c>
      <c r="E64" s="281" t="s">
        <v>29</v>
      </c>
      <c r="F64" s="152" t="s">
        <v>412</v>
      </c>
      <c r="G64" s="152" t="s">
        <v>413</v>
      </c>
      <c r="H64" s="222" t="s">
        <v>3</v>
      </c>
      <c r="I64" s="281" t="s">
        <v>29</v>
      </c>
      <c r="J64" s="152" t="s">
        <v>412</v>
      </c>
      <c r="K64" s="152" t="s">
        <v>413</v>
      </c>
      <c r="L64" s="222" t="s">
        <v>3</v>
      </c>
      <c r="M64" s="162" t="s">
        <v>29</v>
      </c>
    </row>
    <row r="65" spans="1:14" x14ac:dyDescent="0.2">
      <c r="A65" s="662"/>
      <c r="B65" s="156"/>
      <c r="C65" s="156"/>
      <c r="D65" s="223" t="s">
        <v>4</v>
      </c>
      <c r="E65" s="156" t="s">
        <v>30</v>
      </c>
      <c r="F65" s="161"/>
      <c r="G65" s="161"/>
      <c r="H65" s="222" t="s">
        <v>4</v>
      </c>
      <c r="I65" s="156" t="s">
        <v>30</v>
      </c>
      <c r="J65" s="161"/>
      <c r="K65" s="203"/>
      <c r="L65" s="156" t="s">
        <v>4</v>
      </c>
      <c r="M65" s="156" t="s">
        <v>30</v>
      </c>
    </row>
    <row r="66" spans="1:14" ht="15.75" x14ac:dyDescent="0.2">
      <c r="A66" s="14" t="s">
        <v>23</v>
      </c>
      <c r="B66" s="329">
        <v>247574.57991</v>
      </c>
      <c r="C66" s="329">
        <v>264755.04562000005</v>
      </c>
      <c r="D66" s="326">
        <f>IF(B66=0, "    ---- ", IF(ABS(ROUND(100/B66*C66-100,1))&lt;999,ROUND(100/B66*C66-100,1),IF(ROUND(100/B66*C66-100,1)&gt;999,999,-999)))</f>
        <v>6.9</v>
      </c>
      <c r="E66" s="11">
        <f>IFERROR(100/'Skjema total MA'!C66*C66,0)</f>
        <v>8.4844257838652961</v>
      </c>
      <c r="F66" s="328">
        <v>1002938.9549</v>
      </c>
      <c r="G66" s="328">
        <v>1109503.3029100001</v>
      </c>
      <c r="H66" s="326">
        <f>IF(F66=0, "    ---- ", IF(ABS(ROUND(100/F66*G66-100,1))&lt;999,ROUND(100/F66*G66-100,1),IF(ROUND(100/F66*G66-100,1)&gt;999,999,-999)))</f>
        <v>10.6</v>
      </c>
      <c r="I66" s="24">
        <f>IFERROR(100/'Skjema total MA'!F66*G66,0)</f>
        <v>11.642238534115396</v>
      </c>
      <c r="J66" s="159">
        <f t="shared" ref="J66:K68" si="9">SUM(B66,F66)</f>
        <v>1250513.5348100001</v>
      </c>
      <c r="K66" s="292">
        <f t="shared" si="9"/>
        <v>1374258.3485300001</v>
      </c>
      <c r="L66" s="402">
        <f>IF(J66=0, "    ---- ", IF(ABS(ROUND(100/J66*K66-100,1))&lt;999,ROUND(100/J66*K66-100,1),IF(ROUND(100/J66*K66-100,1)&gt;999,999,-999)))</f>
        <v>9.9</v>
      </c>
      <c r="M66" s="11">
        <f>IFERROR(100/'Skjema total MA'!I66*K66,0)</f>
        <v>10.86330273693606</v>
      </c>
    </row>
    <row r="67" spans="1:14" x14ac:dyDescent="0.2">
      <c r="A67" s="393" t="s">
        <v>9</v>
      </c>
      <c r="B67" s="44">
        <v>101436.30798</v>
      </c>
      <c r="C67" s="145">
        <v>109845.69826</v>
      </c>
      <c r="D67" s="166">
        <f>IF(B67=0, "    ---- ", IF(ABS(ROUND(100/B67*C67-100,1))&lt;999,ROUND(100/B67*C67-100,1),IF(ROUND(100/B67*C67-100,1)&gt;999,999,-999)))</f>
        <v>8.3000000000000007</v>
      </c>
      <c r="E67" s="23">
        <f>IFERROR(100/'Skjema total MA'!C67*C67,0)</f>
        <v>4.5343398880668957</v>
      </c>
      <c r="F67" s="211"/>
      <c r="G67" s="145"/>
      <c r="H67" s="166"/>
      <c r="I67" s="23"/>
      <c r="J67" s="145">
        <f t="shared" si="9"/>
        <v>101436.30798</v>
      </c>
      <c r="K67" s="44">
        <f t="shared" si="9"/>
        <v>109845.69826</v>
      </c>
      <c r="L67" s="231">
        <f>IF(J67=0, "    ---- ", IF(ABS(ROUND(100/J67*K67-100,1))&lt;999,ROUND(100/J67*K67-100,1),IF(ROUND(100/J67*K67-100,1)&gt;999,999,-999)))</f>
        <v>8.3000000000000007</v>
      </c>
      <c r="M67" s="27">
        <f>IFERROR(100/'Skjema total MA'!I67*K67,0)</f>
        <v>4.5343398880668957</v>
      </c>
    </row>
    <row r="68" spans="1:14" x14ac:dyDescent="0.2">
      <c r="A68" s="21" t="s">
        <v>10</v>
      </c>
      <c r="B68" s="268">
        <v>11599.61771</v>
      </c>
      <c r="C68" s="269">
        <v>9039.0193999999992</v>
      </c>
      <c r="D68" s="166">
        <f>IF(B68=0, "    ---- ", IF(ABS(ROUND(100/B68*C68-100,1))&lt;999,ROUND(100/B68*C68-100,1),IF(ROUND(100/B68*C68-100,1)&gt;999,999,-999)))</f>
        <v>-22.1</v>
      </c>
      <c r="E68" s="23">
        <f>IFERROR(100/'Skjema total MA'!C68*C68,0)</f>
        <v>65.476325227040249</v>
      </c>
      <c r="F68" s="268">
        <v>933595.95932999998</v>
      </c>
      <c r="G68" s="269">
        <v>1025372.45311</v>
      </c>
      <c r="H68" s="166">
        <f>IF(F68=0, "    ---- ", IF(ABS(ROUND(100/F68*G68-100,1))&lt;999,ROUND(100/F68*G68-100,1),IF(ROUND(100/F68*G68-100,1)&gt;999,999,-999)))</f>
        <v>9.8000000000000007</v>
      </c>
      <c r="I68" s="23">
        <f>IFERROR(100/'Skjema total MA'!F68*G68,0)</f>
        <v>11.195679809690182</v>
      </c>
      <c r="J68" s="145">
        <f t="shared" si="9"/>
        <v>945195.57704</v>
      </c>
      <c r="K68" s="44">
        <f t="shared" si="9"/>
        <v>1034411.47251</v>
      </c>
      <c r="L68" s="231">
        <f>IF(J68=0, "    ---- ", IF(ABS(ROUND(100/J68*K68-100,1))&lt;999,ROUND(100/J68*K68-100,1),IF(ROUND(100/J68*K68-100,1)&gt;999,999,-999)))</f>
        <v>9.4</v>
      </c>
      <c r="M68" s="27">
        <f>IFERROR(100/'Skjema total MA'!I68*K68,0)</f>
        <v>11.277375043361548</v>
      </c>
    </row>
    <row r="69" spans="1:14" ht="15.75" x14ac:dyDescent="0.2">
      <c r="A69" s="272" t="s">
        <v>356</v>
      </c>
      <c r="B69" s="295"/>
      <c r="C69" s="295"/>
      <c r="D69" s="166"/>
      <c r="E69" s="23"/>
      <c r="F69" s="295"/>
      <c r="G69" s="295"/>
      <c r="H69" s="166"/>
      <c r="I69" s="23"/>
      <c r="J69" s="295"/>
      <c r="K69" s="295"/>
      <c r="L69" s="166"/>
      <c r="M69" s="23"/>
    </row>
    <row r="70" spans="1:14" x14ac:dyDescent="0.2">
      <c r="A70" s="272" t="s">
        <v>12</v>
      </c>
      <c r="B70" s="270"/>
      <c r="C70" s="271"/>
      <c r="D70" s="166"/>
      <c r="E70" s="23"/>
      <c r="F70" s="270"/>
      <c r="G70" s="271"/>
      <c r="H70" s="166"/>
      <c r="I70" s="23"/>
      <c r="J70" s="270"/>
      <c r="K70" s="271"/>
      <c r="L70" s="166"/>
      <c r="M70" s="23"/>
    </row>
    <row r="71" spans="1:14" x14ac:dyDescent="0.2">
      <c r="A71" s="272" t="s">
        <v>13</v>
      </c>
      <c r="B71" s="212"/>
      <c r="C71" s="266"/>
      <c r="D71" s="166"/>
      <c r="E71" s="23"/>
      <c r="F71" s="212"/>
      <c r="G71" s="266"/>
      <c r="H71" s="166"/>
      <c r="I71" s="23"/>
      <c r="J71" s="212"/>
      <c r="K71" s="266"/>
      <c r="L71" s="166"/>
      <c r="M71" s="23"/>
    </row>
    <row r="72" spans="1:14" ht="15.75" x14ac:dyDescent="0.2">
      <c r="A72" s="272" t="s">
        <v>357</v>
      </c>
      <c r="B72" s="295"/>
      <c r="C72" s="295"/>
      <c r="D72" s="166"/>
      <c r="E72" s="23"/>
      <c r="F72" s="295"/>
      <c r="G72" s="295"/>
      <c r="H72" s="166"/>
      <c r="I72" s="23"/>
      <c r="J72" s="295"/>
      <c r="K72" s="295"/>
      <c r="L72" s="166"/>
      <c r="M72" s="23"/>
    </row>
    <row r="73" spans="1:14" x14ac:dyDescent="0.2">
      <c r="A73" s="272" t="s">
        <v>12</v>
      </c>
      <c r="B73" s="212"/>
      <c r="C73" s="266"/>
      <c r="D73" s="166"/>
      <c r="E73" s="23"/>
      <c r="F73" s="212"/>
      <c r="G73" s="266"/>
      <c r="H73" s="166"/>
      <c r="I73" s="23"/>
      <c r="J73" s="212"/>
      <c r="K73" s="266"/>
      <c r="L73" s="166"/>
      <c r="M73" s="23"/>
    </row>
    <row r="74" spans="1:14" s="3" customFormat="1" x14ac:dyDescent="0.2">
      <c r="A74" s="272" t="s">
        <v>13</v>
      </c>
      <c r="B74" s="212"/>
      <c r="C74" s="266"/>
      <c r="D74" s="166"/>
      <c r="E74" s="23"/>
      <c r="F74" s="212"/>
      <c r="G74" s="266"/>
      <c r="H74" s="166"/>
      <c r="I74" s="23"/>
      <c r="J74" s="212"/>
      <c r="K74" s="266"/>
      <c r="L74" s="166"/>
      <c r="M74" s="23"/>
      <c r="N74" s="148"/>
    </row>
    <row r="75" spans="1:14" s="3" customFormat="1" x14ac:dyDescent="0.2">
      <c r="A75" s="21" t="s">
        <v>326</v>
      </c>
      <c r="B75" s="211">
        <v>83305.496220000001</v>
      </c>
      <c r="C75" s="145">
        <v>87846.313800000004</v>
      </c>
      <c r="D75" s="166">
        <f>IF(B75=0, "    ---- ", IF(ABS(ROUND(100/B75*C75-100,1))&lt;999,ROUND(100/B75*C75-100,1),IF(ROUND(100/B75*C75-100,1)&gt;999,999,-999)))</f>
        <v>5.5</v>
      </c>
      <c r="E75" s="23">
        <f>IFERROR(100/'Skjema total MA'!C75*C75,0)</f>
        <v>59.199723839659278</v>
      </c>
      <c r="F75" s="211">
        <v>69342.995569999999</v>
      </c>
      <c r="G75" s="145">
        <v>84130.849799999996</v>
      </c>
      <c r="H75" s="166">
        <f>IF(F75=0, "    ---- ", IF(ABS(ROUND(100/F75*G75-100,1))&lt;999,ROUND(100/F75*G75-100,1),IF(ROUND(100/F75*G75-100,1)&gt;999,999,-999)))</f>
        <v>21.3</v>
      </c>
      <c r="I75" s="23">
        <f>IFERROR(100/'Skjema total MA'!F75*G75,0)</f>
        <v>22.656101119707767</v>
      </c>
      <c r="J75" s="145">
        <f t="shared" ref="J75:K79" si="10">SUM(B75,F75)</f>
        <v>152648.49179</v>
      </c>
      <c r="K75" s="44">
        <f t="shared" si="10"/>
        <v>171977.1636</v>
      </c>
      <c r="L75" s="231">
        <f>IF(J75=0, "    ---- ", IF(ABS(ROUND(100/J75*K75-100,1))&lt;999,ROUND(100/J75*K75-100,1),IF(ROUND(100/J75*K75-100,1)&gt;999,999,-999)))</f>
        <v>12.7</v>
      </c>
      <c r="M75" s="27">
        <f>IFERROR(100/'Skjema total MA'!I75*K75,0)</f>
        <v>33.089818308053218</v>
      </c>
      <c r="N75" s="148"/>
    </row>
    <row r="76" spans="1:14" s="3" customFormat="1" x14ac:dyDescent="0.2">
      <c r="A76" s="21" t="s">
        <v>325</v>
      </c>
      <c r="B76" s="211">
        <v>51233.158000000003</v>
      </c>
      <c r="C76" s="145">
        <v>58024.014159999999</v>
      </c>
      <c r="D76" s="166">
        <f>IF(B76=0, "    ---- ", IF(ABS(ROUND(100/B76*C76-100,1))&lt;999,ROUND(100/B76*C76-100,1),IF(ROUND(100/B76*C76-100,1)&gt;999,999,-999)))</f>
        <v>13.3</v>
      </c>
      <c r="E76" s="23">
        <f>IFERROR(100/'Skjema total MA'!C77*C76,0)</f>
        <v>2.4737340559668213</v>
      </c>
      <c r="F76" s="211"/>
      <c r="G76" s="145"/>
      <c r="H76" s="166"/>
      <c r="I76" s="23"/>
      <c r="J76" s="145">
        <f t="shared" si="10"/>
        <v>51233.158000000003</v>
      </c>
      <c r="K76" s="44">
        <f t="shared" si="10"/>
        <v>58024.014159999999</v>
      </c>
      <c r="L76" s="231">
        <f>IF(J76=0, "    ---- ", IF(ABS(ROUND(100/J76*K76-100,1))&lt;999,ROUND(100/J76*K76-100,1),IF(ROUND(100/J76*K76-100,1)&gt;999,999,-999)))</f>
        <v>13.3</v>
      </c>
      <c r="M76" s="27">
        <f>IFERROR(100/'Skjema total MA'!I77*K76,0)</f>
        <v>0.50450212378304815</v>
      </c>
      <c r="N76" s="148"/>
    </row>
    <row r="77" spans="1:14" ht="15.75" x14ac:dyDescent="0.2">
      <c r="A77" s="21" t="s">
        <v>358</v>
      </c>
      <c r="B77" s="211">
        <v>113035.92569</v>
      </c>
      <c r="C77" s="211">
        <v>118884.71766000001</v>
      </c>
      <c r="D77" s="166">
        <f>IF(B77=0, "    ---- ", IF(ABS(ROUND(100/B77*C77-100,1))&lt;999,ROUND(100/B77*C77-100,1),IF(ROUND(100/B77*C77-100,1)&gt;999,999,-999)))</f>
        <v>5.2</v>
      </c>
      <c r="E77" s="23">
        <f>IFERROR(100/'Skjema total MA'!C77*C77,0)</f>
        <v>5.0684045057378748</v>
      </c>
      <c r="F77" s="211">
        <v>929517.29934999999</v>
      </c>
      <c r="G77" s="145">
        <v>1023239.2089</v>
      </c>
      <c r="H77" s="166">
        <f>IF(F77=0, "    ---- ", IF(ABS(ROUND(100/F77*G77-100,1))&lt;999,ROUND(100/F77*G77-100,1),IF(ROUND(100/F77*G77-100,1)&gt;999,999,-999)))</f>
        <v>10.1</v>
      </c>
      <c r="I77" s="23">
        <f>IFERROR(100/'Skjema total MA'!F77*G77,0)</f>
        <v>11.176055252910418</v>
      </c>
      <c r="J77" s="145">
        <f t="shared" si="10"/>
        <v>1042553.2250399999</v>
      </c>
      <c r="K77" s="44">
        <f t="shared" si="10"/>
        <v>1142123.9265600001</v>
      </c>
      <c r="L77" s="231">
        <f>IF(J77=0, "    ---- ", IF(ABS(ROUND(100/J77*K77-100,1))&lt;999,ROUND(100/J77*K77-100,1),IF(ROUND(100/J77*K77-100,1)&gt;999,999,-999)))</f>
        <v>9.6</v>
      </c>
      <c r="M77" s="27">
        <f>IFERROR(100/'Skjema total MA'!I77*K77,0)</f>
        <v>9.9304392313169494</v>
      </c>
    </row>
    <row r="78" spans="1:14" x14ac:dyDescent="0.2">
      <c r="A78" s="21" t="s">
        <v>9</v>
      </c>
      <c r="B78" s="211">
        <v>101436.30798</v>
      </c>
      <c r="C78" s="145">
        <v>109845.69826</v>
      </c>
      <c r="D78" s="166">
        <f>IF(B78=0, "    ---- ", IF(ABS(ROUND(100/B78*C78-100,1))&lt;999,ROUND(100/B78*C78-100,1),IF(ROUND(100/B78*C78-100,1)&gt;999,999,-999)))</f>
        <v>8.3000000000000007</v>
      </c>
      <c r="E78" s="23">
        <f>IFERROR(100/'Skjema total MA'!C78*C78,0)</f>
        <v>4.7091117143676673</v>
      </c>
      <c r="F78" s="211"/>
      <c r="G78" s="145"/>
      <c r="H78" s="166"/>
      <c r="I78" s="23"/>
      <c r="J78" s="145">
        <f t="shared" si="10"/>
        <v>101436.30798</v>
      </c>
      <c r="K78" s="44">
        <f t="shared" si="10"/>
        <v>109845.69826</v>
      </c>
      <c r="L78" s="231">
        <f>IF(J78=0, "    ---- ", IF(ABS(ROUND(100/J78*K78-100,1))&lt;999,ROUND(100/J78*K78-100,1),IF(ROUND(100/J78*K78-100,1)&gt;999,999,-999)))</f>
        <v>8.3000000000000007</v>
      </c>
      <c r="M78" s="27">
        <f>IFERROR(100/'Skjema total MA'!I78*K78,0)</f>
        <v>4.7091117143676673</v>
      </c>
    </row>
    <row r="79" spans="1:14" x14ac:dyDescent="0.2">
      <c r="A79" s="38" t="s">
        <v>398</v>
      </c>
      <c r="B79" s="268">
        <v>11599.61771</v>
      </c>
      <c r="C79" s="269">
        <v>9039.0193999999992</v>
      </c>
      <c r="D79" s="166">
        <f>IF(B79=0, "    ---- ", IF(ABS(ROUND(100/B79*C79-100,1))&lt;999,ROUND(100/B79*C79-100,1),IF(ROUND(100/B79*C79-100,1)&gt;999,999,-999)))</f>
        <v>-22.1</v>
      </c>
      <c r="E79" s="23">
        <f>IFERROR(100/'Skjema total MA'!C79*C79,0)</f>
        <v>69.616496414045713</v>
      </c>
      <c r="F79" s="268">
        <v>929517.29934999999</v>
      </c>
      <c r="G79" s="269">
        <v>1023239.2089</v>
      </c>
      <c r="H79" s="166">
        <f>IF(F79=0, "    ---- ", IF(ABS(ROUND(100/F79*G79-100,1))&lt;999,ROUND(100/F79*G79-100,1),IF(ROUND(100/F79*G79-100,1)&gt;999,999,-999)))</f>
        <v>10.1</v>
      </c>
      <c r="I79" s="23">
        <f>IFERROR(100/'Skjema total MA'!F79*G79,0)</f>
        <v>11.176055252910418</v>
      </c>
      <c r="J79" s="145">
        <f t="shared" si="10"/>
        <v>941116.91706000001</v>
      </c>
      <c r="K79" s="44">
        <f t="shared" si="10"/>
        <v>1032278.2283</v>
      </c>
      <c r="L79" s="231">
        <f>IF(J79=0, "    ---- ", IF(ABS(ROUND(100/J79*K79-100,1))&lt;999,ROUND(100/J79*K79-100,1),IF(ROUND(100/J79*K79-100,1)&gt;999,999,-999)))</f>
        <v>9.6999999999999993</v>
      </c>
      <c r="M79" s="27">
        <f>IFERROR(100/'Skjema total MA'!I79*K79,0)</f>
        <v>11.258814885184073</v>
      </c>
    </row>
    <row r="80" spans="1:14" ht="15.75" x14ac:dyDescent="0.2">
      <c r="A80" s="272" t="s">
        <v>356</v>
      </c>
      <c r="B80" s="295"/>
      <c r="C80" s="295"/>
      <c r="D80" s="166"/>
      <c r="E80" s="23"/>
      <c r="F80" s="295"/>
      <c r="G80" s="295"/>
      <c r="H80" s="166"/>
      <c r="I80" s="23"/>
      <c r="J80" s="295"/>
      <c r="K80" s="295"/>
      <c r="L80" s="166"/>
      <c r="M80" s="23"/>
    </row>
    <row r="81" spans="1:13" x14ac:dyDescent="0.2">
      <c r="A81" s="272" t="s">
        <v>12</v>
      </c>
      <c r="B81" s="295"/>
      <c r="C81" s="295"/>
      <c r="D81" s="166"/>
      <c r="E81" s="23"/>
      <c r="F81" s="270"/>
      <c r="G81" s="271"/>
      <c r="H81" s="166"/>
      <c r="I81" s="23"/>
      <c r="J81" s="270"/>
      <c r="K81" s="271"/>
      <c r="L81" s="166"/>
      <c r="M81" s="23"/>
    </row>
    <row r="82" spans="1:13" x14ac:dyDescent="0.2">
      <c r="A82" s="272" t="s">
        <v>13</v>
      </c>
      <c r="B82" s="295"/>
      <c r="C82" s="295"/>
      <c r="D82" s="166"/>
      <c r="E82" s="23"/>
      <c r="F82" s="212"/>
      <c r="G82" s="266"/>
      <c r="H82" s="166"/>
      <c r="I82" s="23"/>
      <c r="J82" s="212"/>
      <c r="K82" s="266"/>
      <c r="L82" s="166"/>
      <c r="M82" s="23"/>
    </row>
    <row r="83" spans="1:13" ht="15.75" x14ac:dyDescent="0.2">
      <c r="A83" s="272" t="s">
        <v>357</v>
      </c>
      <c r="B83" s="295"/>
      <c r="C83" s="295"/>
      <c r="D83" s="166"/>
      <c r="E83" s="23"/>
      <c r="F83" s="295"/>
      <c r="G83" s="295"/>
      <c r="H83" s="166"/>
      <c r="I83" s="23"/>
      <c r="J83" s="295"/>
      <c r="K83" s="295"/>
      <c r="L83" s="166"/>
      <c r="M83" s="23"/>
    </row>
    <row r="84" spans="1:13" x14ac:dyDescent="0.2">
      <c r="A84" s="272" t="s">
        <v>12</v>
      </c>
      <c r="B84" s="212"/>
      <c r="C84" s="266"/>
      <c r="D84" s="166"/>
      <c r="E84" s="23"/>
      <c r="F84" s="212"/>
      <c r="G84" s="266"/>
      <c r="H84" s="166"/>
      <c r="I84" s="23"/>
      <c r="J84" s="212"/>
      <c r="K84" s="266"/>
      <c r="L84" s="166"/>
      <c r="M84" s="23"/>
    </row>
    <row r="85" spans="1:13" x14ac:dyDescent="0.2">
      <c r="A85" s="272" t="s">
        <v>13</v>
      </c>
      <c r="B85" s="212"/>
      <c r="C85" s="266"/>
      <c r="D85" s="166"/>
      <c r="E85" s="23"/>
      <c r="F85" s="212"/>
      <c r="G85" s="266"/>
      <c r="H85" s="166"/>
      <c r="I85" s="23"/>
      <c r="J85" s="212"/>
      <c r="K85" s="266"/>
      <c r="L85" s="166"/>
      <c r="M85" s="23"/>
    </row>
    <row r="86" spans="1:13" ht="15.75" x14ac:dyDescent="0.2">
      <c r="A86" s="21" t="s">
        <v>359</v>
      </c>
      <c r="B86" s="211"/>
      <c r="C86" s="145"/>
      <c r="D86" s="166"/>
      <c r="E86" s="23"/>
      <c r="F86" s="211">
        <v>4078.6599799999999</v>
      </c>
      <c r="G86" s="145">
        <v>2133.2442099999998</v>
      </c>
      <c r="H86" s="166">
        <f>IF(F86=0, "    ---- ", IF(ABS(ROUND(100/F86*G86-100,1))&lt;999,ROUND(100/F86*G86-100,1),IF(ROUND(100/F86*G86-100,1)&gt;999,999,-999)))</f>
        <v>-47.7</v>
      </c>
      <c r="I86" s="23">
        <f>IFERROR(100/'Skjema total MA'!F86*G86,0)</f>
        <v>70.970858562781004</v>
      </c>
      <c r="J86" s="145">
        <f t="shared" ref="J86:K89" si="11">SUM(B86,F86)</f>
        <v>4078.6599799999999</v>
      </c>
      <c r="K86" s="44">
        <f t="shared" si="11"/>
        <v>2133.2442099999998</v>
      </c>
      <c r="L86" s="231">
        <f>IF(J86=0, "    ---- ", IF(ABS(ROUND(100/J86*K86-100,1))&lt;999,ROUND(100/J86*K86-100,1),IF(ROUND(100/J86*K86-100,1)&gt;999,999,-999)))</f>
        <v>-47.7</v>
      </c>
      <c r="M86" s="27">
        <f>IFERROR(100/'Skjema total MA'!I86*K86,0)</f>
        <v>2.2758051502507421</v>
      </c>
    </row>
    <row r="87" spans="1:13" ht="15.75" x14ac:dyDescent="0.2">
      <c r="A87" s="13" t="s">
        <v>341</v>
      </c>
      <c r="B87" s="329">
        <v>15899451.918160001</v>
      </c>
      <c r="C87" s="329">
        <v>16524832.91612</v>
      </c>
      <c r="D87" s="171">
        <f>IF(B87=0, "    ---- ", IF(ABS(ROUND(100/B87*C87-100,1))&lt;999,ROUND(100/B87*C87-100,1),IF(ROUND(100/B87*C87-100,1)&gt;999,999,-999)))</f>
        <v>3.9</v>
      </c>
      <c r="E87" s="24">
        <f>IFERROR(100/'Skjema total MA'!C87*C87,0)</f>
        <v>4.1418781107745133</v>
      </c>
      <c r="F87" s="328">
        <v>26774294.9175</v>
      </c>
      <c r="G87" s="328">
        <v>40225057.445519999</v>
      </c>
      <c r="H87" s="171">
        <f>IF(F87=0, "    ---- ", IF(ABS(ROUND(100/F87*G87-100,1))&lt;999,ROUND(100/F87*G87-100,1),IF(ROUND(100/F87*G87-100,1)&gt;999,999,-999)))</f>
        <v>50.2</v>
      </c>
      <c r="I87" s="24">
        <f>IFERROR(100/'Skjema total MA'!F87*G87,0)</f>
        <v>10.220571477907718</v>
      </c>
      <c r="J87" s="159">
        <f t="shared" si="11"/>
        <v>42673746.835660003</v>
      </c>
      <c r="K87" s="213">
        <f t="shared" si="11"/>
        <v>56749890.361639999</v>
      </c>
      <c r="L87" s="402">
        <f>IF(J87=0, "    ---- ", IF(ABS(ROUND(100/J87*K87-100,1))&lt;999,ROUND(100/J87*K87-100,1),IF(ROUND(100/J87*K87-100,1)&gt;999,999,-999)))</f>
        <v>33</v>
      </c>
      <c r="M87" s="11">
        <f>IFERROR(100/'Skjema total MA'!I87*K87,0)</f>
        <v>7.160516040454274</v>
      </c>
    </row>
    <row r="88" spans="1:13" x14ac:dyDescent="0.2">
      <c r="A88" s="21" t="s">
        <v>9</v>
      </c>
      <c r="B88" s="211">
        <v>12245768.056089999</v>
      </c>
      <c r="C88" s="145">
        <v>12167526.144549999</v>
      </c>
      <c r="D88" s="166">
        <f>IF(B88=0, "    ---- ", IF(ABS(ROUND(100/B88*C88-100,1))&lt;999,ROUND(100/B88*C88-100,1),IF(ROUND(100/B88*C88-100,1)&gt;999,999,-999)))</f>
        <v>-0.6</v>
      </c>
      <c r="E88" s="23">
        <f>IFERROR(100/'Skjema total MA'!C88*C88,0)</f>
        <v>3.1478840633263268</v>
      </c>
      <c r="F88" s="211"/>
      <c r="G88" s="145"/>
      <c r="H88" s="166"/>
      <c r="I88" s="23"/>
      <c r="J88" s="145">
        <f t="shared" si="11"/>
        <v>12245768.056089999</v>
      </c>
      <c r="K88" s="44">
        <f t="shared" si="11"/>
        <v>12167526.144549999</v>
      </c>
      <c r="L88" s="231">
        <f>IF(J88=0, "    ---- ", IF(ABS(ROUND(100/J88*K88-100,1))&lt;999,ROUND(100/J88*K88-100,1),IF(ROUND(100/J88*K88-100,1)&gt;999,999,-999)))</f>
        <v>-0.6</v>
      </c>
      <c r="M88" s="27">
        <f>IFERROR(100/'Skjema total MA'!I88*K88,0)</f>
        <v>3.1478840633263268</v>
      </c>
    </row>
    <row r="89" spans="1:13" x14ac:dyDescent="0.2">
      <c r="A89" s="21" t="s">
        <v>10</v>
      </c>
      <c r="B89" s="211">
        <v>1597800.53978</v>
      </c>
      <c r="C89" s="145">
        <v>1667044.7297100001</v>
      </c>
      <c r="D89" s="166">
        <f>IF(B89=0, "    ---- ", IF(ABS(ROUND(100/B89*C89-100,1))&lt;999,ROUND(100/B89*C89-100,1),IF(ROUND(100/B89*C89-100,1)&gt;999,999,-999)))</f>
        <v>4.3</v>
      </c>
      <c r="E89" s="23">
        <f>IFERROR(100/'Skjema total MA'!C89*C89,0)</f>
        <v>54.546796105859634</v>
      </c>
      <c r="F89" s="211">
        <v>25927399.960030001</v>
      </c>
      <c r="G89" s="145">
        <v>38813749.670529999</v>
      </c>
      <c r="H89" s="166">
        <f>IF(F89=0, "    ---- ", IF(ABS(ROUND(100/F89*G89-100,1))&lt;999,ROUND(100/F89*G89-100,1),IF(ROUND(100/F89*G89-100,1)&gt;999,999,-999)))</f>
        <v>49.7</v>
      </c>
      <c r="I89" s="23">
        <f>IFERROR(100/'Skjema total MA'!F89*G89,0)</f>
        <v>9.9528042344617216</v>
      </c>
      <c r="J89" s="145">
        <f t="shared" si="11"/>
        <v>27525200.499809999</v>
      </c>
      <c r="K89" s="44">
        <f t="shared" si="11"/>
        <v>40480794.400239997</v>
      </c>
      <c r="L89" s="231">
        <f>IF(J89=0, "    ---- ", IF(ABS(ROUND(100/J89*K89-100,1))&lt;999,ROUND(100/J89*K89-100,1),IF(ROUND(100/J89*K89-100,1)&gt;999,999,-999)))</f>
        <v>47.1</v>
      </c>
      <c r="M89" s="27">
        <f>IFERROR(100/'Skjema total MA'!I89*K89,0)</f>
        <v>10.299560256987041</v>
      </c>
    </row>
    <row r="90" spans="1:13" ht="15.75" x14ac:dyDescent="0.2">
      <c r="A90" s="272" t="s">
        <v>356</v>
      </c>
      <c r="B90" s="295"/>
      <c r="C90" s="295"/>
      <c r="D90" s="166"/>
      <c r="E90" s="23"/>
      <c r="F90" s="295"/>
      <c r="G90" s="295"/>
      <c r="H90" s="166"/>
      <c r="I90" s="23"/>
      <c r="J90" s="295"/>
      <c r="K90" s="295"/>
      <c r="L90" s="166"/>
      <c r="M90" s="23"/>
    </row>
    <row r="91" spans="1:13" x14ac:dyDescent="0.2">
      <c r="A91" s="272" t="s">
        <v>12</v>
      </c>
      <c r="B91" s="295"/>
      <c r="C91" s="295"/>
      <c r="D91" s="166"/>
      <c r="E91" s="23"/>
      <c r="F91" s="270"/>
      <c r="G91" s="271"/>
      <c r="H91" s="166"/>
      <c r="I91" s="23"/>
      <c r="J91" s="270"/>
      <c r="K91" s="271"/>
      <c r="L91" s="166"/>
      <c r="M91" s="23"/>
    </row>
    <row r="92" spans="1:13" x14ac:dyDescent="0.2">
      <c r="A92" s="272" t="s">
        <v>13</v>
      </c>
      <c r="B92" s="295"/>
      <c r="C92" s="295"/>
      <c r="D92" s="166"/>
      <c r="E92" s="23"/>
      <c r="F92" s="212"/>
      <c r="G92" s="266"/>
      <c r="H92" s="166"/>
      <c r="I92" s="23"/>
      <c r="J92" s="212"/>
      <c r="K92" s="266"/>
      <c r="L92" s="166"/>
      <c r="M92" s="23"/>
    </row>
    <row r="93" spans="1:13" ht="15.75" x14ac:dyDescent="0.2">
      <c r="A93" s="272" t="s">
        <v>357</v>
      </c>
      <c r="B93" s="295"/>
      <c r="C93" s="295"/>
      <c r="D93" s="166"/>
      <c r="E93" s="23"/>
      <c r="F93" s="295"/>
      <c r="G93" s="295"/>
      <c r="H93" s="166"/>
      <c r="I93" s="23"/>
      <c r="J93" s="295"/>
      <c r="K93" s="295"/>
      <c r="L93" s="166"/>
      <c r="M93" s="23"/>
    </row>
    <row r="94" spans="1:13" x14ac:dyDescent="0.2">
      <c r="A94" s="272" t="s">
        <v>12</v>
      </c>
      <c r="B94" s="212"/>
      <c r="C94" s="266"/>
      <c r="D94" s="166"/>
      <c r="E94" s="23"/>
      <c r="F94" s="212"/>
      <c r="G94" s="266"/>
      <c r="H94" s="166"/>
      <c r="I94" s="23"/>
      <c r="J94" s="212"/>
      <c r="K94" s="266"/>
      <c r="L94" s="166"/>
      <c r="M94" s="23"/>
    </row>
    <row r="95" spans="1:13" x14ac:dyDescent="0.2">
      <c r="A95" s="272" t="s">
        <v>13</v>
      </c>
      <c r="B95" s="212"/>
      <c r="C95" s="266"/>
      <c r="D95" s="166"/>
      <c r="E95" s="23"/>
      <c r="F95" s="212"/>
      <c r="G95" s="266"/>
      <c r="H95" s="166"/>
      <c r="I95" s="23"/>
      <c r="J95" s="212"/>
      <c r="K95" s="266"/>
      <c r="L95" s="166"/>
      <c r="M95" s="23"/>
    </row>
    <row r="96" spans="1:13" x14ac:dyDescent="0.2">
      <c r="A96" s="21" t="s">
        <v>324</v>
      </c>
      <c r="B96" s="211">
        <v>1262851.4336300001</v>
      </c>
      <c r="C96" s="145">
        <v>1714900.5623399999</v>
      </c>
      <c r="D96" s="166">
        <f t="shared" ref="D96:D100" si="12">IF(B96=0, "    ---- ", IF(ABS(ROUND(100/B96*C96-100,1))&lt;999,ROUND(100/B96*C96-100,1),IF(ROUND(100/B96*C96-100,1)&gt;999,999,-999)))</f>
        <v>35.799999999999997</v>
      </c>
      <c r="E96" s="23">
        <f>IFERROR(100/'Skjema total MA'!C96*C96,0)</f>
        <v>75.594667315567989</v>
      </c>
      <c r="F96" s="211">
        <v>846894.95747000002</v>
      </c>
      <c r="G96" s="145">
        <v>1411307.7749900001</v>
      </c>
      <c r="H96" s="166">
        <f t="shared" ref="H96:H100" si="13">IF(F96=0, "    ---- ", IF(ABS(ROUND(100/F96*G96-100,1))&lt;999,ROUND(100/F96*G96-100,1),IF(ROUND(100/F96*G96-100,1)&gt;999,999,-999)))</f>
        <v>66.599999999999994</v>
      </c>
      <c r="I96" s="23">
        <f>IFERROR(100/'Skjema total MA'!F96*G96,0)</f>
        <v>39.295504055049527</v>
      </c>
      <c r="J96" s="145">
        <f t="shared" ref="J96:K100" si="14">SUM(B96,F96)</f>
        <v>2109746.3911000001</v>
      </c>
      <c r="K96" s="44">
        <f t="shared" si="14"/>
        <v>3126208.33733</v>
      </c>
      <c r="L96" s="231">
        <f t="shared" ref="L96:L100" si="15">IF(J96=0, "    ---- ", IF(ABS(ROUND(100/J96*K96-100,1))&lt;999,ROUND(100/J96*K96-100,1),IF(ROUND(100/J96*K96-100,1)&gt;999,999,-999)))</f>
        <v>48.2</v>
      </c>
      <c r="M96" s="27">
        <f>IFERROR(100/'Skjema total MA'!I96*K96,0)</f>
        <v>53.347611403314069</v>
      </c>
    </row>
    <row r="97" spans="1:13" x14ac:dyDescent="0.2">
      <c r="A97" s="21" t="s">
        <v>323</v>
      </c>
      <c r="B97" s="211">
        <v>793031.88866000006</v>
      </c>
      <c r="C97" s="145">
        <v>975361.47952000005</v>
      </c>
      <c r="D97" s="166">
        <f t="shared" si="12"/>
        <v>23</v>
      </c>
      <c r="E97" s="23">
        <f>IFERROR(100/'Skjema total MA'!C98*C97,0)</f>
        <v>0.25324847810575174</v>
      </c>
      <c r="F97" s="211"/>
      <c r="G97" s="145"/>
      <c r="H97" s="166"/>
      <c r="I97" s="23"/>
      <c r="J97" s="145">
        <f t="shared" si="14"/>
        <v>793031.88866000006</v>
      </c>
      <c r="K97" s="44">
        <f t="shared" si="14"/>
        <v>975361.47952000005</v>
      </c>
      <c r="L97" s="231">
        <f t="shared" si="15"/>
        <v>23</v>
      </c>
      <c r="M97" s="27">
        <f>IFERROR(100/'Skjema total MA'!I98*K97,0)</f>
        <v>0.12600922151182375</v>
      </c>
    </row>
    <row r="98" spans="1:13" ht="15.75" x14ac:dyDescent="0.2">
      <c r="A98" s="21" t="s">
        <v>358</v>
      </c>
      <c r="B98" s="211">
        <v>13843568.595869999</v>
      </c>
      <c r="C98" s="211">
        <v>13834570.874259999</v>
      </c>
      <c r="D98" s="166">
        <f t="shared" si="12"/>
        <v>-0.1</v>
      </c>
      <c r="E98" s="23">
        <f>IFERROR(100/'Skjema total MA'!C98*C98,0)</f>
        <v>3.5920877466646584</v>
      </c>
      <c r="F98" s="268">
        <v>25866417.25905</v>
      </c>
      <c r="G98" s="268">
        <v>38725696.581660002</v>
      </c>
      <c r="H98" s="166">
        <f t="shared" si="13"/>
        <v>49.7</v>
      </c>
      <c r="I98" s="23">
        <f>IFERROR(100/'Skjema total MA'!F98*G98,0)</f>
        <v>9.9577607672205115</v>
      </c>
      <c r="J98" s="145">
        <f t="shared" si="14"/>
        <v>39709985.85492</v>
      </c>
      <c r="K98" s="44">
        <f t="shared" si="14"/>
        <v>52560267.455920003</v>
      </c>
      <c r="L98" s="231">
        <f t="shared" si="15"/>
        <v>32.4</v>
      </c>
      <c r="M98" s="27">
        <f>IFERROR(100/'Skjema total MA'!I98*K98,0)</f>
        <v>6.7903833846638166</v>
      </c>
    </row>
    <row r="99" spans="1:13" x14ac:dyDescent="0.2">
      <c r="A99" s="21" t="s">
        <v>9</v>
      </c>
      <c r="B99" s="268">
        <v>12245768.056089999</v>
      </c>
      <c r="C99" s="269">
        <v>12167526.144549999</v>
      </c>
      <c r="D99" s="166">
        <f t="shared" si="12"/>
        <v>-0.6</v>
      </c>
      <c r="E99" s="23">
        <f>IFERROR(100/'Skjema total MA'!C99*C99,0)</f>
        <v>3.1845164967088766</v>
      </c>
      <c r="F99" s="211"/>
      <c r="G99" s="145"/>
      <c r="H99" s="166"/>
      <c r="I99" s="23"/>
      <c r="J99" s="145">
        <f t="shared" si="14"/>
        <v>12245768.056089999</v>
      </c>
      <c r="K99" s="44">
        <f t="shared" si="14"/>
        <v>12167526.144549999</v>
      </c>
      <c r="L99" s="231">
        <f t="shared" si="15"/>
        <v>-0.6</v>
      </c>
      <c r="M99" s="27">
        <f>IFERROR(100/'Skjema total MA'!I99*K99,0)</f>
        <v>3.1845164967088766</v>
      </c>
    </row>
    <row r="100" spans="1:13" ht="15.75" x14ac:dyDescent="0.2">
      <c r="A100" s="38" t="s">
        <v>399</v>
      </c>
      <c r="B100" s="268">
        <v>1597800.53978</v>
      </c>
      <c r="C100" s="269">
        <v>1667044.7297100001</v>
      </c>
      <c r="D100" s="166">
        <f t="shared" si="12"/>
        <v>4.3</v>
      </c>
      <c r="E100" s="23">
        <f>IFERROR(100/'Skjema total MA'!C100*C100,0)</f>
        <v>54.546796105859634</v>
      </c>
      <c r="F100" s="211">
        <v>25866417.25905</v>
      </c>
      <c r="G100" s="211">
        <v>38725696.581660002</v>
      </c>
      <c r="H100" s="166">
        <f t="shared" si="13"/>
        <v>49.7</v>
      </c>
      <c r="I100" s="23">
        <f>IFERROR(100/'Skjema total MA'!F100*G100,0)</f>
        <v>9.9577607672205115</v>
      </c>
      <c r="J100" s="145">
        <f t="shared" si="14"/>
        <v>27464217.798829999</v>
      </c>
      <c r="K100" s="44">
        <f t="shared" si="14"/>
        <v>40392741.31137</v>
      </c>
      <c r="L100" s="231">
        <f t="shared" si="15"/>
        <v>47.1</v>
      </c>
      <c r="M100" s="27">
        <f>IFERROR(100/'Skjema total MA'!I100*K100,0)</f>
        <v>10.30543216498881</v>
      </c>
    </row>
    <row r="101" spans="1:13" ht="15.75" x14ac:dyDescent="0.2">
      <c r="A101" s="38" t="s">
        <v>400</v>
      </c>
      <c r="B101" s="268"/>
      <c r="C101" s="268"/>
      <c r="D101" s="166"/>
      <c r="E101" s="23"/>
      <c r="F101" s="268"/>
      <c r="G101" s="268"/>
      <c r="H101" s="166"/>
      <c r="I101" s="23"/>
      <c r="J101" s="145"/>
      <c r="K101" s="44"/>
      <c r="L101" s="231"/>
      <c r="M101" s="27"/>
    </row>
    <row r="102" spans="1:13" ht="15.75" x14ac:dyDescent="0.2">
      <c r="A102" s="272" t="s">
        <v>356</v>
      </c>
      <c r="B102" s="295"/>
      <c r="C102" s="295"/>
      <c r="D102" s="166"/>
      <c r="E102" s="23"/>
      <c r="F102" s="295"/>
      <c r="G102" s="295"/>
      <c r="H102" s="166"/>
      <c r="I102" s="23"/>
      <c r="J102" s="295"/>
      <c r="K102" s="295"/>
      <c r="L102" s="166"/>
      <c r="M102" s="23"/>
    </row>
    <row r="103" spans="1:13" x14ac:dyDescent="0.2">
      <c r="A103" s="272" t="s">
        <v>12</v>
      </c>
      <c r="B103" s="295"/>
      <c r="C103" s="295"/>
      <c r="D103" s="166"/>
      <c r="E103" s="23"/>
      <c r="F103" s="270"/>
      <c r="G103" s="271"/>
      <c r="H103" s="166"/>
      <c r="I103" s="23"/>
      <c r="J103" s="270"/>
      <c r="K103" s="271"/>
      <c r="L103" s="166"/>
      <c r="M103" s="23"/>
    </row>
    <row r="104" spans="1:13" x14ac:dyDescent="0.2">
      <c r="A104" s="272" t="s">
        <v>13</v>
      </c>
      <c r="B104" s="295"/>
      <c r="C104" s="295"/>
      <c r="D104" s="166"/>
      <c r="E104" s="23"/>
      <c r="F104" s="212"/>
      <c r="G104" s="266"/>
      <c r="H104" s="166"/>
      <c r="I104" s="23"/>
      <c r="J104" s="212"/>
      <c r="K104" s="266"/>
      <c r="L104" s="166"/>
      <c r="M104" s="23"/>
    </row>
    <row r="105" spans="1:13" ht="15.75" x14ac:dyDescent="0.2">
      <c r="A105" s="272" t="s">
        <v>357</v>
      </c>
      <c r="B105" s="295"/>
      <c r="C105" s="295"/>
      <c r="D105" s="166"/>
      <c r="E105" s="23"/>
      <c r="F105" s="295"/>
      <c r="G105" s="295"/>
      <c r="H105" s="166"/>
      <c r="I105" s="23"/>
      <c r="J105" s="295"/>
      <c r="K105" s="295"/>
      <c r="L105" s="166"/>
      <c r="M105" s="23"/>
    </row>
    <row r="106" spans="1:13" x14ac:dyDescent="0.2">
      <c r="A106" s="272" t="s">
        <v>12</v>
      </c>
      <c r="B106" s="212"/>
      <c r="C106" s="266"/>
      <c r="D106" s="166"/>
      <c r="E106" s="23"/>
      <c r="F106" s="212"/>
      <c r="G106" s="266"/>
      <c r="H106" s="166"/>
      <c r="I106" s="23"/>
      <c r="J106" s="212"/>
      <c r="K106" s="266"/>
      <c r="L106" s="166"/>
      <c r="M106" s="23"/>
    </row>
    <row r="107" spans="1:13" x14ac:dyDescent="0.2">
      <c r="A107" s="272" t="s">
        <v>13</v>
      </c>
      <c r="B107" s="212"/>
      <c r="C107" s="266"/>
      <c r="D107" s="166"/>
      <c r="E107" s="23"/>
      <c r="F107" s="212"/>
      <c r="G107" s="266"/>
      <c r="H107" s="166"/>
      <c r="I107" s="23"/>
      <c r="J107" s="212"/>
      <c r="K107" s="266"/>
      <c r="L107" s="166"/>
      <c r="M107" s="23"/>
    </row>
    <row r="108" spans="1:13" ht="15.75" x14ac:dyDescent="0.2">
      <c r="A108" s="21" t="s">
        <v>359</v>
      </c>
      <c r="B108" s="211"/>
      <c r="C108" s="145"/>
      <c r="D108" s="166"/>
      <c r="E108" s="23"/>
      <c r="F108" s="211">
        <v>60982.700980000001</v>
      </c>
      <c r="G108" s="145">
        <v>88053.088870000007</v>
      </c>
      <c r="H108" s="166">
        <f t="shared" ref="H108:H112" si="16">IF(F108=0, "    ---- ", IF(ABS(ROUND(100/F108*G108-100,1))&lt;999,ROUND(100/F108*G108-100,1),IF(ROUND(100/F108*G108-100,1)&gt;999,999,-999)))</f>
        <v>44.4</v>
      </c>
      <c r="I108" s="23">
        <f>IFERROR(100/'Skjema total MA'!F108*G108,0)</f>
        <v>8.1653134999205061</v>
      </c>
      <c r="J108" s="145">
        <f t="shared" ref="J108:K112" si="17">SUM(B108,F108)</f>
        <v>60982.700980000001</v>
      </c>
      <c r="K108" s="44">
        <f t="shared" si="17"/>
        <v>88053.088870000007</v>
      </c>
      <c r="L108" s="231">
        <f t="shared" ref="L108:L112" si="18">IF(J108=0, "    ---- ", IF(ABS(ROUND(100/J108*K108-100,1))&lt;999,ROUND(100/J108*K108-100,1),IF(ROUND(100/J108*K108-100,1)&gt;999,999,-999)))</f>
        <v>44.4</v>
      </c>
      <c r="M108" s="27">
        <f>IFERROR(100/'Skjema total MA'!I108*K108,0)</f>
        <v>1.5937925317140369</v>
      </c>
    </row>
    <row r="109" spans="1:13" ht="15.75" x14ac:dyDescent="0.2">
      <c r="A109" s="21" t="s">
        <v>360</v>
      </c>
      <c r="B109" s="211">
        <v>8945712.7810200006</v>
      </c>
      <c r="C109" s="211">
        <v>8871411.3272300009</v>
      </c>
      <c r="D109" s="166">
        <f t="shared" ref="D109:D112" si="19">IF(B109=0, "    ---- ", IF(ABS(ROUND(100/B109*C109-100,1))&lt;999,ROUND(100/B109*C109-100,1),IF(ROUND(100/B109*C109-100,1)&gt;999,999,-999)))</f>
        <v>-0.8</v>
      </c>
      <c r="E109" s="23">
        <f>IFERROR(100/'Skjema total MA'!C109*C109,0)</f>
        <v>2.6871550084970965</v>
      </c>
      <c r="F109" s="211"/>
      <c r="G109" s="211"/>
      <c r="H109" s="166"/>
      <c r="I109" s="23"/>
      <c r="J109" s="145">
        <f t="shared" si="17"/>
        <v>8945712.7810200006</v>
      </c>
      <c r="K109" s="44">
        <f t="shared" si="17"/>
        <v>8871411.3272300009</v>
      </c>
      <c r="L109" s="231">
        <f t="shared" si="18"/>
        <v>-0.8</v>
      </c>
      <c r="M109" s="27">
        <f>IFERROR(100/'Skjema total MA'!I109*K109,0)</f>
        <v>2.5376780689899912</v>
      </c>
    </row>
    <row r="110" spans="1:13" ht="15.75" x14ac:dyDescent="0.2">
      <c r="A110" s="38" t="s">
        <v>416</v>
      </c>
      <c r="B110" s="211">
        <v>351053.38308</v>
      </c>
      <c r="C110" s="211">
        <v>362148.65597999998</v>
      </c>
      <c r="D110" s="166">
        <f t="shared" si="19"/>
        <v>3.2</v>
      </c>
      <c r="E110" s="23">
        <f>IFERROR(100/'Skjema total MA'!C110*C110,0)</f>
        <v>22.702687086446353</v>
      </c>
      <c r="F110" s="211">
        <v>8765269.2903899997</v>
      </c>
      <c r="G110" s="211">
        <v>13245052.838780001</v>
      </c>
      <c r="H110" s="166">
        <f t="shared" si="16"/>
        <v>51.1</v>
      </c>
      <c r="I110" s="23">
        <f>IFERROR(100/'Skjema total MA'!F110*G110,0)</f>
        <v>9.7918905909462364</v>
      </c>
      <c r="J110" s="145">
        <f t="shared" si="17"/>
        <v>9116322.6734699998</v>
      </c>
      <c r="K110" s="44">
        <f t="shared" si="17"/>
        <v>13607201.494760001</v>
      </c>
      <c r="L110" s="231">
        <f t="shared" si="18"/>
        <v>49.3</v>
      </c>
      <c r="M110" s="27">
        <f>IFERROR(100/'Skjema total MA'!I110*K110,0)</f>
        <v>9.9423723496065541</v>
      </c>
    </row>
    <row r="111" spans="1:13" ht="15.75" x14ac:dyDescent="0.2">
      <c r="A111" s="21" t="s">
        <v>362</v>
      </c>
      <c r="B111" s="211">
        <v>236575.15768</v>
      </c>
      <c r="C111" s="211">
        <v>366934.73819</v>
      </c>
      <c r="D111" s="166">
        <f t="shared" si="19"/>
        <v>55.1</v>
      </c>
      <c r="E111" s="23">
        <f>IFERROR(100/'Skjema total MA'!C111*C111,0)</f>
        <v>67.661182557309147</v>
      </c>
      <c r="F111" s="211"/>
      <c r="G111" s="211"/>
      <c r="H111" s="166"/>
      <c r="I111" s="23"/>
      <c r="J111" s="145">
        <f t="shared" si="17"/>
        <v>236575.15768</v>
      </c>
      <c r="K111" s="44">
        <f t="shared" si="17"/>
        <v>366934.73819</v>
      </c>
      <c r="L111" s="231">
        <f t="shared" si="18"/>
        <v>55.1</v>
      </c>
      <c r="M111" s="27">
        <f>IFERROR(100/'Skjema total MA'!I111*K111,0)</f>
        <v>67.661182557309147</v>
      </c>
    </row>
    <row r="112" spans="1:13" ht="15.75" x14ac:dyDescent="0.2">
      <c r="A112" s="13" t="s">
        <v>342</v>
      </c>
      <c r="B112" s="284">
        <v>7445.8224300000002</v>
      </c>
      <c r="C112" s="159">
        <v>1820.9263700000001</v>
      </c>
      <c r="D112" s="171">
        <f t="shared" si="19"/>
        <v>-75.5</v>
      </c>
      <c r="E112" s="24">
        <f>IFERROR(100/'Skjema total MA'!C112*C112,0)</f>
        <v>0.27225326863845634</v>
      </c>
      <c r="F112" s="284">
        <v>404939.65591999999</v>
      </c>
      <c r="G112" s="159">
        <v>1706358.55586</v>
      </c>
      <c r="H112" s="171">
        <f t="shared" si="16"/>
        <v>321.39999999999998</v>
      </c>
      <c r="I112" s="24">
        <f>IFERROR(100/'Skjema total MA'!F112*G112,0)</f>
        <v>17.707251881563089</v>
      </c>
      <c r="J112" s="159">
        <f t="shared" si="17"/>
        <v>412385.47834999999</v>
      </c>
      <c r="K112" s="213">
        <f t="shared" si="17"/>
        <v>1708179.48223</v>
      </c>
      <c r="L112" s="402">
        <f t="shared" si="18"/>
        <v>314.2</v>
      </c>
      <c r="M112" s="11">
        <f>IFERROR(100/'Skjema total MA'!I112*K112,0)</f>
        <v>16.575687547287487</v>
      </c>
    </row>
    <row r="113" spans="1:14" x14ac:dyDescent="0.2">
      <c r="A113" s="21" t="s">
        <v>9</v>
      </c>
      <c r="B113" s="211">
        <v>581.85080000000005</v>
      </c>
      <c r="C113" s="145">
        <v>-2073.1591100000001</v>
      </c>
      <c r="D113" s="166">
        <f t="shared" ref="D113:D123" si="20">IF(B113=0, "    ---- ", IF(ABS(ROUND(100/B113*C113-100,1))&lt;999,ROUND(100/B113*C113-100,1),IF(ROUND(100/B113*C113-100,1)&gt;999,999,-999)))</f>
        <v>-456.3</v>
      </c>
      <c r="E113" s="23">
        <f>IFERROR(100/'Skjema total MA'!C113*C113,0)</f>
        <v>-0.34120338450731652</v>
      </c>
      <c r="F113" s="211"/>
      <c r="G113" s="145"/>
      <c r="H113" s="166"/>
      <c r="I113" s="23"/>
      <c r="J113" s="145">
        <f t="shared" ref="J113:K126" si="21">SUM(B113,F113)</f>
        <v>581.85080000000005</v>
      </c>
      <c r="K113" s="44">
        <f t="shared" si="21"/>
        <v>-2073.1591100000001</v>
      </c>
      <c r="L113" s="231">
        <f t="shared" ref="L113:L126" si="22">IF(J113=0, "    ---- ", IF(ABS(ROUND(100/J113*K113-100,1))&lt;999,ROUND(100/J113*K113-100,1),IF(ROUND(100/J113*K113-100,1)&gt;999,999,-999)))</f>
        <v>-456.3</v>
      </c>
      <c r="M113" s="27">
        <f>IFERROR(100/'Skjema total MA'!I113*K113,0)</f>
        <v>-0.33561998959984607</v>
      </c>
    </row>
    <row r="114" spans="1:14" x14ac:dyDescent="0.2">
      <c r="A114" s="21" t="s">
        <v>10</v>
      </c>
      <c r="B114" s="211">
        <v>3724.60727</v>
      </c>
      <c r="C114" s="145">
        <v>202.16847000000001</v>
      </c>
      <c r="D114" s="166">
        <f t="shared" si="20"/>
        <v>-94.6</v>
      </c>
      <c r="E114" s="23">
        <f>IFERROR(100/'Skjema total MA'!C114*C114,0)</f>
        <v>100</v>
      </c>
      <c r="F114" s="211">
        <v>404761.55391999998</v>
      </c>
      <c r="G114" s="145">
        <v>1706358.55586</v>
      </c>
      <c r="H114" s="166">
        <f t="shared" ref="H114:H126" si="23">IF(F114=0, "    ---- ", IF(ABS(ROUND(100/F114*G114-100,1))&lt;999,ROUND(100/F114*G114-100,1),IF(ROUND(100/F114*G114-100,1)&gt;999,999,-999)))</f>
        <v>321.60000000000002</v>
      </c>
      <c r="I114" s="23">
        <f>IFERROR(100/'Skjema total MA'!F114*G114,0)</f>
        <v>17.725845231981054</v>
      </c>
      <c r="J114" s="145">
        <f t="shared" si="21"/>
        <v>408486.16118999996</v>
      </c>
      <c r="K114" s="44">
        <f t="shared" si="21"/>
        <v>1706560.7243299999</v>
      </c>
      <c r="L114" s="231">
        <f t="shared" si="22"/>
        <v>317.8</v>
      </c>
      <c r="M114" s="27">
        <f>IFERROR(100/'Skjema total MA'!I114*K114,0)</f>
        <v>17.727573075433678</v>
      </c>
    </row>
    <row r="115" spans="1:14" x14ac:dyDescent="0.2">
      <c r="A115" s="21" t="s">
        <v>26</v>
      </c>
      <c r="B115" s="211">
        <v>3139.36436</v>
      </c>
      <c r="C115" s="145">
        <v>3691.9170100000001</v>
      </c>
      <c r="D115" s="166">
        <f t="shared" si="20"/>
        <v>17.600000000000001</v>
      </c>
      <c r="E115" s="23">
        <f>IFERROR(100/'Skjema total MA'!C115*C115,0)</f>
        <v>6.0492361699220734</v>
      </c>
      <c r="F115" s="211">
        <v>178.102</v>
      </c>
      <c r="G115" s="145">
        <v>0</v>
      </c>
      <c r="H115" s="166">
        <f t="shared" si="23"/>
        <v>-100</v>
      </c>
      <c r="I115" s="23">
        <f>IFERROR(100/'Skjema total MA'!F115*G115,0)</f>
        <v>0</v>
      </c>
      <c r="J115" s="145">
        <f t="shared" si="21"/>
        <v>3317.4663599999999</v>
      </c>
      <c r="K115" s="44">
        <f t="shared" si="21"/>
        <v>3691.9170100000001</v>
      </c>
      <c r="L115" s="231">
        <f t="shared" si="22"/>
        <v>11.3</v>
      </c>
      <c r="M115" s="27">
        <f>IFERROR(100/'Skjema total MA'!I115*K115,0)</f>
        <v>6.0492361699220734</v>
      </c>
    </row>
    <row r="116" spans="1:14" x14ac:dyDescent="0.2">
      <c r="A116" s="272" t="s">
        <v>15</v>
      </c>
      <c r="B116" s="258"/>
      <c r="C116" s="258"/>
      <c r="D116" s="166"/>
      <c r="E116" s="23"/>
      <c r="F116" s="665"/>
      <c r="G116" s="258"/>
      <c r="H116" s="166"/>
      <c r="I116" s="23"/>
      <c r="J116" s="667"/>
      <c r="K116" s="267"/>
      <c r="L116" s="166"/>
      <c r="M116" s="23"/>
    </row>
    <row r="117" spans="1:14" ht="15.75" x14ac:dyDescent="0.2">
      <c r="A117" s="21" t="s">
        <v>363</v>
      </c>
      <c r="B117" s="211"/>
      <c r="C117" s="211"/>
      <c r="D117" s="166"/>
      <c r="E117" s="23"/>
      <c r="F117" s="211"/>
      <c r="G117" s="211"/>
      <c r="H117" s="166"/>
      <c r="I117" s="23"/>
      <c r="J117" s="145"/>
      <c r="K117" s="44"/>
      <c r="L117" s="231"/>
      <c r="M117" s="27"/>
    </row>
    <row r="118" spans="1:14" ht="15.75" x14ac:dyDescent="0.2">
      <c r="A118" s="21" t="s">
        <v>364</v>
      </c>
      <c r="B118" s="211"/>
      <c r="C118" s="211"/>
      <c r="D118" s="166"/>
      <c r="E118" s="23"/>
      <c r="F118" s="211">
        <v>146900.31581</v>
      </c>
      <c r="G118" s="211">
        <v>179279.22743999999</v>
      </c>
      <c r="H118" s="166">
        <f t="shared" si="23"/>
        <v>22</v>
      </c>
      <c r="I118" s="23">
        <f>IFERROR(100/'Skjema total MA'!F118*G118,0)</f>
        <v>19.220617081131461</v>
      </c>
      <c r="J118" s="145">
        <f t="shared" si="21"/>
        <v>146900.31581</v>
      </c>
      <c r="K118" s="44">
        <f t="shared" si="21"/>
        <v>179279.22743999999</v>
      </c>
      <c r="L118" s="231">
        <f t="shared" si="22"/>
        <v>22</v>
      </c>
      <c r="M118" s="27">
        <f>IFERROR(100/'Skjema total MA'!I118*K118,0)</f>
        <v>19.220617081131461</v>
      </c>
    </row>
    <row r="119" spans="1:14" ht="15.75" x14ac:dyDescent="0.2">
      <c r="A119" s="21" t="s">
        <v>362</v>
      </c>
      <c r="B119" s="211"/>
      <c r="C119" s="211"/>
      <c r="D119" s="166"/>
      <c r="E119" s="23"/>
      <c r="F119" s="211"/>
      <c r="G119" s="211"/>
      <c r="H119" s="166"/>
      <c r="I119" s="23"/>
      <c r="J119" s="145"/>
      <c r="K119" s="44"/>
      <c r="L119" s="231"/>
      <c r="M119" s="27"/>
    </row>
    <row r="120" spans="1:14" ht="15.75" x14ac:dyDescent="0.2">
      <c r="A120" s="13" t="s">
        <v>343</v>
      </c>
      <c r="B120" s="284">
        <v>3863.5304299999998</v>
      </c>
      <c r="C120" s="159">
        <v>13651.759679999999</v>
      </c>
      <c r="D120" s="171">
        <f t="shared" si="20"/>
        <v>253.3</v>
      </c>
      <c r="E120" s="24">
        <f>IFERROR(100/'Skjema total MA'!C120*C120,0)</f>
        <v>10.429850103467217</v>
      </c>
      <c r="F120" s="284">
        <v>228406.17577999999</v>
      </c>
      <c r="G120" s="159">
        <v>1482290.4926499999</v>
      </c>
      <c r="H120" s="171">
        <f t="shared" si="23"/>
        <v>549</v>
      </c>
      <c r="I120" s="24">
        <f>IFERROR(100/'Skjema total MA'!F120*G120,0)</f>
        <v>12.255449315587645</v>
      </c>
      <c r="J120" s="159">
        <f t="shared" si="21"/>
        <v>232269.70621</v>
      </c>
      <c r="K120" s="213">
        <f t="shared" si="21"/>
        <v>1495942.2523299998</v>
      </c>
      <c r="L120" s="402">
        <f t="shared" si="22"/>
        <v>544.1</v>
      </c>
      <c r="M120" s="11">
        <f>IFERROR(100/'Skjema total MA'!I120*K120,0)</f>
        <v>12.235904244779579</v>
      </c>
    </row>
    <row r="121" spans="1:14" x14ac:dyDescent="0.2">
      <c r="A121" s="21" t="s">
        <v>9</v>
      </c>
      <c r="B121" s="211">
        <v>396.30399999999997</v>
      </c>
      <c r="C121" s="145">
        <v>3.9754700000000001</v>
      </c>
      <c r="D121" s="166">
        <f t="shared" si="20"/>
        <v>-99</v>
      </c>
      <c r="E121" s="23">
        <f>IFERROR(100/'Skjema total MA'!C121*C121,0)</f>
        <v>5.0542054774693106E-3</v>
      </c>
      <c r="F121" s="211"/>
      <c r="G121" s="145"/>
      <c r="H121" s="166"/>
      <c r="I121" s="23"/>
      <c r="J121" s="145">
        <f t="shared" si="21"/>
        <v>396.30399999999997</v>
      </c>
      <c r="K121" s="44">
        <f t="shared" si="21"/>
        <v>3.9754700000000001</v>
      </c>
      <c r="L121" s="231">
        <f t="shared" si="22"/>
        <v>-99</v>
      </c>
      <c r="M121" s="27">
        <f>IFERROR(100/'Skjema total MA'!I121*K121,0)</f>
        <v>5.0542054774693106E-3</v>
      </c>
    </row>
    <row r="122" spans="1:14" x14ac:dyDescent="0.2">
      <c r="A122" s="21" t="s">
        <v>10</v>
      </c>
      <c r="B122" s="211">
        <v>1818.97343</v>
      </c>
      <c r="C122" s="145">
        <v>10577.130450000001</v>
      </c>
      <c r="D122" s="166">
        <f t="shared" si="20"/>
        <v>481.5</v>
      </c>
      <c r="E122" s="23">
        <f>IFERROR(100/'Skjema total MA'!C122*C122,0)</f>
        <v>100</v>
      </c>
      <c r="F122" s="211">
        <v>228406.17577999999</v>
      </c>
      <c r="G122" s="145">
        <v>1482290.4926499999</v>
      </c>
      <c r="H122" s="166">
        <f t="shared" si="23"/>
        <v>549</v>
      </c>
      <c r="I122" s="23">
        <f>IFERROR(100/'Skjema total MA'!F122*G122,0)</f>
        <v>12.255449315587645</v>
      </c>
      <c r="J122" s="145">
        <f t="shared" si="21"/>
        <v>230225.14921</v>
      </c>
      <c r="K122" s="44">
        <f t="shared" si="21"/>
        <v>1492867.6231</v>
      </c>
      <c r="L122" s="231">
        <f t="shared" si="22"/>
        <v>548.4</v>
      </c>
      <c r="M122" s="27">
        <f>IFERROR(100/'Skjema total MA'!I122*K122,0)</f>
        <v>12.332115579916</v>
      </c>
    </row>
    <row r="123" spans="1:14" x14ac:dyDescent="0.2">
      <c r="A123" s="21" t="s">
        <v>26</v>
      </c>
      <c r="B123" s="211">
        <v>1648.2529999999999</v>
      </c>
      <c r="C123" s="145">
        <v>3070.6537600000001</v>
      </c>
      <c r="D123" s="166">
        <f t="shared" si="20"/>
        <v>86.3</v>
      </c>
      <c r="E123" s="23">
        <f>IFERROR(100/'Skjema total MA'!C123*C123,0)</f>
        <v>7.3712031147646115</v>
      </c>
      <c r="F123" s="211"/>
      <c r="G123" s="145"/>
      <c r="H123" s="166"/>
      <c r="I123" s="23"/>
      <c r="J123" s="145">
        <f t="shared" si="21"/>
        <v>1648.2529999999999</v>
      </c>
      <c r="K123" s="44">
        <f t="shared" si="21"/>
        <v>3070.6537600000001</v>
      </c>
      <c r="L123" s="231">
        <f t="shared" si="22"/>
        <v>86.3</v>
      </c>
      <c r="M123" s="27">
        <f>IFERROR(100/'Skjema total MA'!I123*K123,0)</f>
        <v>7.3712031147646115</v>
      </c>
    </row>
    <row r="124" spans="1:14" x14ac:dyDescent="0.2">
      <c r="A124" s="272" t="s">
        <v>14</v>
      </c>
      <c r="B124" s="258"/>
      <c r="C124" s="258"/>
      <c r="D124" s="166"/>
      <c r="E124" s="23"/>
      <c r="F124" s="665"/>
      <c r="G124" s="258"/>
      <c r="H124" s="166"/>
      <c r="I124" s="23"/>
      <c r="J124" s="667"/>
      <c r="K124" s="267"/>
      <c r="L124" s="166"/>
      <c r="M124" s="23"/>
    </row>
    <row r="125" spans="1:14" ht="15.75" x14ac:dyDescent="0.2">
      <c r="A125" s="21" t="s">
        <v>369</v>
      </c>
      <c r="B125" s="211"/>
      <c r="C125" s="211"/>
      <c r="D125" s="166"/>
      <c r="E125" s="23"/>
      <c r="F125" s="211"/>
      <c r="G125" s="211"/>
      <c r="H125" s="166"/>
      <c r="I125" s="23"/>
      <c r="J125" s="145"/>
      <c r="K125" s="44"/>
      <c r="L125" s="231"/>
      <c r="M125" s="27"/>
    </row>
    <row r="126" spans="1:14" ht="15.75" x14ac:dyDescent="0.2">
      <c r="A126" s="21" t="s">
        <v>361</v>
      </c>
      <c r="B126" s="211"/>
      <c r="C126" s="211"/>
      <c r="D126" s="166"/>
      <c r="E126" s="23"/>
      <c r="F126" s="211">
        <v>111085.31614</v>
      </c>
      <c r="G126" s="211">
        <v>352910.27518</v>
      </c>
      <c r="H126" s="166">
        <f t="shared" si="23"/>
        <v>217.7</v>
      </c>
      <c r="I126" s="23">
        <f>IFERROR(100/'Skjema total MA'!F126*G126,0)</f>
        <v>12.925290882521368</v>
      </c>
      <c r="J126" s="145">
        <f t="shared" si="21"/>
        <v>111085.31614</v>
      </c>
      <c r="K126" s="44">
        <f t="shared" si="21"/>
        <v>352910.27518</v>
      </c>
      <c r="L126" s="231">
        <f t="shared" si="22"/>
        <v>217.7</v>
      </c>
      <c r="M126" s="27">
        <f>IFERROR(100/'Skjema total MA'!I126*K126,0)</f>
        <v>12.924466744597492</v>
      </c>
    </row>
    <row r="127" spans="1:14" ht="15.75" x14ac:dyDescent="0.2">
      <c r="A127" s="10" t="s">
        <v>362</v>
      </c>
      <c r="B127" s="45"/>
      <c r="C127" s="45"/>
      <c r="D127" s="167"/>
      <c r="E127" s="22"/>
      <c r="F127" s="666"/>
      <c r="G127" s="45"/>
      <c r="H127" s="167"/>
      <c r="I127" s="22"/>
      <c r="J127" s="668"/>
      <c r="K127" s="45"/>
      <c r="L127" s="232"/>
      <c r="M127" s="22"/>
    </row>
    <row r="128" spans="1:14" x14ac:dyDescent="0.2">
      <c r="A128" s="155"/>
      <c r="L128" s="26"/>
      <c r="M128" s="26"/>
      <c r="N128" s="26"/>
    </row>
    <row r="129" spans="1:14" x14ac:dyDescent="0.2">
      <c r="L129" s="26"/>
      <c r="M129" s="26"/>
      <c r="N129" s="26"/>
    </row>
    <row r="130" spans="1:14" ht="15.75" x14ac:dyDescent="0.25">
      <c r="A130" s="165" t="s">
        <v>27</v>
      </c>
    </row>
    <row r="131" spans="1:14" ht="15.75" x14ac:dyDescent="0.25">
      <c r="B131" s="694"/>
      <c r="C131" s="694"/>
      <c r="D131" s="694"/>
      <c r="E131" s="275"/>
      <c r="F131" s="694"/>
      <c r="G131" s="694"/>
      <c r="H131" s="694"/>
      <c r="I131" s="275"/>
      <c r="J131" s="694"/>
      <c r="K131" s="694"/>
      <c r="L131" s="694"/>
      <c r="M131" s="275"/>
    </row>
    <row r="132" spans="1:14" s="3" customFormat="1" x14ac:dyDescent="0.2">
      <c r="A132" s="144"/>
      <c r="B132" s="695" t="s">
        <v>0</v>
      </c>
      <c r="C132" s="696"/>
      <c r="D132" s="696"/>
      <c r="E132" s="277"/>
      <c r="F132" s="695" t="s">
        <v>1</v>
      </c>
      <c r="G132" s="696"/>
      <c r="H132" s="696"/>
      <c r="I132" s="280"/>
      <c r="J132" s="695" t="s">
        <v>2</v>
      </c>
      <c r="K132" s="696"/>
      <c r="L132" s="696"/>
      <c r="M132" s="280"/>
      <c r="N132" s="148"/>
    </row>
    <row r="133" spans="1:14" s="3" customFormat="1" x14ac:dyDescent="0.2">
      <c r="A133" s="140"/>
      <c r="B133" s="152" t="s">
        <v>412</v>
      </c>
      <c r="C133" s="152" t="s">
        <v>413</v>
      </c>
      <c r="D133" s="222" t="s">
        <v>3</v>
      </c>
      <c r="E133" s="281" t="s">
        <v>29</v>
      </c>
      <c r="F133" s="152" t="s">
        <v>412</v>
      </c>
      <c r="G133" s="152" t="s">
        <v>413</v>
      </c>
      <c r="H133" s="203" t="s">
        <v>3</v>
      </c>
      <c r="I133" s="162" t="s">
        <v>29</v>
      </c>
      <c r="J133" s="152" t="s">
        <v>412</v>
      </c>
      <c r="K133" s="152" t="s">
        <v>413</v>
      </c>
      <c r="L133" s="223" t="s">
        <v>3</v>
      </c>
      <c r="M133" s="162" t="s">
        <v>29</v>
      </c>
      <c r="N133" s="148"/>
    </row>
    <row r="134" spans="1:14" s="3" customFormat="1" x14ac:dyDescent="0.2">
      <c r="A134" s="662"/>
      <c r="B134" s="156"/>
      <c r="C134" s="156"/>
      <c r="D134" s="223" t="s">
        <v>4</v>
      </c>
      <c r="E134" s="156" t="s">
        <v>30</v>
      </c>
      <c r="F134" s="161"/>
      <c r="G134" s="161"/>
      <c r="H134" s="203" t="s">
        <v>4</v>
      </c>
      <c r="I134" s="156" t="s">
        <v>30</v>
      </c>
      <c r="J134" s="156"/>
      <c r="K134" s="156"/>
      <c r="L134" s="150" t="s">
        <v>4</v>
      </c>
      <c r="M134" s="156" t="s">
        <v>30</v>
      </c>
      <c r="N134" s="148"/>
    </row>
    <row r="135" spans="1:14" s="3" customFormat="1" ht="15.75" x14ac:dyDescent="0.2">
      <c r="A135" s="14" t="s">
        <v>365</v>
      </c>
      <c r="B135" s="213"/>
      <c r="C135" s="285"/>
      <c r="D135" s="326"/>
      <c r="E135" s="11"/>
      <c r="F135" s="292"/>
      <c r="G135" s="293"/>
      <c r="H135" s="405"/>
      <c r="I135" s="24"/>
      <c r="J135" s="294"/>
      <c r="K135" s="294"/>
      <c r="L135" s="401"/>
      <c r="M135" s="11"/>
      <c r="N135" s="148"/>
    </row>
    <row r="136" spans="1:14" s="3" customFormat="1" ht="15.75" x14ac:dyDescent="0.2">
      <c r="A136" s="13" t="s">
        <v>370</v>
      </c>
      <c r="B136" s="213"/>
      <c r="C136" s="285"/>
      <c r="D136" s="171"/>
      <c r="E136" s="11"/>
      <c r="F136" s="213"/>
      <c r="G136" s="285"/>
      <c r="H136" s="406"/>
      <c r="I136" s="24"/>
      <c r="J136" s="284"/>
      <c r="K136" s="284"/>
      <c r="L136" s="402"/>
      <c r="M136" s="11"/>
      <c r="N136" s="148"/>
    </row>
    <row r="137" spans="1:14" s="3" customFormat="1" ht="15.75" x14ac:dyDescent="0.2">
      <c r="A137" s="13" t="s">
        <v>367</v>
      </c>
      <c r="B137" s="213"/>
      <c r="C137" s="285"/>
      <c r="D137" s="171"/>
      <c r="E137" s="11"/>
      <c r="F137" s="213"/>
      <c r="G137" s="285"/>
      <c r="H137" s="406"/>
      <c r="I137" s="24"/>
      <c r="J137" s="284"/>
      <c r="K137" s="284"/>
      <c r="L137" s="402"/>
      <c r="M137" s="11"/>
      <c r="N137" s="148"/>
    </row>
    <row r="138" spans="1:14" s="3" customFormat="1" ht="15.75" x14ac:dyDescent="0.2">
      <c r="A138" s="41" t="s">
        <v>368</v>
      </c>
      <c r="B138" s="253"/>
      <c r="C138" s="291"/>
      <c r="D138" s="169"/>
      <c r="E138" s="9"/>
      <c r="F138" s="253"/>
      <c r="G138" s="291"/>
      <c r="H138" s="407"/>
      <c r="I138" s="36"/>
      <c r="J138" s="290"/>
      <c r="K138" s="290"/>
      <c r="L138" s="403"/>
      <c r="M138" s="36"/>
      <c r="N138" s="148"/>
    </row>
    <row r="139" spans="1:14" s="3" customFormat="1"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68"/>
      <c r="B141" s="33"/>
      <c r="C141" s="33"/>
      <c r="D141" s="159"/>
      <c r="E141" s="159"/>
      <c r="F141" s="33"/>
      <c r="G141" s="33"/>
      <c r="H141" s="159"/>
      <c r="I141" s="159"/>
      <c r="J141" s="33"/>
      <c r="K141" s="33"/>
      <c r="L141" s="159"/>
      <c r="M141" s="159"/>
      <c r="N141" s="148"/>
    </row>
    <row r="142" spans="1:14" x14ac:dyDescent="0.2">
      <c r="A142" s="146"/>
      <c r="B142" s="146"/>
      <c r="C142" s="146"/>
      <c r="D142" s="146"/>
      <c r="E142" s="146"/>
      <c r="F142" s="146"/>
      <c r="G142" s="146"/>
      <c r="H142" s="146"/>
      <c r="I142" s="146"/>
      <c r="J142" s="146"/>
      <c r="K142" s="146"/>
      <c r="L142" s="146"/>
      <c r="M142" s="146"/>
      <c r="N142" s="146"/>
    </row>
    <row r="143" spans="1:14" ht="15.75" x14ac:dyDescent="0.25">
      <c r="B143" s="142"/>
      <c r="C143" s="142"/>
      <c r="D143" s="142"/>
      <c r="E143" s="142"/>
      <c r="F143" s="142"/>
      <c r="G143" s="142"/>
      <c r="H143" s="142"/>
      <c r="I143" s="142"/>
      <c r="J143" s="142"/>
      <c r="K143" s="142"/>
      <c r="L143" s="142"/>
      <c r="M143" s="142"/>
      <c r="N143" s="142"/>
    </row>
    <row r="144" spans="1:14" ht="15.75" x14ac:dyDescent="0.25">
      <c r="B144" s="157"/>
      <c r="C144" s="157"/>
      <c r="D144" s="157"/>
      <c r="E144" s="157"/>
      <c r="F144" s="157"/>
      <c r="G144" s="157"/>
      <c r="H144" s="157"/>
      <c r="I144" s="157"/>
      <c r="J144" s="157"/>
      <c r="K144" s="157"/>
      <c r="L144" s="157"/>
      <c r="M144" s="157"/>
      <c r="N144" s="157"/>
    </row>
    <row r="145" spans="2:14" ht="15.75" x14ac:dyDescent="0.25">
      <c r="B145" s="157"/>
      <c r="C145" s="157"/>
      <c r="D145" s="157"/>
      <c r="E145" s="157"/>
      <c r="F145" s="157"/>
      <c r="G145" s="157"/>
      <c r="H145" s="157"/>
      <c r="I145" s="157"/>
      <c r="J145" s="157"/>
      <c r="K145" s="157"/>
      <c r="L145" s="157"/>
      <c r="M145" s="157"/>
      <c r="N145" s="157"/>
    </row>
  </sheetData>
  <mergeCells count="31">
    <mergeCell ref="B132:D132"/>
    <mergeCell ref="F132:H132"/>
    <mergeCell ref="J132:L132"/>
    <mergeCell ref="B63:D63"/>
    <mergeCell ref="F63:H63"/>
    <mergeCell ref="J63:L63"/>
    <mergeCell ref="B131:D131"/>
    <mergeCell ref="F131:H131"/>
    <mergeCell ref="J131:L131"/>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6">
    <cfRule type="expression" dxfId="328" priority="76">
      <formula>kvartal &lt; 4</formula>
    </cfRule>
  </conditionalFormatting>
  <conditionalFormatting sqref="C116">
    <cfRule type="expression" dxfId="327" priority="75">
      <formula>kvartal &lt; 4</formula>
    </cfRule>
  </conditionalFormatting>
  <conditionalFormatting sqref="B124">
    <cfRule type="expression" dxfId="326" priority="74">
      <formula>kvartal &lt; 4</formula>
    </cfRule>
  </conditionalFormatting>
  <conditionalFormatting sqref="C124">
    <cfRule type="expression" dxfId="325" priority="73">
      <formula>kvartal &lt; 4</formula>
    </cfRule>
  </conditionalFormatting>
  <conditionalFormatting sqref="F116">
    <cfRule type="expression" dxfId="324" priority="58">
      <formula>kvartal &lt; 4</formula>
    </cfRule>
  </conditionalFormatting>
  <conditionalFormatting sqref="G116">
    <cfRule type="expression" dxfId="323" priority="57">
      <formula>kvartal &lt; 4</formula>
    </cfRule>
  </conditionalFormatting>
  <conditionalFormatting sqref="F124:G124">
    <cfRule type="expression" dxfId="322" priority="56">
      <formula>kvartal &lt; 4</formula>
    </cfRule>
  </conditionalFormatting>
  <conditionalFormatting sqref="J116:K116">
    <cfRule type="expression" dxfId="321" priority="32">
      <formula>kvartal &lt; 4</formula>
    </cfRule>
  </conditionalFormatting>
  <conditionalFormatting sqref="J124:K124">
    <cfRule type="expression" dxfId="320" priority="31">
      <formula>kvartal &lt; 4</formula>
    </cfRule>
  </conditionalFormatting>
  <conditionalFormatting sqref="A50:A52">
    <cfRule type="expression" dxfId="319" priority="12">
      <formula>kvartal &lt; 4</formula>
    </cfRule>
  </conditionalFormatting>
  <conditionalFormatting sqref="A69:A74">
    <cfRule type="expression" dxfId="318" priority="10">
      <formula>kvartal &lt; 4</formula>
    </cfRule>
  </conditionalFormatting>
  <conditionalFormatting sqref="A80:A85">
    <cfRule type="expression" dxfId="317" priority="9">
      <formula>kvartal &lt; 4</formula>
    </cfRule>
  </conditionalFormatting>
  <conditionalFormatting sqref="A90:A95">
    <cfRule type="expression" dxfId="316" priority="6">
      <formula>kvartal &lt; 4</formula>
    </cfRule>
  </conditionalFormatting>
  <conditionalFormatting sqref="A102:A107">
    <cfRule type="expression" dxfId="315" priority="5">
      <formula>kvartal &lt; 4</formula>
    </cfRule>
  </conditionalFormatting>
  <conditionalFormatting sqref="A116">
    <cfRule type="expression" dxfId="314" priority="4">
      <formula>kvartal &lt; 4</formula>
    </cfRule>
  </conditionalFormatting>
  <conditionalFormatting sqref="A124">
    <cfRule type="expression" dxfId="313" priority="3">
      <formula>kvartal &lt; 4</formula>
    </cfRule>
  </conditionalFormatting>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A1:Q176"/>
  <sheetViews>
    <sheetView showGridLines="0" showZeros="0" zoomScale="70" zoomScaleNormal="70" workbookViewId="0">
      <selection activeCell="B2" sqref="B2"/>
    </sheetView>
  </sheetViews>
  <sheetFormatPr baseColWidth="10" defaultColWidth="11.42578125" defaultRowHeight="18.75" x14ac:dyDescent="0.3"/>
  <cols>
    <col min="10" max="11" width="16.7109375" customWidth="1"/>
    <col min="12" max="12" width="20.7109375" style="74" customWidth="1"/>
    <col min="13" max="14" width="15.7109375" style="74" bestFit="1" customWidth="1"/>
    <col min="15" max="15" width="22.7109375" customWidth="1"/>
    <col min="16" max="16" width="13.42578125" customWidth="1"/>
    <col min="17" max="17" width="13.7109375" customWidth="1"/>
  </cols>
  <sheetData>
    <row r="1" spans="1:15" x14ac:dyDescent="0.3">
      <c r="A1" s="73" t="s">
        <v>52</v>
      </c>
    </row>
    <row r="2" spans="1:15" x14ac:dyDescent="0.3">
      <c r="A2" s="75"/>
      <c r="B2" s="74"/>
      <c r="C2" s="74"/>
      <c r="D2" s="74"/>
      <c r="E2" s="74"/>
      <c r="F2" s="74"/>
      <c r="G2" s="74"/>
      <c r="H2" s="74"/>
      <c r="I2" s="74"/>
      <c r="J2" s="74"/>
      <c r="K2" s="74"/>
      <c r="O2" s="74"/>
    </row>
    <row r="3" spans="1:15" x14ac:dyDescent="0.3">
      <c r="A3" s="75" t="s">
        <v>32</v>
      </c>
      <c r="B3" s="74"/>
      <c r="C3" s="74"/>
      <c r="D3" s="74"/>
      <c r="E3" s="74"/>
      <c r="F3" s="74"/>
      <c r="G3" s="74"/>
      <c r="H3" s="74"/>
      <c r="I3" s="74"/>
      <c r="J3" s="74"/>
      <c r="K3" s="74"/>
      <c r="O3" s="74"/>
    </row>
    <row r="4" spans="1:15" x14ac:dyDescent="0.3">
      <c r="A4" s="74"/>
      <c r="B4" s="74"/>
      <c r="C4" s="74"/>
      <c r="D4" s="74"/>
      <c r="E4" s="74"/>
      <c r="F4" s="74"/>
      <c r="G4" s="74"/>
      <c r="H4" s="74"/>
      <c r="I4" s="74"/>
      <c r="J4" s="74"/>
      <c r="K4" s="74"/>
      <c r="L4" s="76"/>
      <c r="O4" s="74"/>
    </row>
    <row r="5" spans="1:15" x14ac:dyDescent="0.3">
      <c r="A5" s="75" t="s">
        <v>402</v>
      </c>
      <c r="B5" s="74"/>
      <c r="C5" s="74"/>
      <c r="D5" s="74"/>
      <c r="E5" s="74"/>
      <c r="F5" s="74"/>
      <c r="G5" s="74"/>
      <c r="H5" s="74"/>
      <c r="I5" s="79"/>
      <c r="J5" s="74"/>
      <c r="K5" s="74"/>
      <c r="L5" s="74" t="s">
        <v>53</v>
      </c>
      <c r="O5" s="74"/>
    </row>
    <row r="6" spans="1:15" x14ac:dyDescent="0.3">
      <c r="A6" s="74"/>
      <c r="B6" s="74"/>
      <c r="C6" s="74"/>
      <c r="D6" s="74"/>
      <c r="E6" s="74"/>
      <c r="F6" s="74"/>
      <c r="G6" s="74"/>
      <c r="H6" s="74"/>
      <c r="I6" s="74"/>
      <c r="J6" s="74"/>
      <c r="K6" s="74"/>
      <c r="L6" s="74" t="s">
        <v>0</v>
      </c>
      <c r="O6" s="74"/>
    </row>
    <row r="7" spans="1:15" x14ac:dyDescent="0.3">
      <c r="A7" s="74"/>
      <c r="B7" s="74"/>
      <c r="C7" s="74"/>
      <c r="D7" s="74"/>
      <c r="E7" s="74"/>
      <c r="F7" s="74"/>
      <c r="G7" s="74"/>
      <c r="H7" s="74"/>
      <c r="I7" s="74"/>
      <c r="J7" s="74"/>
      <c r="K7" s="74"/>
      <c r="M7" s="74">
        <v>2020</v>
      </c>
      <c r="N7" s="74">
        <v>2021</v>
      </c>
      <c r="O7" s="74"/>
    </row>
    <row r="8" spans="1:15" x14ac:dyDescent="0.3">
      <c r="A8" s="74"/>
      <c r="B8" s="74"/>
      <c r="C8" s="74"/>
      <c r="D8" s="74"/>
      <c r="E8" s="74"/>
      <c r="F8" s="74"/>
      <c r="G8" s="74"/>
      <c r="H8" s="74"/>
      <c r="I8" s="74"/>
      <c r="J8" s="74"/>
      <c r="K8" s="74"/>
      <c r="L8" s="74" t="s">
        <v>396</v>
      </c>
      <c r="M8" s="77">
        <f>'Tabel 1.1'!B9</f>
        <v>0</v>
      </c>
      <c r="N8" s="77">
        <f>'Tabel 1.1'!C9</f>
        <v>47791</v>
      </c>
      <c r="O8" s="74"/>
    </row>
    <row r="9" spans="1:15" x14ac:dyDescent="0.3">
      <c r="A9" s="74"/>
      <c r="B9" s="74"/>
      <c r="C9" s="74"/>
      <c r="D9" s="74"/>
      <c r="E9" s="74"/>
      <c r="F9" s="74"/>
      <c r="G9" s="74"/>
      <c r="H9" s="74"/>
      <c r="I9" s="74"/>
      <c r="J9" s="74"/>
      <c r="K9" s="74"/>
      <c r="L9" s="74" t="s">
        <v>54</v>
      </c>
      <c r="M9" s="77">
        <f>'Tabel 1.1'!B10</f>
        <v>109603.56300000001</v>
      </c>
      <c r="N9" s="77">
        <f>'Tabel 1.1'!C10</f>
        <v>105984.141</v>
      </c>
      <c r="O9" s="74"/>
    </row>
    <row r="10" spans="1:15" x14ac:dyDescent="0.3">
      <c r="A10" s="74"/>
      <c r="B10" s="74"/>
      <c r="C10" s="74"/>
      <c r="D10" s="74"/>
      <c r="E10" s="74"/>
      <c r="F10" s="74"/>
      <c r="G10" s="74"/>
      <c r="H10" s="74"/>
      <c r="I10" s="74"/>
      <c r="J10" s="74"/>
      <c r="K10" s="74"/>
      <c r="L10" s="74" t="s">
        <v>394</v>
      </c>
      <c r="M10" s="77">
        <f>'Tabel 1.1'!B11</f>
        <v>24444</v>
      </c>
      <c r="N10" s="77">
        <f>'Tabel 1.1'!C11</f>
        <v>0</v>
      </c>
      <c r="O10" s="74"/>
    </row>
    <row r="11" spans="1:15" x14ac:dyDescent="0.3">
      <c r="A11" s="74"/>
      <c r="B11" s="74"/>
      <c r="C11" s="74"/>
      <c r="D11" s="74"/>
      <c r="E11" s="74"/>
      <c r="F11" s="74"/>
      <c r="G11" s="74"/>
      <c r="H11" s="74"/>
      <c r="I11" s="74"/>
      <c r="J11" s="74"/>
      <c r="K11" s="74"/>
      <c r="L11" s="74" t="s">
        <v>55</v>
      </c>
      <c r="M11" s="77">
        <f>'Tabel 1.1'!B12</f>
        <v>1392573.169</v>
      </c>
      <c r="N11" s="77">
        <f>'Tabel 1.1'!C12</f>
        <v>1343575.8687400001</v>
      </c>
      <c r="O11" s="74"/>
    </row>
    <row r="12" spans="1:15" x14ac:dyDescent="0.3">
      <c r="A12" s="74"/>
      <c r="B12" s="74"/>
      <c r="C12" s="74"/>
      <c r="D12" s="74"/>
      <c r="E12" s="74"/>
      <c r="F12" s="74"/>
      <c r="G12" s="74"/>
      <c r="H12" s="74"/>
      <c r="I12" s="74"/>
      <c r="J12" s="74"/>
      <c r="K12" s="74"/>
      <c r="L12" s="74" t="s">
        <v>56</v>
      </c>
      <c r="M12" s="77">
        <f>'Tabel 1.1'!B13</f>
        <v>79342</v>
      </c>
      <c r="N12" s="77">
        <f>'Tabel 1.1'!C13</f>
        <v>86830</v>
      </c>
      <c r="O12" s="74"/>
    </row>
    <row r="13" spans="1:15" x14ac:dyDescent="0.3">
      <c r="A13" s="74"/>
      <c r="B13" s="74"/>
      <c r="C13" s="74"/>
      <c r="D13" s="74"/>
      <c r="E13" s="74"/>
      <c r="F13" s="74"/>
      <c r="G13" s="74"/>
      <c r="H13" s="74"/>
      <c r="I13" s="74"/>
      <c r="J13" s="74"/>
      <c r="K13" s="74"/>
      <c r="L13" s="74" t="s">
        <v>397</v>
      </c>
      <c r="M13" s="77">
        <f>'Tabel 1.1'!B14</f>
        <v>0</v>
      </c>
      <c r="N13" s="77">
        <f>'Tabel 1.1'!C14</f>
        <v>8328</v>
      </c>
      <c r="O13" s="74"/>
    </row>
    <row r="14" spans="1:15" x14ac:dyDescent="0.3">
      <c r="A14" s="74"/>
      <c r="B14" s="74"/>
      <c r="C14" s="74"/>
      <c r="D14" s="74"/>
      <c r="E14" s="74"/>
      <c r="F14" s="74"/>
      <c r="G14" s="74"/>
      <c r="H14" s="74"/>
      <c r="I14" s="74"/>
      <c r="J14" s="74"/>
      <c r="K14" s="74"/>
      <c r="L14" s="74" t="s">
        <v>381</v>
      </c>
      <c r="M14" s="77">
        <f>'Tabel 1.1'!B15</f>
        <v>825203.29516999994</v>
      </c>
      <c r="N14" s="77">
        <f>'Tabel 1.1'!C15</f>
        <v>846741.58648000006</v>
      </c>
      <c r="O14" s="74"/>
    </row>
    <row r="15" spans="1:15" x14ac:dyDescent="0.3">
      <c r="A15" s="74"/>
      <c r="B15" s="74"/>
      <c r="C15" s="74"/>
      <c r="D15" s="74"/>
      <c r="E15" s="74"/>
      <c r="F15" s="74"/>
      <c r="G15" s="74"/>
      <c r="H15" s="74"/>
      <c r="I15" s="74"/>
      <c r="J15" s="74"/>
      <c r="K15" s="74"/>
      <c r="L15" s="74" t="s">
        <v>57</v>
      </c>
      <c r="M15" s="77">
        <f>'Tabel 1.1'!B16</f>
        <v>508634</v>
      </c>
      <c r="N15" s="77">
        <f>'Tabel 1.1'!C16</f>
        <v>462024</v>
      </c>
      <c r="O15" s="74"/>
    </row>
    <row r="16" spans="1:15" x14ac:dyDescent="0.3">
      <c r="A16" s="74"/>
      <c r="B16" s="74"/>
      <c r="C16" s="74"/>
      <c r="D16" s="74"/>
      <c r="E16" s="74"/>
      <c r="F16" s="74"/>
      <c r="G16" s="74"/>
      <c r="H16" s="74"/>
      <c r="I16" s="74"/>
      <c r="J16" s="74"/>
      <c r="K16" s="74"/>
      <c r="L16" s="74" t="s">
        <v>58</v>
      </c>
      <c r="M16" s="77">
        <f>'Tabel 1.1'!B17</f>
        <v>838</v>
      </c>
      <c r="N16" s="77">
        <f>'Tabel 1.1'!C17</f>
        <v>5032.16</v>
      </c>
      <c r="O16" s="74"/>
    </row>
    <row r="17" spans="1:15" x14ac:dyDescent="0.3">
      <c r="A17" s="74"/>
      <c r="B17" s="74"/>
      <c r="C17" s="74"/>
      <c r="D17" s="74"/>
      <c r="E17" s="74"/>
      <c r="F17" s="74"/>
      <c r="G17" s="74"/>
      <c r="H17" s="74"/>
      <c r="I17" s="74"/>
      <c r="J17" s="74"/>
      <c r="K17" s="74"/>
      <c r="L17" s="74" t="s">
        <v>59</v>
      </c>
      <c r="M17" s="77">
        <f>'Tabel 1.1'!B18</f>
        <v>1082036</v>
      </c>
      <c r="N17" s="77">
        <f>'Tabel 1.1'!C18</f>
        <v>1275735.1170000001</v>
      </c>
      <c r="O17" s="74"/>
    </row>
    <row r="18" spans="1:15" x14ac:dyDescent="0.3">
      <c r="A18" s="74"/>
      <c r="B18" s="74"/>
      <c r="C18" s="74"/>
      <c r="D18" s="74"/>
      <c r="E18" s="74"/>
      <c r="F18" s="74"/>
      <c r="G18" s="74"/>
      <c r="H18" s="74"/>
      <c r="I18" s="74"/>
      <c r="J18" s="74"/>
      <c r="K18" s="74"/>
      <c r="L18" s="74" t="s">
        <v>60</v>
      </c>
      <c r="M18" s="77">
        <f>'Tabel 1.1'!B19</f>
        <v>209475</v>
      </c>
      <c r="N18" s="77">
        <f>'Tabel 1.1'!C19</f>
        <v>228732</v>
      </c>
      <c r="O18" s="74"/>
    </row>
    <row r="19" spans="1:15" x14ac:dyDescent="0.3">
      <c r="A19" s="74"/>
      <c r="B19" s="74"/>
      <c r="C19" s="74"/>
      <c r="D19" s="74"/>
      <c r="E19" s="74"/>
      <c r="F19" s="74"/>
      <c r="G19" s="74"/>
      <c r="H19" s="74"/>
      <c r="I19" s="74"/>
      <c r="J19" s="74"/>
      <c r="K19" s="74"/>
      <c r="L19" s="74" t="s">
        <v>61</v>
      </c>
      <c r="M19" s="77">
        <f>'Tabel 1.1'!B20</f>
        <v>8969.8688000000002</v>
      </c>
      <c r="N19" s="77">
        <f>'Tabel 1.1'!C20</f>
        <v>8840.2157599999991</v>
      </c>
      <c r="O19" s="74"/>
    </row>
    <row r="20" spans="1:15" x14ac:dyDescent="0.3">
      <c r="A20" s="74"/>
      <c r="B20" s="74"/>
      <c r="C20" s="74"/>
      <c r="D20" s="74"/>
      <c r="E20" s="74"/>
      <c r="F20" s="74"/>
      <c r="G20" s="74"/>
      <c r="H20" s="74"/>
      <c r="I20" s="74"/>
      <c r="J20" s="74"/>
      <c r="K20" s="74"/>
      <c r="L20" s="74" t="s">
        <v>62</v>
      </c>
      <c r="M20" s="77">
        <f>'Tabel 1.1'!B21</f>
        <v>161371.50699999998</v>
      </c>
      <c r="N20" s="77">
        <f>'Tabel 1.1'!C21</f>
        <v>170115.003490506</v>
      </c>
      <c r="O20" s="74"/>
    </row>
    <row r="21" spans="1:15" x14ac:dyDescent="0.3">
      <c r="A21" s="74"/>
      <c r="B21" s="74"/>
      <c r="C21" s="74"/>
      <c r="D21" s="74"/>
      <c r="E21" s="74"/>
      <c r="F21" s="74"/>
      <c r="G21" s="74"/>
      <c r="H21" s="74"/>
      <c r="I21" s="74"/>
      <c r="J21" s="74"/>
      <c r="K21" s="74"/>
      <c r="L21" s="74" t="s">
        <v>63</v>
      </c>
      <c r="M21" s="77">
        <f>'Tabel 1.1'!B23</f>
        <v>7072533.2508100001</v>
      </c>
      <c r="N21" s="77">
        <f>'Tabel 1.1'!C23</f>
        <v>7029637.7149999999</v>
      </c>
      <c r="O21" s="74"/>
    </row>
    <row r="22" spans="1:15" x14ac:dyDescent="0.3">
      <c r="A22" s="74"/>
      <c r="B22" s="74"/>
      <c r="C22" s="74"/>
      <c r="D22" s="74"/>
      <c r="E22" s="74"/>
      <c r="F22" s="74"/>
      <c r="G22" s="74"/>
      <c r="H22" s="74"/>
      <c r="I22" s="74"/>
      <c r="J22" s="74"/>
      <c r="K22" s="74"/>
      <c r="L22" s="74" t="s">
        <v>64</v>
      </c>
      <c r="M22" s="77">
        <f>'Tabel 1.1'!B24</f>
        <v>156137.83600000001</v>
      </c>
      <c r="N22" s="77">
        <f>'Tabel 1.1'!C24</f>
        <v>181165.234</v>
      </c>
      <c r="O22" s="74"/>
    </row>
    <row r="23" spans="1:15" x14ac:dyDescent="0.3">
      <c r="A23" s="74"/>
      <c r="B23" s="74"/>
      <c r="C23" s="74"/>
      <c r="D23" s="74"/>
      <c r="E23" s="74"/>
      <c r="F23" s="74"/>
      <c r="G23" s="74"/>
      <c r="H23" s="74"/>
      <c r="I23" s="74"/>
      <c r="J23" s="74"/>
      <c r="K23" s="74"/>
      <c r="L23" s="74" t="s">
        <v>382</v>
      </c>
      <c r="M23" s="77">
        <f>'Tabel 1.1'!B25</f>
        <v>30906</v>
      </c>
      <c r="N23" s="77">
        <f>'Tabel 1.1'!C25</f>
        <v>32788</v>
      </c>
      <c r="O23" s="74"/>
    </row>
    <row r="24" spans="1:15" x14ac:dyDescent="0.3">
      <c r="A24" s="74"/>
      <c r="B24" s="74"/>
      <c r="C24" s="74"/>
      <c r="D24" s="74"/>
      <c r="E24" s="74"/>
      <c r="F24" s="74"/>
      <c r="G24" s="74"/>
      <c r="H24" s="74"/>
      <c r="I24" s="74"/>
      <c r="J24" s="74"/>
      <c r="K24" s="74"/>
      <c r="L24" s="74" t="s">
        <v>383</v>
      </c>
      <c r="M24" s="77">
        <f>'Tabel 1.1'!B22</f>
        <v>3495.9480000000003</v>
      </c>
      <c r="N24" s="77">
        <f>'Tabel 1.1'!C22</f>
        <v>9365</v>
      </c>
      <c r="O24" s="74"/>
    </row>
    <row r="25" spans="1:15" x14ac:dyDescent="0.3">
      <c r="A25" s="74"/>
      <c r="B25" s="74"/>
      <c r="C25" s="74"/>
      <c r="D25" s="74"/>
      <c r="E25" s="74"/>
      <c r="F25" s="74"/>
      <c r="G25" s="74"/>
      <c r="H25" s="74"/>
      <c r="I25" s="74"/>
      <c r="J25" s="74"/>
      <c r="K25" s="74"/>
      <c r="L25" s="74" t="s">
        <v>65</v>
      </c>
      <c r="M25" s="77">
        <f>'Tabel 1.1'!B26</f>
        <v>629530.54245577473</v>
      </c>
      <c r="N25" s="77">
        <f>'Tabel 1.1'!C26</f>
        <v>640623</v>
      </c>
      <c r="O25" s="74"/>
    </row>
    <row r="26" spans="1:15" s="141" customFormat="1" x14ac:dyDescent="0.3">
      <c r="A26" s="74"/>
      <c r="B26" s="74"/>
      <c r="C26" s="74"/>
      <c r="D26" s="74"/>
      <c r="E26" s="74"/>
      <c r="F26" s="74"/>
      <c r="G26" s="74"/>
      <c r="H26" s="74"/>
      <c r="I26" s="74"/>
      <c r="J26" s="74"/>
      <c r="K26" s="74"/>
      <c r="L26" s="74" t="s">
        <v>66</v>
      </c>
      <c r="M26" s="77">
        <f>'Tabel 1.1'!B27</f>
        <v>595788.33617999998</v>
      </c>
      <c r="N26" s="77">
        <f>'Tabel 1.1'!C27</f>
        <v>823365</v>
      </c>
      <c r="O26" s="74"/>
    </row>
    <row r="27" spans="1:15" x14ac:dyDescent="0.3">
      <c r="A27" s="74"/>
      <c r="B27" s="74"/>
      <c r="C27" s="74"/>
      <c r="D27" s="74"/>
      <c r="E27" s="74"/>
      <c r="F27" s="74"/>
      <c r="G27" s="74"/>
      <c r="H27" s="74"/>
      <c r="I27" s="74"/>
      <c r="J27" s="74"/>
      <c r="K27" s="74"/>
      <c r="L27" s="74" t="s">
        <v>372</v>
      </c>
      <c r="M27" s="77">
        <f>'Tabel 1.1'!B28</f>
        <v>196210.82700126772</v>
      </c>
      <c r="N27" s="77">
        <f>'Tabel 1.1'!C28</f>
        <v>212752.66328546518</v>
      </c>
      <c r="O27" s="74"/>
    </row>
    <row r="28" spans="1:15" x14ac:dyDescent="0.3">
      <c r="A28" s="74"/>
      <c r="B28" s="74"/>
      <c r="C28" s="74"/>
      <c r="D28" s="74"/>
      <c r="E28" s="74"/>
      <c r="F28" s="74"/>
      <c r="G28" s="74"/>
      <c r="H28" s="74"/>
      <c r="I28" s="74"/>
      <c r="J28" s="74"/>
      <c r="K28" s="74"/>
      <c r="L28" s="74" t="s">
        <v>67</v>
      </c>
      <c r="M28" s="77">
        <f>'Tabel 1.1'!B29</f>
        <v>250321.98676</v>
      </c>
      <c r="N28" s="77">
        <f>'Tabel 1.1'!C29</f>
        <v>267941.32840000006</v>
      </c>
    </row>
    <row r="29" spans="1:15" x14ac:dyDescent="0.3">
      <c r="A29" s="74"/>
      <c r="B29" s="74"/>
      <c r="C29" s="74"/>
      <c r="D29" s="74"/>
      <c r="E29" s="74"/>
      <c r="F29" s="74"/>
      <c r="G29" s="74"/>
      <c r="H29" s="74"/>
      <c r="I29" s="74"/>
      <c r="J29" s="74"/>
      <c r="K29" s="74"/>
      <c r="L29" s="74" t="s">
        <v>68</v>
      </c>
      <c r="M29" s="77">
        <f>'Tabel 1.1'!B30</f>
        <v>2540938.0070000002</v>
      </c>
      <c r="N29" s="77">
        <f>'Tabel 1.1'!C30</f>
        <v>2282188.585</v>
      </c>
    </row>
    <row r="30" spans="1:15" x14ac:dyDescent="0.3">
      <c r="A30" s="74"/>
      <c r="B30" s="74"/>
      <c r="C30" s="74"/>
      <c r="D30" s="74"/>
      <c r="E30" s="74"/>
      <c r="F30" s="74"/>
      <c r="G30" s="74"/>
      <c r="H30" s="74"/>
      <c r="I30" s="74"/>
      <c r="J30" s="74"/>
      <c r="K30" s="74"/>
      <c r="L30" s="74" t="s">
        <v>69</v>
      </c>
      <c r="M30" s="77">
        <f>'Tabel 1.1'!B31</f>
        <v>0</v>
      </c>
      <c r="N30" s="77">
        <f>'Tabel 1.1'!C31</f>
        <v>364</v>
      </c>
    </row>
    <row r="31" spans="1:15" x14ac:dyDescent="0.3">
      <c r="A31" s="75" t="s">
        <v>403</v>
      </c>
      <c r="B31" s="74"/>
      <c r="C31" s="74"/>
      <c r="D31" s="74"/>
      <c r="E31" s="74"/>
      <c r="F31" s="74"/>
      <c r="G31" s="74"/>
      <c r="H31" s="74"/>
      <c r="I31" s="79"/>
      <c r="J31" s="74"/>
      <c r="K31" s="74"/>
      <c r="L31" s="74" t="s">
        <v>70</v>
      </c>
      <c r="M31" s="77">
        <f>'Tabel 1.1'!B32</f>
        <v>510830.81199999998</v>
      </c>
      <c r="N31" s="77">
        <f>'Tabel 1.1'!C32</f>
        <v>519007.69999999995</v>
      </c>
    </row>
    <row r="32" spans="1:15" x14ac:dyDescent="0.3">
      <c r="B32" s="74"/>
      <c r="C32" s="74"/>
      <c r="D32" s="74"/>
      <c r="E32" s="74"/>
      <c r="F32" s="74"/>
      <c r="G32" s="74"/>
      <c r="H32" s="74"/>
      <c r="I32" s="74"/>
      <c r="J32" s="74"/>
      <c r="K32" s="74"/>
      <c r="L32" s="74" t="s">
        <v>390</v>
      </c>
      <c r="M32" s="77">
        <f>'Tabel 1.1'!B33</f>
        <v>1050</v>
      </c>
      <c r="N32" s="77">
        <f>'Tabel 1.1'!C33</f>
        <v>1478</v>
      </c>
    </row>
    <row r="33" spans="1:15" x14ac:dyDescent="0.3">
      <c r="B33" s="74"/>
      <c r="C33" s="74"/>
      <c r="D33" s="74"/>
      <c r="E33" s="74"/>
      <c r="F33" s="74"/>
      <c r="G33" s="74"/>
      <c r="H33" s="74"/>
      <c r="I33" s="74"/>
      <c r="J33" s="74"/>
      <c r="K33" s="74"/>
    </row>
    <row r="34" spans="1:15" x14ac:dyDescent="0.3">
      <c r="A34" s="74"/>
      <c r="B34" s="74"/>
      <c r="C34" s="74"/>
      <c r="D34" s="74"/>
      <c r="E34" s="74"/>
      <c r="F34" s="74"/>
      <c r="G34" s="74"/>
      <c r="H34" s="74"/>
      <c r="I34" s="74"/>
      <c r="J34" s="74"/>
      <c r="K34" s="74"/>
    </row>
    <row r="35" spans="1:15" x14ac:dyDescent="0.3">
      <c r="A35" s="74"/>
      <c r="B35" s="74"/>
      <c r="C35" s="74"/>
      <c r="D35" s="74"/>
      <c r="E35" s="74"/>
      <c r="F35" s="74"/>
      <c r="G35" s="74"/>
      <c r="H35" s="74"/>
      <c r="I35" s="74"/>
      <c r="J35" s="74"/>
      <c r="K35" s="74"/>
      <c r="L35" s="74" t="s">
        <v>53</v>
      </c>
    </row>
    <row r="36" spans="1:15" x14ac:dyDescent="0.3">
      <c r="A36" s="74"/>
      <c r="B36" s="74"/>
      <c r="C36" s="74"/>
      <c r="D36" s="74"/>
      <c r="E36" s="74"/>
      <c r="F36" s="74"/>
      <c r="G36" s="74"/>
      <c r="H36" s="74"/>
      <c r="I36" s="74"/>
      <c r="J36" s="74"/>
      <c r="K36" s="74"/>
      <c r="L36" s="74" t="s">
        <v>1</v>
      </c>
    </row>
    <row r="37" spans="1:15" x14ac:dyDescent="0.3">
      <c r="A37" s="74"/>
      <c r="B37" s="74"/>
      <c r="C37" s="74"/>
      <c r="D37" s="74"/>
      <c r="E37" s="74"/>
      <c r="F37" s="74"/>
      <c r="G37" s="74"/>
      <c r="H37" s="74"/>
      <c r="I37" s="74"/>
      <c r="J37" s="74"/>
      <c r="K37" s="74"/>
      <c r="M37" s="74">
        <f>M7</f>
        <v>2020</v>
      </c>
      <c r="N37" s="74">
        <f>N7</f>
        <v>2021</v>
      </c>
    </row>
    <row r="38" spans="1:15" x14ac:dyDescent="0.3">
      <c r="A38" s="74"/>
      <c r="B38" s="74"/>
      <c r="C38" s="74"/>
      <c r="D38" s="74"/>
      <c r="E38" s="74"/>
      <c r="F38" s="74"/>
      <c r="G38" s="74"/>
      <c r="H38" s="74"/>
      <c r="I38" s="74"/>
      <c r="J38" s="74"/>
      <c r="K38" s="74"/>
      <c r="L38" s="79" t="s">
        <v>54</v>
      </c>
      <c r="M38" s="78">
        <f>'Tabel 1.1'!B37</f>
        <v>556076.75199999998</v>
      </c>
      <c r="N38" s="78">
        <f>'Tabel 1.1'!C37</f>
        <v>605624.35699999996</v>
      </c>
    </row>
    <row r="39" spans="1:15" x14ac:dyDescent="0.3">
      <c r="A39" s="74"/>
      <c r="B39" s="74"/>
      <c r="C39" s="74"/>
      <c r="D39" s="74"/>
      <c r="E39" s="74"/>
      <c r="F39" s="74"/>
      <c r="G39" s="74"/>
      <c r="H39" s="74"/>
      <c r="I39" s="74"/>
      <c r="J39" s="74"/>
      <c r="K39" s="74"/>
      <c r="L39" s="79" t="s">
        <v>394</v>
      </c>
      <c r="M39" s="78">
        <f>'Tabel 1.1'!B38</f>
        <v>155790</v>
      </c>
      <c r="N39" s="78">
        <f>'Tabel 1.1'!C38</f>
        <v>0</v>
      </c>
    </row>
    <row r="40" spans="1:15" x14ac:dyDescent="0.3">
      <c r="A40" s="74"/>
      <c r="B40" s="74"/>
      <c r="C40" s="74"/>
      <c r="D40" s="74"/>
      <c r="E40" s="74"/>
      <c r="F40" s="74"/>
      <c r="G40" s="74"/>
      <c r="H40" s="74"/>
      <c r="I40" s="74"/>
      <c r="J40" s="74"/>
      <c r="K40" s="74"/>
      <c r="L40" s="74" t="s">
        <v>55</v>
      </c>
      <c r="M40" s="78">
        <f>'Tabel 1.1'!B39</f>
        <v>2457225.304</v>
      </c>
      <c r="N40" s="78">
        <f>'Tabel 1.1'!C39</f>
        <v>2864053.5292500001</v>
      </c>
    </row>
    <row r="41" spans="1:15" x14ac:dyDescent="0.3">
      <c r="A41" s="74"/>
      <c r="B41" s="74"/>
      <c r="C41" s="74"/>
      <c r="D41" s="74"/>
      <c r="E41" s="74"/>
      <c r="F41" s="74"/>
      <c r="G41" s="74"/>
      <c r="H41" s="74"/>
      <c r="I41" s="74"/>
      <c r="J41" s="74"/>
      <c r="K41" s="74"/>
      <c r="L41" s="74" t="s">
        <v>57</v>
      </c>
      <c r="M41" s="78">
        <f>'Tabel 1.1'!B40</f>
        <v>105771</v>
      </c>
      <c r="N41" s="78">
        <f>'Tabel 1.1'!C40</f>
        <v>0</v>
      </c>
      <c r="O41" s="74"/>
    </row>
    <row r="42" spans="1:15" x14ac:dyDescent="0.3">
      <c r="A42" s="74"/>
      <c r="B42" s="74"/>
      <c r="C42" s="74"/>
      <c r="D42" s="74"/>
      <c r="E42" s="74"/>
      <c r="F42" s="74"/>
      <c r="G42" s="74"/>
      <c r="H42" s="74"/>
      <c r="I42" s="74"/>
      <c r="J42" s="74"/>
      <c r="K42" s="74"/>
      <c r="L42" s="79" t="s">
        <v>60</v>
      </c>
      <c r="M42" s="78">
        <f>'Tabel 1.1'!B41</f>
        <v>826794</v>
      </c>
      <c r="N42" s="78">
        <f>'Tabel 1.1'!C41</f>
        <v>917875</v>
      </c>
      <c r="O42" s="74"/>
    </row>
    <row r="43" spans="1:15" x14ac:dyDescent="0.3">
      <c r="A43" s="74"/>
      <c r="B43" s="74"/>
      <c r="C43" s="74"/>
      <c r="D43" s="74"/>
      <c r="E43" s="74"/>
      <c r="F43" s="74"/>
      <c r="G43" s="74"/>
      <c r="H43" s="74"/>
      <c r="I43" s="74"/>
      <c r="J43" s="74"/>
      <c r="K43" s="74"/>
      <c r="L43" s="74" t="s">
        <v>63</v>
      </c>
      <c r="M43" s="78">
        <f>'Tabel 1.1'!B42</f>
        <v>13284.058000000001</v>
      </c>
      <c r="N43" s="78">
        <f>'Tabel 1.1'!C42</f>
        <v>13768.486000000001</v>
      </c>
      <c r="O43" s="74"/>
    </row>
    <row r="44" spans="1:15" x14ac:dyDescent="0.3">
      <c r="A44" s="74"/>
      <c r="B44" s="74"/>
      <c r="C44" s="74"/>
      <c r="D44" s="74"/>
      <c r="E44" s="74"/>
      <c r="F44" s="74"/>
      <c r="G44" s="74"/>
      <c r="H44" s="74"/>
      <c r="I44" s="74"/>
      <c r="J44" s="74"/>
      <c r="K44" s="74"/>
      <c r="L44" s="79" t="s">
        <v>65</v>
      </c>
      <c r="M44" s="78">
        <f>'Tabel 1.1'!B43</f>
        <v>3056093.7786399997</v>
      </c>
      <c r="N44" s="78">
        <f>'Tabel 1.1'!C43</f>
        <v>4591987.8017199999</v>
      </c>
      <c r="O44" s="74"/>
    </row>
    <row r="45" spans="1:15" x14ac:dyDescent="0.3">
      <c r="A45" s="74"/>
      <c r="B45" s="74"/>
      <c r="C45" s="74"/>
      <c r="D45" s="74"/>
      <c r="E45" s="74"/>
      <c r="F45" s="74"/>
      <c r="G45" s="74"/>
      <c r="H45" s="74"/>
      <c r="I45" s="74"/>
      <c r="J45" s="74"/>
      <c r="K45" s="74"/>
      <c r="L45" s="79" t="s">
        <v>71</v>
      </c>
      <c r="M45" s="78">
        <f>'Tabel 1.1'!B44</f>
        <v>40693.550899999995</v>
      </c>
      <c r="N45" s="78">
        <f>'Tabel 1.1'!C44</f>
        <v>43468.250899999999</v>
      </c>
      <c r="O45" s="74"/>
    </row>
    <row r="46" spans="1:15" x14ac:dyDescent="0.3">
      <c r="A46" s="74"/>
      <c r="B46" s="74"/>
      <c r="C46" s="74"/>
      <c r="D46" s="74"/>
      <c r="E46" s="74"/>
      <c r="F46" s="74"/>
      <c r="G46" s="74"/>
      <c r="H46" s="74"/>
      <c r="I46" s="74"/>
      <c r="J46" s="74"/>
      <c r="K46" s="74"/>
      <c r="L46" s="79" t="s">
        <v>67</v>
      </c>
      <c r="M46" s="78">
        <f>'Tabel 1.1'!B45</f>
        <v>1184786.1743300001</v>
      </c>
      <c r="N46" s="78">
        <f>'Tabel 1.1'!C45</f>
        <v>1354315.19411</v>
      </c>
      <c r="O46" s="74"/>
    </row>
    <row r="47" spans="1:15" x14ac:dyDescent="0.3">
      <c r="A47" s="74"/>
      <c r="B47" s="74"/>
      <c r="C47" s="74"/>
      <c r="D47" s="74"/>
      <c r="E47" s="74"/>
      <c r="F47" s="74"/>
      <c r="G47" s="74"/>
      <c r="H47" s="74"/>
      <c r="I47" s="74"/>
      <c r="J47" s="74"/>
      <c r="K47" s="74"/>
      <c r="L47" s="79" t="s">
        <v>72</v>
      </c>
      <c r="M47" s="78">
        <f>'Tabel 1.1'!B46</f>
        <v>3276242.0279999999</v>
      </c>
      <c r="N47" s="78">
        <f>'Tabel 1.1'!C46</f>
        <v>3478515.0109999999</v>
      </c>
      <c r="O47" s="74"/>
    </row>
    <row r="48" spans="1:15" x14ac:dyDescent="0.3">
      <c r="A48" s="74"/>
      <c r="B48" s="74"/>
      <c r="C48" s="74"/>
      <c r="D48" s="74"/>
      <c r="E48" s="74"/>
      <c r="F48" s="74"/>
      <c r="G48" s="74"/>
      <c r="H48" s="74"/>
      <c r="I48" s="74"/>
      <c r="J48" s="74"/>
      <c r="K48" s="74"/>
      <c r="L48" s="79"/>
      <c r="M48" s="78"/>
      <c r="N48" s="78"/>
      <c r="O48" s="74"/>
    </row>
    <row r="49" spans="1:15" x14ac:dyDescent="0.3">
      <c r="A49" s="74"/>
      <c r="B49" s="74"/>
      <c r="C49" s="74"/>
      <c r="D49" s="74"/>
      <c r="E49" s="74"/>
      <c r="F49" s="74"/>
      <c r="G49" s="74"/>
      <c r="H49" s="74"/>
      <c r="I49" s="74"/>
      <c r="J49" s="74"/>
      <c r="K49" s="74"/>
      <c r="M49" s="77"/>
      <c r="N49" s="77"/>
      <c r="O49" s="74"/>
    </row>
    <row r="50" spans="1:15" x14ac:dyDescent="0.3">
      <c r="A50" s="74"/>
      <c r="B50" s="74"/>
      <c r="C50" s="74"/>
      <c r="D50" s="74"/>
      <c r="E50" s="74"/>
      <c r="F50" s="74"/>
      <c r="G50" s="74"/>
      <c r="H50" s="74"/>
      <c r="I50" s="74"/>
      <c r="J50" s="74"/>
      <c r="K50" s="74"/>
      <c r="M50" s="77"/>
      <c r="N50" s="77"/>
      <c r="O50" s="74"/>
    </row>
    <row r="51" spans="1:15" x14ac:dyDescent="0.3">
      <c r="A51" s="74"/>
      <c r="B51" s="74"/>
      <c r="C51" s="74"/>
      <c r="D51" s="74"/>
      <c r="E51" s="74"/>
      <c r="F51" s="74"/>
      <c r="G51" s="74"/>
      <c r="H51" s="74"/>
      <c r="I51" s="74"/>
      <c r="J51" s="74"/>
      <c r="K51" s="74"/>
      <c r="M51" s="77"/>
      <c r="N51" s="77"/>
      <c r="O51" s="74"/>
    </row>
    <row r="52" spans="1:15" x14ac:dyDescent="0.3">
      <c r="A52" s="74"/>
      <c r="B52" s="74"/>
      <c r="C52" s="74"/>
      <c r="D52" s="74"/>
      <c r="E52" s="74"/>
      <c r="F52" s="74"/>
      <c r="G52" s="74"/>
      <c r="H52" s="74"/>
      <c r="I52" s="74"/>
      <c r="J52" s="74"/>
      <c r="K52" s="74"/>
      <c r="M52" s="77"/>
      <c r="N52" s="77"/>
      <c r="O52" s="74"/>
    </row>
    <row r="53" spans="1:15" x14ac:dyDescent="0.3">
      <c r="A53" s="74"/>
      <c r="B53" s="74"/>
      <c r="C53" s="74"/>
      <c r="D53" s="74"/>
      <c r="E53" s="74"/>
      <c r="F53" s="74"/>
      <c r="G53" s="74"/>
      <c r="H53" s="74"/>
      <c r="I53" s="74"/>
      <c r="J53" s="74"/>
      <c r="K53" s="74"/>
      <c r="O53" s="74"/>
    </row>
    <row r="54" spans="1:15" x14ac:dyDescent="0.3">
      <c r="A54" s="74"/>
      <c r="B54" s="74"/>
      <c r="C54" s="74"/>
      <c r="D54" s="74"/>
      <c r="E54" s="74"/>
      <c r="F54" s="74"/>
      <c r="G54" s="74"/>
      <c r="H54" s="74"/>
      <c r="I54" s="74"/>
      <c r="J54" s="74"/>
      <c r="K54" s="74"/>
      <c r="O54" s="74"/>
    </row>
    <row r="55" spans="1:15" x14ac:dyDescent="0.3">
      <c r="A55" s="74"/>
      <c r="B55" s="74"/>
      <c r="C55" s="74"/>
      <c r="D55" s="74"/>
      <c r="E55" s="74"/>
      <c r="F55" s="74"/>
      <c r="G55" s="74"/>
      <c r="H55" s="74"/>
      <c r="I55" s="74"/>
      <c r="J55" s="74"/>
      <c r="K55" s="74"/>
      <c r="O55" s="74"/>
    </row>
    <row r="56" spans="1:15" x14ac:dyDescent="0.3">
      <c r="A56" s="75" t="s">
        <v>404</v>
      </c>
      <c r="B56" s="74"/>
      <c r="C56" s="74"/>
      <c r="D56" s="74"/>
      <c r="E56" s="74"/>
      <c r="F56" s="74"/>
      <c r="G56" s="74"/>
      <c r="H56" s="74"/>
      <c r="I56" s="79"/>
      <c r="J56" s="74"/>
      <c r="K56" s="74"/>
      <c r="L56" s="74" t="s">
        <v>73</v>
      </c>
      <c r="O56" s="74"/>
    </row>
    <row r="57" spans="1:15" x14ac:dyDescent="0.3">
      <c r="A57" s="74"/>
      <c r="B57" s="74"/>
      <c r="C57" s="74"/>
      <c r="D57" s="74"/>
      <c r="E57" s="74"/>
      <c r="F57" s="74"/>
      <c r="G57" s="74"/>
      <c r="H57" s="74"/>
      <c r="I57" s="74"/>
      <c r="J57" s="74"/>
      <c r="K57" s="74"/>
      <c r="L57" s="74" t="s">
        <v>0</v>
      </c>
      <c r="O57" s="74"/>
    </row>
    <row r="58" spans="1:15" x14ac:dyDescent="0.3">
      <c r="A58" s="74"/>
      <c r="B58" s="74"/>
      <c r="C58" s="74"/>
      <c r="D58" s="74"/>
      <c r="E58" s="74"/>
      <c r="F58" s="74"/>
      <c r="G58" s="74"/>
      <c r="H58" s="74"/>
      <c r="I58" s="74"/>
      <c r="J58" s="74"/>
      <c r="K58" s="74"/>
      <c r="M58" s="74">
        <f>M7</f>
        <v>2020</v>
      </c>
      <c r="N58" s="74">
        <f>N7</f>
        <v>2021</v>
      </c>
      <c r="O58" s="74"/>
    </row>
    <row r="59" spans="1:15" x14ac:dyDescent="0.3">
      <c r="A59" s="74"/>
      <c r="B59" s="74"/>
      <c r="C59" s="74"/>
      <c r="D59" s="74"/>
      <c r="E59" s="74"/>
      <c r="F59" s="74"/>
      <c r="G59" s="74"/>
      <c r="H59" s="74"/>
      <c r="I59" s="74"/>
      <c r="J59" s="74"/>
      <c r="K59" s="74"/>
      <c r="L59" s="74" t="s">
        <v>396</v>
      </c>
      <c r="M59" s="77">
        <f>'Tabel 1.1'!G9</f>
        <v>0</v>
      </c>
      <c r="N59" s="77">
        <f>'Tabel 1.1'!H9</f>
        <v>0</v>
      </c>
      <c r="O59" s="74"/>
    </row>
    <row r="60" spans="1:15" x14ac:dyDescent="0.3">
      <c r="A60" s="74"/>
      <c r="B60" s="74"/>
      <c r="C60" s="74"/>
      <c r="D60" s="74"/>
      <c r="E60" s="74"/>
      <c r="F60" s="74"/>
      <c r="G60" s="74"/>
      <c r="H60" s="74"/>
      <c r="I60" s="74"/>
      <c r="J60" s="74"/>
      <c r="K60" s="74"/>
      <c r="L60" s="74" t="s">
        <v>54</v>
      </c>
      <c r="M60" s="77">
        <f>'Tabel 1.1'!G10</f>
        <v>1183791.0419999999</v>
      </c>
      <c r="N60" s="77">
        <f>'Tabel 1.1'!H10</f>
        <v>1351956.0279999999</v>
      </c>
      <c r="O60" s="74"/>
    </row>
    <row r="61" spans="1:15" x14ac:dyDescent="0.3">
      <c r="A61" s="74"/>
      <c r="B61" s="74"/>
      <c r="C61" s="74"/>
      <c r="D61" s="74"/>
      <c r="E61" s="74"/>
      <c r="F61" s="74"/>
      <c r="G61" s="74"/>
      <c r="H61" s="74"/>
      <c r="I61" s="74"/>
      <c r="J61" s="74"/>
      <c r="K61" s="74"/>
      <c r="L61" s="74" t="s">
        <v>394</v>
      </c>
      <c r="M61" s="77">
        <f>'Tabel 1.1'!G11</f>
        <v>1780872</v>
      </c>
      <c r="N61" s="77">
        <f>'Tabel 1.1'!H11</f>
        <v>0</v>
      </c>
      <c r="O61" s="74"/>
    </row>
    <row r="62" spans="1:15" x14ac:dyDescent="0.3">
      <c r="A62" s="74"/>
      <c r="B62" s="74"/>
      <c r="C62" s="74"/>
      <c r="D62" s="74"/>
      <c r="E62" s="74"/>
      <c r="F62" s="74"/>
      <c r="G62" s="74"/>
      <c r="H62" s="74"/>
      <c r="I62" s="74"/>
      <c r="J62" s="74"/>
      <c r="K62" s="74"/>
      <c r="L62" s="74" t="s">
        <v>55</v>
      </c>
      <c r="M62" s="77">
        <f>'Tabel 1.1'!G12</f>
        <v>197164195.84099999</v>
      </c>
      <c r="N62" s="77">
        <f>'Tabel 1.1'!H12</f>
        <v>196590138.16999999</v>
      </c>
      <c r="O62" s="74"/>
    </row>
    <row r="63" spans="1:15" x14ac:dyDescent="0.3">
      <c r="A63" s="74"/>
      <c r="B63" s="74"/>
      <c r="C63" s="74"/>
      <c r="D63" s="74"/>
      <c r="E63" s="74"/>
      <c r="F63" s="74"/>
      <c r="G63" s="74"/>
      <c r="H63" s="74"/>
      <c r="I63" s="74"/>
      <c r="J63" s="74"/>
      <c r="K63" s="74"/>
      <c r="L63" s="74" t="s">
        <v>56</v>
      </c>
      <c r="M63" s="77">
        <f>'Tabel 1.1'!G13</f>
        <v>0</v>
      </c>
      <c r="N63" s="77">
        <f>'Tabel 1.1'!H13</f>
        <v>0</v>
      </c>
      <c r="O63" s="74"/>
    </row>
    <row r="64" spans="1:15" x14ac:dyDescent="0.3">
      <c r="A64" s="74"/>
      <c r="B64" s="74"/>
      <c r="C64" s="74"/>
      <c r="D64" s="74"/>
      <c r="E64" s="74"/>
      <c r="F64" s="74"/>
      <c r="G64" s="74"/>
      <c r="H64" s="74"/>
      <c r="I64" s="74"/>
      <c r="J64" s="74"/>
      <c r="K64" s="74"/>
      <c r="L64" s="74" t="s">
        <v>397</v>
      </c>
      <c r="M64" s="77">
        <f>'Tabel 1.1'!G14</f>
        <v>0</v>
      </c>
      <c r="N64" s="77">
        <f>'Tabel 1.1'!H14</f>
        <v>0</v>
      </c>
      <c r="O64" s="74"/>
    </row>
    <row r="65" spans="1:15" x14ac:dyDescent="0.3">
      <c r="A65" s="74"/>
      <c r="B65" s="74"/>
      <c r="C65" s="74"/>
      <c r="D65" s="74"/>
      <c r="E65" s="74"/>
      <c r="F65" s="74"/>
      <c r="G65" s="74"/>
      <c r="H65" s="74"/>
      <c r="I65" s="74"/>
      <c r="J65" s="74"/>
      <c r="K65" s="74"/>
      <c r="L65" s="74" t="s">
        <v>381</v>
      </c>
      <c r="M65" s="77">
        <f>'Tabel 1.1'!G15</f>
        <v>3426723.5940800002</v>
      </c>
      <c r="N65" s="77">
        <f>'Tabel 1.1'!H15</f>
        <v>3914911.94576</v>
      </c>
      <c r="O65" s="74"/>
    </row>
    <row r="66" spans="1:15" x14ac:dyDescent="0.3">
      <c r="A66" s="74"/>
      <c r="B66" s="74"/>
      <c r="C66" s="74"/>
      <c r="D66" s="74"/>
      <c r="E66" s="74"/>
      <c r="F66" s="74"/>
      <c r="G66" s="74"/>
      <c r="H66" s="74"/>
      <c r="I66" s="74"/>
      <c r="J66" s="74"/>
      <c r="K66" s="74"/>
      <c r="L66" s="74" t="s">
        <v>57</v>
      </c>
      <c r="M66" s="77">
        <f>'Tabel 1.1'!G16</f>
        <v>1243833</v>
      </c>
      <c r="N66" s="77">
        <f>'Tabel 1.1'!H16</f>
        <v>1220716</v>
      </c>
      <c r="O66" s="74"/>
    </row>
    <row r="67" spans="1:15" x14ac:dyDescent="0.3">
      <c r="A67" s="74"/>
      <c r="B67" s="74"/>
      <c r="C67" s="74"/>
      <c r="D67" s="74"/>
      <c r="E67" s="74"/>
      <c r="F67" s="74"/>
      <c r="G67" s="74"/>
      <c r="H67" s="74"/>
      <c r="I67" s="74"/>
      <c r="J67" s="74"/>
      <c r="K67" s="74"/>
      <c r="L67" s="74" t="s">
        <v>59</v>
      </c>
      <c r="M67" s="77">
        <f>'Tabel 1.1'!G17</f>
        <v>0</v>
      </c>
      <c r="N67" s="77">
        <f>'Tabel 1.1'!H17</f>
        <v>0</v>
      </c>
      <c r="O67" s="74"/>
    </row>
    <row r="68" spans="1:15" x14ac:dyDescent="0.3">
      <c r="A68" s="74"/>
      <c r="B68" s="74"/>
      <c r="C68" s="74"/>
      <c r="D68" s="74"/>
      <c r="E68" s="74"/>
      <c r="F68" s="74"/>
      <c r="G68" s="74"/>
      <c r="H68" s="74"/>
      <c r="I68" s="74"/>
      <c r="J68" s="74"/>
      <c r="K68" s="74"/>
      <c r="L68" s="74" t="s">
        <v>60</v>
      </c>
      <c r="M68" s="77">
        <f>'Tabel 1.1'!G19</f>
        <v>7257458</v>
      </c>
      <c r="N68" s="77">
        <f>'Tabel 1.1'!H19</f>
        <v>7864328</v>
      </c>
      <c r="O68" s="74"/>
    </row>
    <row r="69" spans="1:15" x14ac:dyDescent="0.3">
      <c r="A69" s="74"/>
      <c r="B69" s="74"/>
      <c r="C69" s="74"/>
      <c r="D69" s="74"/>
      <c r="E69" s="74"/>
      <c r="F69" s="74"/>
      <c r="G69" s="74"/>
      <c r="H69" s="74"/>
      <c r="I69" s="74"/>
      <c r="J69" s="74"/>
      <c r="K69" s="74"/>
      <c r="L69" s="74" t="s">
        <v>61</v>
      </c>
      <c r="M69" s="77">
        <f>'Tabel 1.1'!G20</f>
        <v>27018.357819261299</v>
      </c>
      <c r="N69" s="77">
        <f>'Tabel 1.1'!H20</f>
        <v>18807.375</v>
      </c>
      <c r="O69" s="74"/>
    </row>
    <row r="70" spans="1:15" x14ac:dyDescent="0.3">
      <c r="A70" s="74"/>
      <c r="B70" s="74"/>
      <c r="C70" s="74"/>
      <c r="D70" s="74"/>
      <c r="E70" s="74"/>
      <c r="F70" s="74"/>
      <c r="G70" s="74"/>
      <c r="H70" s="74"/>
      <c r="I70" s="74"/>
      <c r="J70" s="74"/>
      <c r="K70" s="74"/>
      <c r="L70" s="74" t="s">
        <v>62</v>
      </c>
      <c r="M70" s="77">
        <f>'Tabel 1.1'!G21</f>
        <v>0</v>
      </c>
      <c r="N70" s="77">
        <f>'Tabel 1.1'!H21</f>
        <v>0</v>
      </c>
      <c r="O70" s="74"/>
    </row>
    <row r="71" spans="1:15" x14ac:dyDescent="0.3">
      <c r="A71" s="74"/>
      <c r="B71" s="74"/>
      <c r="C71" s="74"/>
      <c r="D71" s="74"/>
      <c r="E71" s="74"/>
      <c r="F71" s="74"/>
      <c r="G71" s="74"/>
      <c r="H71" s="74"/>
      <c r="I71" s="74"/>
      <c r="J71" s="74"/>
      <c r="K71" s="74"/>
      <c r="L71" s="74" t="s">
        <v>383</v>
      </c>
      <c r="M71" s="77">
        <f>'Tabel 1.1'!G22</f>
        <v>0</v>
      </c>
      <c r="N71" s="77">
        <f>'Tabel 1.1'!H22</f>
        <v>0</v>
      </c>
      <c r="O71" s="74"/>
    </row>
    <row r="72" spans="1:15" x14ac:dyDescent="0.3">
      <c r="A72" s="74"/>
      <c r="B72" s="74"/>
      <c r="C72" s="74"/>
      <c r="D72" s="74"/>
      <c r="E72" s="74"/>
      <c r="F72" s="74"/>
      <c r="G72" s="74"/>
      <c r="H72" s="74"/>
      <c r="I72" s="74"/>
      <c r="J72" s="74"/>
      <c r="K72" s="74"/>
      <c r="L72" s="74" t="s">
        <v>63</v>
      </c>
      <c r="M72" s="77">
        <f>'Tabel 1.1'!G23</f>
        <v>508505466.93022001</v>
      </c>
      <c r="N72" s="77">
        <f>'Tabel 1.1'!H23</f>
        <v>532252570.11264002</v>
      </c>
      <c r="O72" s="74"/>
    </row>
    <row r="73" spans="1:15" x14ac:dyDescent="0.3">
      <c r="A73" s="74"/>
      <c r="B73" s="74"/>
      <c r="C73" s="74"/>
      <c r="D73" s="74"/>
      <c r="E73" s="74"/>
      <c r="F73" s="74"/>
      <c r="G73" s="74"/>
      <c r="H73" s="74"/>
      <c r="I73" s="74"/>
      <c r="J73" s="74"/>
      <c r="K73" s="74"/>
      <c r="L73" s="74" t="s">
        <v>64</v>
      </c>
      <c r="M73" s="77">
        <f>'Tabel 1.1'!G24</f>
        <v>39904.18694</v>
      </c>
      <c r="N73" s="77">
        <f>'Tabel 1.1'!H24</f>
        <v>61664.775000000001</v>
      </c>
      <c r="O73" s="74"/>
    </row>
    <row r="74" spans="1:15" x14ac:dyDescent="0.3">
      <c r="A74" s="74"/>
      <c r="B74" s="74"/>
      <c r="C74" s="74"/>
      <c r="D74" s="74"/>
      <c r="E74" s="74"/>
      <c r="F74" s="74"/>
      <c r="G74" s="74"/>
      <c r="H74" s="74"/>
      <c r="I74" s="74"/>
      <c r="J74" s="74"/>
      <c r="K74" s="74"/>
      <c r="L74" s="74" t="s">
        <v>395</v>
      </c>
      <c r="M74" s="77">
        <f>'Tabel 1.1'!G25</f>
        <v>0</v>
      </c>
      <c r="N74" s="77">
        <f>'Tabel 1.1'!H25</f>
        <v>0</v>
      </c>
      <c r="O74" s="74"/>
    </row>
    <row r="75" spans="1:15" x14ac:dyDescent="0.3">
      <c r="A75" s="74"/>
      <c r="B75" s="74"/>
      <c r="C75" s="74"/>
      <c r="D75" s="74"/>
      <c r="E75" s="74"/>
      <c r="F75" s="74"/>
      <c r="G75" s="74"/>
      <c r="H75" s="74"/>
      <c r="I75" s="74"/>
      <c r="J75" s="74"/>
      <c r="K75" s="74"/>
      <c r="L75" s="74" t="s">
        <v>65</v>
      </c>
      <c r="M75" s="77">
        <f>'Tabel 1.1'!G26</f>
        <v>51184490.000153631</v>
      </c>
      <c r="N75" s="77">
        <f>'Tabel 1.1'!H26</f>
        <v>54236300.000061981</v>
      </c>
      <c r="O75" s="74"/>
    </row>
    <row r="76" spans="1:15" x14ac:dyDescent="0.3">
      <c r="A76" s="74"/>
      <c r="B76" s="74"/>
      <c r="C76" s="74"/>
      <c r="D76" s="74"/>
      <c r="E76" s="74"/>
      <c r="F76" s="74"/>
      <c r="G76" s="74"/>
      <c r="H76" s="74"/>
      <c r="I76" s="74"/>
      <c r="J76" s="74"/>
      <c r="K76" s="74"/>
      <c r="L76" s="74" t="s">
        <v>66</v>
      </c>
      <c r="M76" s="77">
        <f>'Tabel 1.1'!G27</f>
        <v>78512396.264768496</v>
      </c>
      <c r="N76" s="77">
        <f>'Tabel 1.1'!H27</f>
        <v>84956302</v>
      </c>
      <c r="O76" s="74"/>
    </row>
    <row r="77" spans="1:15" x14ac:dyDescent="0.3">
      <c r="A77" s="74"/>
      <c r="B77" s="74"/>
      <c r="C77" s="74"/>
      <c r="D77" s="74"/>
      <c r="E77" s="74"/>
      <c r="F77" s="74"/>
      <c r="G77" s="74"/>
      <c r="H77" s="74"/>
      <c r="I77" s="74"/>
      <c r="J77" s="74"/>
      <c r="K77" s="74"/>
      <c r="L77" s="74" t="s">
        <v>67</v>
      </c>
      <c r="M77" s="77">
        <f>'Tabel 1.1'!G29</f>
        <v>19224127.527090002</v>
      </c>
      <c r="N77" s="77">
        <f>'Tabel 1.1'!H29</f>
        <v>19627923.643070001</v>
      </c>
      <c r="O77" s="74"/>
    </row>
    <row r="78" spans="1:15" x14ac:dyDescent="0.3">
      <c r="A78" s="74"/>
      <c r="B78" s="74"/>
      <c r="C78" s="74"/>
      <c r="D78" s="74"/>
      <c r="E78" s="74"/>
      <c r="F78" s="74"/>
      <c r="G78" s="74"/>
      <c r="H78" s="74"/>
      <c r="I78" s="74"/>
      <c r="J78" s="74"/>
      <c r="K78" s="74"/>
      <c r="L78" s="74" t="s">
        <v>68</v>
      </c>
      <c r="M78" s="77">
        <f>'Tabel 1.1'!G30</f>
        <v>182275775.57800004</v>
      </c>
      <c r="N78" s="77">
        <f>'Tabel 1.1'!H30</f>
        <v>191597306.794</v>
      </c>
      <c r="O78" s="74"/>
    </row>
    <row r="79" spans="1:15" x14ac:dyDescent="0.3">
      <c r="A79" s="74"/>
      <c r="B79" s="74"/>
      <c r="C79" s="74"/>
      <c r="D79" s="74"/>
      <c r="E79" s="74"/>
      <c r="F79" s="74"/>
      <c r="G79" s="74"/>
      <c r="H79" s="74"/>
      <c r="I79" s="74"/>
      <c r="J79" s="74"/>
      <c r="K79" s="74"/>
      <c r="L79" s="74" t="s">
        <v>97</v>
      </c>
      <c r="M79" s="77">
        <f>'Tabel 1.1'!G31</f>
        <v>0</v>
      </c>
      <c r="N79" s="77">
        <f>'Tabel 1.1'!H31</f>
        <v>0</v>
      </c>
      <c r="O79" s="74"/>
    </row>
    <row r="80" spans="1:15" x14ac:dyDescent="0.3">
      <c r="A80" s="75" t="s">
        <v>405</v>
      </c>
      <c r="B80" s="74"/>
      <c r="C80" s="74"/>
      <c r="D80" s="74"/>
      <c r="E80" s="74"/>
      <c r="F80" s="74"/>
      <c r="G80" s="74"/>
      <c r="H80" s="74"/>
      <c r="I80" s="79"/>
      <c r="J80" s="74"/>
      <c r="K80" s="74"/>
      <c r="L80" s="74" t="s">
        <v>98</v>
      </c>
      <c r="M80" s="77">
        <f>'Tabel 1.1'!G32</f>
        <v>0</v>
      </c>
      <c r="N80" s="77">
        <f>'Tabel 1.1'!H32</f>
        <v>0</v>
      </c>
      <c r="O80" s="74"/>
    </row>
    <row r="81" spans="1:15" x14ac:dyDescent="0.3">
      <c r="B81" s="74"/>
      <c r="C81" s="74"/>
      <c r="D81" s="74"/>
      <c r="E81" s="74"/>
      <c r="F81" s="74"/>
      <c r="G81" s="74"/>
      <c r="H81" s="74"/>
      <c r="I81" s="74"/>
      <c r="J81" s="74"/>
      <c r="K81" s="74"/>
      <c r="L81" s="74" t="s">
        <v>391</v>
      </c>
      <c r="M81" s="77">
        <f>'Tabel 1.1'!G33</f>
        <v>0</v>
      </c>
      <c r="N81" s="77">
        <f>'Tabel 1.1'!H33</f>
        <v>0</v>
      </c>
      <c r="O81" s="74"/>
    </row>
    <row r="82" spans="1:15" x14ac:dyDescent="0.3">
      <c r="A82" s="74"/>
      <c r="B82" s="74"/>
      <c r="C82" s="74"/>
      <c r="D82" s="74"/>
      <c r="E82" s="74"/>
      <c r="F82" s="74"/>
      <c r="G82" s="74"/>
      <c r="H82" s="74"/>
      <c r="I82" s="74"/>
      <c r="J82" s="74"/>
      <c r="K82" s="74"/>
      <c r="O82" s="74"/>
    </row>
    <row r="83" spans="1:15" x14ac:dyDescent="0.3">
      <c r="A83" s="74"/>
      <c r="B83" s="74"/>
      <c r="C83" s="74"/>
      <c r="D83" s="74"/>
      <c r="E83" s="74"/>
      <c r="F83" s="74"/>
      <c r="G83" s="74"/>
      <c r="H83" s="74"/>
      <c r="I83" s="74"/>
      <c r="J83" s="74"/>
      <c r="K83" s="74"/>
      <c r="O83" s="74"/>
    </row>
    <row r="84" spans="1:15" x14ac:dyDescent="0.3">
      <c r="A84" s="74"/>
      <c r="B84" s="74"/>
      <c r="C84" s="74"/>
      <c r="D84" s="74"/>
      <c r="E84" s="74"/>
      <c r="F84" s="74"/>
      <c r="G84" s="74"/>
      <c r="H84" s="74"/>
      <c r="I84" s="74"/>
      <c r="J84" s="74"/>
      <c r="K84" s="74"/>
      <c r="L84" s="74" t="s">
        <v>73</v>
      </c>
      <c r="O84" s="74"/>
    </row>
    <row r="85" spans="1:15" x14ac:dyDescent="0.3">
      <c r="B85" s="74"/>
      <c r="C85" s="74"/>
      <c r="D85" s="74"/>
      <c r="E85" s="74"/>
      <c r="F85" s="74"/>
      <c r="G85" s="74"/>
      <c r="H85" s="74"/>
      <c r="I85" s="74"/>
      <c r="J85" s="74"/>
      <c r="K85" s="74"/>
      <c r="L85" s="74" t="s">
        <v>1</v>
      </c>
      <c r="O85" s="74"/>
    </row>
    <row r="86" spans="1:15" x14ac:dyDescent="0.3">
      <c r="B86" s="74"/>
      <c r="C86" s="74"/>
      <c r="D86" s="74"/>
      <c r="E86" s="74"/>
      <c r="F86" s="74"/>
      <c r="G86" s="74"/>
      <c r="H86" s="74"/>
      <c r="I86" s="74"/>
      <c r="J86" s="74"/>
      <c r="K86" s="74"/>
      <c r="M86" s="74">
        <f>M7</f>
        <v>2020</v>
      </c>
      <c r="N86" s="74">
        <f>N7</f>
        <v>2021</v>
      </c>
      <c r="O86" s="74"/>
    </row>
    <row r="87" spans="1:15" x14ac:dyDescent="0.3">
      <c r="B87" s="74"/>
      <c r="C87" s="74"/>
      <c r="D87" s="74"/>
      <c r="E87" s="74"/>
      <c r="F87" s="74"/>
      <c r="G87" s="74"/>
      <c r="H87" s="74"/>
      <c r="I87" s="74"/>
      <c r="J87" s="74"/>
      <c r="K87" s="74"/>
      <c r="L87" s="74" t="s">
        <v>54</v>
      </c>
      <c r="M87" s="77">
        <f>'Tabel 1.1'!G37</f>
        <v>18526269.5</v>
      </c>
      <c r="N87" s="77">
        <f>'Tabel 1.1'!H37</f>
        <v>25191577.335999999</v>
      </c>
      <c r="O87" s="74"/>
    </row>
    <row r="88" spans="1:15" x14ac:dyDescent="0.3">
      <c r="B88" s="74"/>
      <c r="C88" s="74"/>
      <c r="D88" s="74"/>
      <c r="E88" s="74"/>
      <c r="F88" s="74"/>
      <c r="G88" s="74"/>
      <c r="H88" s="74"/>
      <c r="I88" s="74"/>
      <c r="J88" s="74"/>
      <c r="K88" s="74"/>
      <c r="L88" s="74" t="s">
        <v>394</v>
      </c>
      <c r="M88" s="77">
        <f>'Tabel 1.1'!G38</f>
        <v>4535748</v>
      </c>
      <c r="N88" s="77">
        <f>'Tabel 1.1'!H38</f>
        <v>0</v>
      </c>
      <c r="O88" s="74"/>
    </row>
    <row r="89" spans="1:15" x14ac:dyDescent="0.3">
      <c r="B89" s="74"/>
      <c r="C89" s="74"/>
      <c r="D89" s="74"/>
      <c r="E89" s="74"/>
      <c r="F89" s="74"/>
      <c r="G89" s="74"/>
      <c r="H89" s="74"/>
      <c r="I89" s="74"/>
      <c r="J89" s="74"/>
      <c r="K89" s="74"/>
      <c r="L89" s="74" t="s">
        <v>55</v>
      </c>
      <c r="M89" s="77">
        <f>'Tabel 1.1'!G39</f>
        <v>84790630.706</v>
      </c>
      <c r="N89" s="77">
        <f>'Tabel 1.1'!H39</f>
        <v>122659439.22629599</v>
      </c>
      <c r="O89" s="74"/>
    </row>
    <row r="90" spans="1:15" x14ac:dyDescent="0.3">
      <c r="B90" s="74"/>
      <c r="C90" s="74"/>
      <c r="D90" s="74"/>
      <c r="E90" s="74"/>
      <c r="F90" s="74"/>
      <c r="G90" s="74"/>
      <c r="H90" s="74"/>
      <c r="I90" s="74"/>
      <c r="J90" s="74"/>
      <c r="K90" s="74"/>
      <c r="L90" s="74" t="s">
        <v>57</v>
      </c>
      <c r="M90" s="77">
        <f>'Tabel 1.1'!G40</f>
        <v>3863942</v>
      </c>
      <c r="N90" s="77">
        <f>'Tabel 1.1'!H40</f>
        <v>0</v>
      </c>
      <c r="O90" s="74"/>
    </row>
    <row r="91" spans="1:15" x14ac:dyDescent="0.3">
      <c r="A91" s="74"/>
      <c r="B91" s="74"/>
      <c r="C91" s="74"/>
      <c r="D91" s="74"/>
      <c r="E91" s="74"/>
      <c r="F91" s="74"/>
      <c r="G91" s="74"/>
      <c r="H91" s="74"/>
      <c r="I91" s="74"/>
      <c r="J91" s="74"/>
      <c r="K91" s="74"/>
      <c r="L91" s="79" t="s">
        <v>60</v>
      </c>
      <c r="M91" s="77">
        <f>'Tabel 1.1'!G41</f>
        <v>26206027</v>
      </c>
      <c r="N91" s="77">
        <f>'Tabel 1.1'!H41</f>
        <v>36333371</v>
      </c>
      <c r="O91" s="74"/>
    </row>
    <row r="92" spans="1:15" ht="18.75" customHeight="1" x14ac:dyDescent="0.3">
      <c r="A92" s="74"/>
      <c r="B92" s="74"/>
      <c r="C92" s="74"/>
      <c r="D92" s="74"/>
      <c r="E92" s="74"/>
      <c r="F92" s="74"/>
      <c r="G92" s="74"/>
      <c r="H92" s="74"/>
      <c r="I92" s="74"/>
      <c r="J92" s="74"/>
      <c r="K92" s="74"/>
      <c r="L92" s="74" t="s">
        <v>63</v>
      </c>
      <c r="M92" s="77">
        <f>'Tabel 1.1'!G42</f>
        <v>2151789.0251500001</v>
      </c>
      <c r="N92" s="77">
        <f>'Tabel 1.1'!H42</f>
        <v>2073544.89796</v>
      </c>
      <c r="O92" s="74"/>
    </row>
    <row r="93" spans="1:15" ht="18.75" customHeight="1" x14ac:dyDescent="0.3">
      <c r="A93" s="74"/>
      <c r="B93" s="74"/>
      <c r="C93" s="74"/>
      <c r="D93" s="74"/>
      <c r="E93" s="74"/>
      <c r="F93" s="74"/>
      <c r="G93" s="74"/>
      <c r="H93" s="74"/>
      <c r="I93" s="74"/>
      <c r="J93" s="74"/>
      <c r="K93" s="74"/>
      <c r="L93" s="74" t="s">
        <v>65</v>
      </c>
      <c r="M93" s="77">
        <f>'Tabel 1.1'!G43</f>
        <v>70145270</v>
      </c>
      <c r="N93" s="77">
        <f>'Tabel 1.1'!H43</f>
        <v>105547000</v>
      </c>
      <c r="O93" s="74"/>
    </row>
    <row r="94" spans="1:15" ht="18.75" customHeight="1" x14ac:dyDescent="0.3">
      <c r="A94" s="74"/>
      <c r="B94" s="74"/>
      <c r="C94" s="74"/>
      <c r="D94" s="74"/>
      <c r="E94" s="74"/>
      <c r="F94" s="74"/>
      <c r="G94" s="74"/>
      <c r="H94" s="74"/>
      <c r="I94" s="74"/>
      <c r="J94" s="74"/>
      <c r="K94" s="74"/>
      <c r="L94" s="74" t="s">
        <v>71</v>
      </c>
      <c r="M94" s="77">
        <f>'Tabel 1.1'!G44</f>
        <v>2269628.5062499996</v>
      </c>
      <c r="N94" s="77">
        <f>'Tabel 1.1'!H44</f>
        <v>3051253.7135600001</v>
      </c>
      <c r="O94" s="74"/>
    </row>
    <row r="95" spans="1:15" ht="18.75" customHeight="1" x14ac:dyDescent="0.3">
      <c r="A95" s="74"/>
      <c r="B95" s="74"/>
      <c r="C95" s="74"/>
      <c r="D95" s="74"/>
      <c r="E95" s="74"/>
      <c r="F95" s="74"/>
      <c r="G95" s="74"/>
      <c r="H95" s="74"/>
      <c r="I95" s="74"/>
      <c r="J95" s="74"/>
      <c r="K95" s="74"/>
      <c r="L95" s="74" t="s">
        <v>67</v>
      </c>
      <c r="M95" s="77">
        <f>'Tabel 1.1'!G45</f>
        <v>31469716.431260001</v>
      </c>
      <c r="N95" s="77">
        <f>'Tabel 1.1'!H45</f>
        <v>47144820.956519999</v>
      </c>
      <c r="O95" s="74"/>
    </row>
    <row r="96" spans="1:15" ht="18.75" customHeight="1" x14ac:dyDescent="0.3">
      <c r="A96" s="74"/>
      <c r="B96" s="74"/>
      <c r="C96" s="74"/>
      <c r="D96" s="74"/>
      <c r="E96" s="74"/>
      <c r="F96" s="74"/>
      <c r="G96" s="74"/>
      <c r="H96" s="74"/>
      <c r="I96" s="74"/>
      <c r="J96" s="74"/>
      <c r="K96" s="74"/>
      <c r="L96" s="74" t="s">
        <v>72</v>
      </c>
      <c r="M96" s="77">
        <f>'Tabel 1.1'!G46</f>
        <v>105148557.005</v>
      </c>
      <c r="N96" s="77">
        <f>'Tabel 1.1'!H46</f>
        <v>144290948.79499999</v>
      </c>
      <c r="O96" s="74"/>
    </row>
    <row r="97" spans="1:17" ht="18.75" customHeight="1" x14ac:dyDescent="0.3">
      <c r="A97" s="74"/>
      <c r="B97" s="74"/>
      <c r="C97" s="74"/>
      <c r="D97" s="74"/>
      <c r="E97" s="74"/>
      <c r="F97" s="74"/>
      <c r="G97" s="74"/>
      <c r="H97" s="74"/>
      <c r="I97" s="74"/>
      <c r="J97" s="74"/>
      <c r="K97" s="74"/>
      <c r="M97" s="77"/>
      <c r="O97" s="74"/>
      <c r="Q97" s="74"/>
    </row>
    <row r="98" spans="1:17" ht="18.75" customHeight="1" x14ac:dyDescent="0.3">
      <c r="A98" s="74"/>
      <c r="B98" s="74"/>
      <c r="C98" s="74"/>
      <c r="D98" s="74"/>
      <c r="E98" s="74"/>
      <c r="F98" s="74"/>
      <c r="G98" s="74"/>
      <c r="H98" s="74"/>
      <c r="I98" s="74"/>
      <c r="J98" s="74"/>
      <c r="K98" s="74"/>
      <c r="O98" s="74"/>
      <c r="Q98" s="74"/>
    </row>
    <row r="99" spans="1:17" ht="18.75" customHeight="1" x14ac:dyDescent="0.3">
      <c r="A99" s="74"/>
      <c r="B99" s="74"/>
      <c r="C99" s="74"/>
      <c r="D99" s="74"/>
      <c r="E99" s="74"/>
      <c r="F99" s="74"/>
      <c r="G99" s="74"/>
      <c r="H99" s="74"/>
      <c r="I99" s="74"/>
      <c r="J99" s="74"/>
      <c r="K99" s="74"/>
      <c r="O99" s="74"/>
      <c r="Q99" s="74"/>
    </row>
    <row r="100" spans="1:17" ht="18.75" customHeight="1" x14ac:dyDescent="0.3">
      <c r="A100" s="74"/>
      <c r="B100" s="74"/>
      <c r="C100" s="74"/>
      <c r="D100" s="74"/>
      <c r="E100" s="74"/>
      <c r="F100" s="74"/>
      <c r="G100" s="74"/>
      <c r="H100" s="74"/>
      <c r="I100" s="74"/>
      <c r="J100" s="74"/>
      <c r="K100" s="74"/>
      <c r="O100" s="74"/>
      <c r="Q100" s="74"/>
    </row>
    <row r="101" spans="1:17" ht="18.75" customHeight="1" x14ac:dyDescent="0.3">
      <c r="A101" s="74"/>
      <c r="B101" s="74"/>
      <c r="C101" s="74"/>
      <c r="D101" s="74"/>
      <c r="E101" s="74"/>
      <c r="F101" s="74"/>
      <c r="G101" s="74"/>
      <c r="H101" s="74"/>
      <c r="I101" s="74"/>
      <c r="J101" s="74"/>
      <c r="K101" s="74"/>
      <c r="O101" s="74"/>
      <c r="Q101" s="74"/>
    </row>
    <row r="102" spans="1:17" ht="18.75" customHeight="1" x14ac:dyDescent="0.3">
      <c r="A102" s="74"/>
      <c r="B102" s="74"/>
      <c r="C102" s="74"/>
      <c r="D102" s="74"/>
      <c r="E102" s="74"/>
      <c r="F102" s="74"/>
      <c r="G102" s="74"/>
      <c r="H102" s="74"/>
      <c r="I102" s="74"/>
      <c r="J102" s="74"/>
      <c r="K102" s="74"/>
      <c r="O102" s="74"/>
      <c r="Q102" s="74"/>
    </row>
    <row r="103" spans="1:17" ht="18.75" customHeight="1" x14ac:dyDescent="0.3">
      <c r="A103" s="74"/>
      <c r="B103" s="74"/>
      <c r="C103" s="74"/>
      <c r="D103" s="74"/>
      <c r="E103" s="74"/>
      <c r="F103" s="74"/>
      <c r="G103" s="74"/>
      <c r="H103" s="74"/>
      <c r="I103" s="74"/>
      <c r="J103" s="74"/>
      <c r="K103" s="74"/>
      <c r="O103" s="74"/>
      <c r="Q103" s="74"/>
    </row>
    <row r="104" spans="1:17" ht="18.75" customHeight="1" x14ac:dyDescent="0.3">
      <c r="A104" s="74"/>
      <c r="B104" s="74"/>
      <c r="C104" s="74"/>
      <c r="D104" s="74"/>
      <c r="E104" s="74"/>
      <c r="F104" s="74"/>
      <c r="G104" s="74"/>
      <c r="H104" s="74"/>
      <c r="I104" s="74"/>
      <c r="J104" s="74"/>
      <c r="K104" s="74"/>
      <c r="O104" s="74"/>
      <c r="Q104" s="74"/>
    </row>
    <row r="105" spans="1:17" ht="18.75" customHeight="1" x14ac:dyDescent="0.3">
      <c r="A105" s="74"/>
      <c r="B105" s="74"/>
      <c r="C105" s="74"/>
      <c r="D105" s="74"/>
      <c r="E105" s="74"/>
      <c r="F105" s="74"/>
      <c r="G105" s="74"/>
      <c r="H105" s="74"/>
      <c r="I105" s="74"/>
      <c r="J105" s="74"/>
      <c r="K105" s="74"/>
      <c r="O105" s="74"/>
      <c r="Q105" s="74"/>
    </row>
    <row r="106" spans="1:17" ht="18.75" customHeight="1" x14ac:dyDescent="0.3">
      <c r="A106" s="75" t="s">
        <v>406</v>
      </c>
      <c r="B106" s="74"/>
      <c r="C106" s="74"/>
      <c r="D106" s="74"/>
      <c r="E106" s="74"/>
      <c r="F106" s="74"/>
      <c r="G106" s="74"/>
      <c r="H106" s="79"/>
      <c r="I106" s="74"/>
      <c r="J106" s="74"/>
      <c r="K106" s="74"/>
      <c r="O106" s="74"/>
      <c r="Q106" s="74"/>
    </row>
    <row r="107" spans="1:17" ht="18.75" customHeight="1" x14ac:dyDescent="0.3">
      <c r="A107" s="74"/>
      <c r="B107" s="74"/>
      <c r="C107" s="74"/>
      <c r="D107" s="74"/>
      <c r="E107" s="74"/>
      <c r="F107" s="74"/>
      <c r="G107" s="74"/>
      <c r="H107" s="74"/>
      <c r="I107" s="74"/>
      <c r="J107" s="74"/>
      <c r="K107" s="74"/>
      <c r="O107" s="74"/>
      <c r="Q107" s="74"/>
    </row>
    <row r="108" spans="1:17" ht="18.75" customHeight="1" x14ac:dyDescent="0.3">
      <c r="A108" s="74"/>
      <c r="B108" s="74"/>
      <c r="C108" s="74"/>
      <c r="D108" s="74"/>
      <c r="E108" s="74"/>
      <c r="F108" s="74"/>
      <c r="G108" s="74"/>
      <c r="H108" s="74"/>
      <c r="I108" s="74"/>
      <c r="J108" s="74"/>
      <c r="K108" s="74"/>
      <c r="O108" s="74"/>
      <c r="Q108" s="74"/>
    </row>
    <row r="109" spans="1:17" ht="18.75" customHeight="1" x14ac:dyDescent="0.3">
      <c r="A109" s="74"/>
      <c r="B109" s="74"/>
      <c r="C109" s="74"/>
      <c r="D109" s="74"/>
      <c r="E109" s="74"/>
      <c r="F109" s="74"/>
      <c r="G109" s="74"/>
      <c r="H109" s="74"/>
      <c r="I109" s="74"/>
      <c r="J109" s="74"/>
      <c r="K109" s="74"/>
      <c r="O109" s="74"/>
      <c r="Q109" s="74"/>
    </row>
    <row r="110" spans="1:17" ht="18.75" customHeight="1" x14ac:dyDescent="0.3">
      <c r="A110" s="74"/>
      <c r="B110" s="74"/>
      <c r="C110" s="74"/>
      <c r="D110" s="74"/>
      <c r="E110" s="74"/>
      <c r="F110" s="74"/>
      <c r="G110" s="74"/>
      <c r="H110" s="74"/>
      <c r="I110" s="74"/>
      <c r="J110" s="74"/>
      <c r="K110" s="74"/>
      <c r="L110" s="79" t="s">
        <v>74</v>
      </c>
      <c r="O110" s="74"/>
      <c r="Q110" s="74"/>
    </row>
    <row r="111" spans="1:17" ht="18.75" customHeight="1" x14ac:dyDescent="0.3">
      <c r="A111" s="74"/>
      <c r="B111" s="74"/>
      <c r="C111" s="74"/>
      <c r="D111" s="74"/>
      <c r="E111" s="74"/>
      <c r="F111" s="74"/>
      <c r="G111" s="74"/>
      <c r="H111" s="74"/>
      <c r="I111" s="74"/>
      <c r="J111" s="74"/>
      <c r="K111" s="74"/>
      <c r="L111" s="74" t="s">
        <v>0</v>
      </c>
      <c r="O111" s="74"/>
      <c r="Q111" s="74"/>
    </row>
    <row r="112" spans="1:17" ht="18.75" customHeight="1" x14ac:dyDescent="0.3">
      <c r="A112" s="74"/>
      <c r="B112" s="74"/>
      <c r="C112" s="74"/>
      <c r="D112" s="74"/>
      <c r="E112" s="74"/>
      <c r="F112" s="74"/>
      <c r="G112" s="74"/>
      <c r="H112" s="74"/>
      <c r="I112" s="74"/>
      <c r="J112" s="74"/>
      <c r="K112" s="74"/>
      <c r="M112" s="74">
        <f>M7</f>
        <v>2020</v>
      </c>
      <c r="N112" s="74">
        <f>N7</f>
        <v>2021</v>
      </c>
      <c r="O112" s="74"/>
      <c r="Q112" s="74"/>
    </row>
    <row r="113" spans="1:17" ht="18.75" customHeight="1" x14ac:dyDescent="0.3">
      <c r="A113" s="74"/>
      <c r="B113" s="74"/>
      <c r="C113" s="74"/>
      <c r="D113" s="74"/>
      <c r="E113" s="74"/>
      <c r="F113" s="74"/>
      <c r="G113" s="74"/>
      <c r="H113" s="74"/>
      <c r="I113" s="74"/>
      <c r="J113" s="74"/>
      <c r="K113" s="74"/>
      <c r="L113" s="74" t="s">
        <v>54</v>
      </c>
      <c r="M113" s="77">
        <f>'Danica Pensjonsforsikring'!B11-'Danica Pensjonsforsikring'!B12+'Danica Pensjonsforsikring'!B34-'Danica Pensjonsforsikring'!B35+'Danica Pensjonsforsikring'!B38-'Danica Pensjonsforsikring'!B39+'Danica Pensjonsforsikring'!B112-'Danica Pensjonsforsikring'!B120+'Danica Pensjonsforsikring'!B137-'Danica Pensjonsforsikring'!B138</f>
        <v>12646.075999999999</v>
      </c>
      <c r="N113" s="77">
        <f>'Danica Pensjonsforsikring'!C11-'Danica Pensjonsforsikring'!C12+'Danica Pensjonsforsikring'!C34-'Danica Pensjonsforsikring'!C35+'Danica Pensjonsforsikring'!C38-'Danica Pensjonsforsikring'!C39+'Danica Pensjonsforsikring'!C112-'Danica Pensjonsforsikring'!C120+'Danica Pensjonsforsikring'!C137-'Danica Pensjonsforsikring'!C138</f>
        <v>6173.4510000000009</v>
      </c>
      <c r="O113" s="74"/>
      <c r="Q113" s="74"/>
    </row>
    <row r="114" spans="1:17" ht="18.75" customHeight="1" x14ac:dyDescent="0.3">
      <c r="A114" s="74"/>
      <c r="B114" s="74"/>
      <c r="C114" s="74"/>
      <c r="D114" s="74"/>
      <c r="E114" s="74"/>
      <c r="F114" s="74"/>
      <c r="G114" s="74"/>
      <c r="H114" s="74"/>
      <c r="I114" s="74"/>
      <c r="J114" s="74"/>
      <c r="K114" s="74"/>
      <c r="L114" s="79" t="s">
        <v>394</v>
      </c>
      <c r="M114" s="77">
        <f>'DNB Bedriftspensjon'!B11-'DNB Bedriftspensjon'!B12+'DNB Bedriftspensjon'!B34-'DNB Bedriftspensjon'!B35+'DNB Bedriftspensjon'!B38-'DNB Bedriftspensjon'!B39+'DNB Bedriftspensjon'!B112-'DNB Bedriftspensjon'!B120+'DNB Bedriftspensjon'!B137-'DNB Bedriftspensjon'!B138</f>
        <v>3182</v>
      </c>
      <c r="N114" s="77">
        <f>'DNB Bedriftspensjon'!C11-'DNB Bedriftspensjon'!C12+'DNB Bedriftspensjon'!C34-'DNB Bedriftspensjon'!C35+'DNB Bedriftspensjon'!C38-'DNB Bedriftspensjon'!C39+'DNB Bedriftspensjon'!C112-'DNB Bedriftspensjon'!C120+'DNB Bedriftspensjon'!C137-'DNB Bedriftspensjon'!C138</f>
        <v>0</v>
      </c>
      <c r="O114" s="74"/>
      <c r="Q114" s="74"/>
    </row>
    <row r="115" spans="1:17" ht="18.75" customHeight="1" x14ac:dyDescent="0.3">
      <c r="A115" s="74"/>
      <c r="B115" s="74"/>
      <c r="C115" s="74"/>
      <c r="D115" s="74"/>
      <c r="E115" s="74"/>
      <c r="F115" s="74"/>
      <c r="G115" s="74"/>
      <c r="H115" s="74"/>
      <c r="I115" s="74"/>
      <c r="J115" s="74"/>
      <c r="K115" s="74"/>
      <c r="L115" s="74" t="s">
        <v>55</v>
      </c>
      <c r="M115" s="77">
        <f>'DNB Livsforsikring'!B11-'DNB Livsforsikring'!B12+'DNB Livsforsikring'!B34-'DNB Livsforsikring'!B35+'DNB Livsforsikring'!B38-'DNB Livsforsikring'!B39+'DNB Livsforsikring'!B112-'DNB Livsforsikring'!B120+'DNB Livsforsikring'!B137-'DNB Livsforsikring'!B138</f>
        <v>-237818</v>
      </c>
      <c r="N115" s="77">
        <f>'DNB Livsforsikring'!C11-'DNB Livsforsikring'!C12+'DNB Livsforsikring'!C34-'DNB Livsforsikring'!C35+'DNB Livsforsikring'!C38-'DNB Livsforsikring'!C39+'DNB Livsforsikring'!C112-'DNB Livsforsikring'!C120+'DNB Livsforsikring'!C137-'DNB Livsforsikring'!C138</f>
        <v>588558</v>
      </c>
      <c r="O115" s="74"/>
      <c r="Q115" s="74"/>
    </row>
    <row r="116" spans="1:17" ht="18.75" customHeight="1" x14ac:dyDescent="0.3">
      <c r="A116" s="74"/>
      <c r="B116" s="74"/>
      <c r="C116" s="74"/>
      <c r="D116" s="74"/>
      <c r="E116" s="74"/>
      <c r="F116" s="74"/>
      <c r="G116" s="74"/>
      <c r="H116" s="74"/>
      <c r="I116" s="74"/>
      <c r="J116" s="74"/>
      <c r="K116" s="74"/>
      <c r="L116" s="79" t="s">
        <v>60</v>
      </c>
      <c r="M116" s="77">
        <f>'Gjensidige Pensjon'!B11-'Gjensidige Pensjon'!B12+'Gjensidige Pensjon'!B34-'Gjensidige Pensjon'!B35+'Gjensidige Pensjon'!B38-'Gjensidige Pensjon'!B39+'Gjensidige Pensjon'!B112-'Gjensidige Pensjon'!B120+'Gjensidige Pensjon'!B137-'Gjensidige Pensjon'!B138</f>
        <v>-54730</v>
      </c>
      <c r="N116" s="77">
        <f>'Gjensidige Pensjon'!C11-'Gjensidige Pensjon'!C12+'Gjensidige Pensjon'!C34-'Gjensidige Pensjon'!C35+'Gjensidige Pensjon'!C38-'Gjensidige Pensjon'!C39+'Gjensidige Pensjon'!C112-'Gjensidige Pensjon'!C120+'Gjensidige Pensjon'!C137-'Gjensidige Pensjon'!C138</f>
        <v>6474</v>
      </c>
      <c r="O116" s="74"/>
      <c r="Q116" s="74"/>
    </row>
    <row r="117" spans="1:17" ht="18.75" customHeight="1" x14ac:dyDescent="0.3">
      <c r="A117" s="74"/>
      <c r="B117" s="74"/>
      <c r="C117" s="74"/>
      <c r="D117" s="74"/>
      <c r="E117" s="74"/>
      <c r="F117" s="74"/>
      <c r="G117" s="74"/>
      <c r="H117" s="74"/>
      <c r="I117" s="74"/>
      <c r="J117" s="74"/>
      <c r="K117" s="74"/>
      <c r="L117" s="79" t="s">
        <v>63</v>
      </c>
      <c r="M117" s="77">
        <f>KLP!B11-KLP!B12+KLP!B34-KLP!B35+KLP!B38-KLP!B39+KLP!B112-KLP!B120+KLP!B137-KLP!B138</f>
        <v>-3411565.2769999998</v>
      </c>
      <c r="N117" s="77">
        <f>KLP!C11-KLP!C12+KLP!C34-KLP!C35+KLP!C38-KLP!C39+KLP!C112-KLP!C120+KLP!C137-KLP!C138</f>
        <v>-8418803.5179999992</v>
      </c>
      <c r="O117" s="74"/>
    </row>
    <row r="118" spans="1:17" ht="18.75" customHeight="1" x14ac:dyDescent="0.3">
      <c r="A118" s="74"/>
      <c r="B118" s="74"/>
      <c r="C118" s="74"/>
      <c r="D118" s="74"/>
      <c r="E118" s="74"/>
      <c r="F118" s="74"/>
      <c r="G118" s="74"/>
      <c r="H118" s="74"/>
      <c r="I118" s="74"/>
      <c r="J118" s="74"/>
      <c r="K118" s="74"/>
      <c r="L118" s="74" t="s">
        <v>65</v>
      </c>
      <c r="M118" s="77">
        <f>'Nordea Liv '!B11-'Nordea Liv '!B12+'Nordea Liv '!B34-'Nordea Liv '!B35+'Nordea Liv '!B38-'Nordea Liv '!B39+'Nordea Liv '!B112-'Nordea Liv '!B120+'Nordea Liv '!B137-'Nordea Liv '!B138</f>
        <v>-3278</v>
      </c>
      <c r="N118" s="77">
        <f>'Nordea Liv '!C11-'Nordea Liv '!C12+'Nordea Liv '!C34-'Nordea Liv '!C35+'Nordea Liv '!C38-'Nordea Liv '!C39+'Nordea Liv '!C112-'Nordea Liv '!C120+'Nordea Liv '!C137-'Nordea Liv '!C138</f>
        <v>-1770</v>
      </c>
      <c r="O118" s="74"/>
    </row>
    <row r="119" spans="1:17" ht="18.75" customHeight="1" x14ac:dyDescent="0.3">
      <c r="A119" s="74"/>
      <c r="B119" s="74"/>
      <c r="C119" s="74"/>
      <c r="D119" s="74"/>
      <c r="E119" s="74"/>
      <c r="F119" s="74"/>
      <c r="G119" s="74"/>
      <c r="H119" s="74"/>
      <c r="I119" s="74"/>
      <c r="J119" s="74"/>
      <c r="K119" s="74"/>
      <c r="L119" s="74" t="s">
        <v>67</v>
      </c>
      <c r="M119" s="77">
        <f>'Sparebank 1'!B11-'Sparebank 1'!B12+'Sparebank 1'!B34-'Sparebank 1'!B35+'Sparebank 1'!B38-'Sparebank 1'!B39+'Sparebank 1'!B112-'Sparebank 1'!B120+'Sparebank 1'!B137-'Sparebank 1'!B138</f>
        <v>3146.3897800000004</v>
      </c>
      <c r="N119" s="77">
        <f>'Sparebank 1'!C11-'Sparebank 1'!C12+'Sparebank 1'!C34-'Sparebank 1'!C35+'Sparebank 1'!C38-'Sparebank 1'!C39+'Sparebank 1'!C112-'Sparebank 1'!C120+'Sparebank 1'!C137-'Sparebank 1'!C138</f>
        <v>-11830.833309999998</v>
      </c>
      <c r="O119" s="74"/>
    </row>
    <row r="120" spans="1:17" ht="18.75" customHeight="1" x14ac:dyDescent="0.3">
      <c r="A120" s="74"/>
      <c r="B120" s="74"/>
      <c r="C120" s="74"/>
      <c r="D120" s="74"/>
      <c r="E120" s="74"/>
      <c r="F120" s="74"/>
      <c r="G120" s="74"/>
      <c r="H120" s="74"/>
      <c r="I120" s="74"/>
      <c r="J120" s="74"/>
      <c r="K120" s="74"/>
      <c r="L120" s="74" t="s">
        <v>68</v>
      </c>
      <c r="M120" s="77">
        <f>'Storebrand Livsforsikring'!B11-'Storebrand Livsforsikring'!B12+'Storebrand Livsforsikring'!B34-'Storebrand Livsforsikring'!B35+'Storebrand Livsforsikring'!B38-'Storebrand Livsforsikring'!B39+'Storebrand Livsforsikring'!B112-'Storebrand Livsforsikring'!B120+'Storebrand Livsforsikring'!B137-'Storebrand Livsforsikring'!B138</f>
        <v>260683.62500000003</v>
      </c>
      <c r="N120" s="77">
        <f>'Storebrand Livsforsikring'!C11-'Storebrand Livsforsikring'!C12+'Storebrand Livsforsikring'!C34-'Storebrand Livsforsikring'!C35+'Storebrand Livsforsikring'!C38-'Storebrand Livsforsikring'!C39+'Storebrand Livsforsikring'!C112-'Storebrand Livsforsikring'!C120+'Storebrand Livsforsikring'!C137-'Storebrand Livsforsikring'!C138</f>
        <v>7017389.9980000006</v>
      </c>
      <c r="O120" s="74"/>
    </row>
    <row r="121" spans="1:17" ht="18.75" customHeight="1" x14ac:dyDescent="0.3">
      <c r="A121" s="74"/>
      <c r="B121" s="74"/>
      <c r="C121" s="74"/>
      <c r="D121" s="74"/>
      <c r="E121" s="74"/>
      <c r="F121" s="74"/>
      <c r="G121" s="74"/>
      <c r="H121" s="74"/>
      <c r="I121" s="74"/>
      <c r="J121" s="74"/>
      <c r="K121" s="74"/>
      <c r="M121" s="77"/>
      <c r="N121" s="77"/>
      <c r="O121" s="74"/>
    </row>
    <row r="122" spans="1:17" ht="18.75" customHeight="1" x14ac:dyDescent="0.3">
      <c r="A122" s="74"/>
      <c r="B122" s="74"/>
      <c r="C122" s="74"/>
      <c r="D122" s="74"/>
      <c r="E122" s="74"/>
      <c r="F122" s="74"/>
      <c r="G122" s="74"/>
      <c r="H122" s="74"/>
      <c r="I122" s="74"/>
      <c r="J122" s="74"/>
      <c r="K122" s="74"/>
      <c r="M122" s="77"/>
      <c r="N122" s="77"/>
      <c r="O122" s="74"/>
    </row>
    <row r="123" spans="1:17" x14ac:dyDescent="0.3">
      <c r="A123" s="74"/>
      <c r="B123" s="74"/>
      <c r="C123" s="74"/>
      <c r="D123" s="74"/>
      <c r="E123" s="74"/>
      <c r="F123" s="74"/>
      <c r="G123" s="74"/>
      <c r="H123" s="74"/>
      <c r="I123" s="74"/>
      <c r="J123" s="74"/>
      <c r="K123" s="74"/>
      <c r="M123" s="77"/>
      <c r="N123" s="77"/>
      <c r="O123" s="74"/>
    </row>
    <row r="124" spans="1:17" x14ac:dyDescent="0.3">
      <c r="A124" s="74"/>
      <c r="B124" s="74"/>
      <c r="C124" s="74"/>
      <c r="D124" s="74"/>
      <c r="E124" s="74"/>
      <c r="F124" s="74"/>
      <c r="G124" s="74"/>
      <c r="H124" s="74"/>
      <c r="I124" s="74"/>
      <c r="J124" s="74"/>
      <c r="K124" s="74"/>
      <c r="M124" s="77"/>
      <c r="N124" s="77"/>
      <c r="O124" s="74"/>
    </row>
    <row r="125" spans="1:17" x14ac:dyDescent="0.3">
      <c r="A125" s="74"/>
      <c r="B125" s="74"/>
      <c r="C125" s="74"/>
      <c r="D125" s="74"/>
      <c r="E125" s="74"/>
      <c r="F125" s="74"/>
      <c r="G125" s="74"/>
      <c r="H125" s="74"/>
      <c r="I125" s="74"/>
      <c r="J125" s="74"/>
      <c r="K125" s="74"/>
      <c r="M125" s="77"/>
      <c r="N125" s="77"/>
      <c r="O125" s="74"/>
    </row>
    <row r="126" spans="1:17" x14ac:dyDescent="0.3">
      <c r="A126" s="74"/>
      <c r="B126" s="74"/>
      <c r="C126" s="74"/>
      <c r="D126" s="74"/>
      <c r="E126" s="74"/>
      <c r="F126" s="74"/>
      <c r="G126" s="74"/>
      <c r="H126" s="74"/>
      <c r="I126" s="74"/>
      <c r="J126" s="74"/>
      <c r="K126" s="74"/>
      <c r="M126" s="77"/>
      <c r="N126" s="77"/>
      <c r="O126" s="74"/>
    </row>
    <row r="127" spans="1:17" x14ac:dyDescent="0.3">
      <c r="A127" s="74"/>
      <c r="B127" s="74"/>
      <c r="C127" s="74"/>
      <c r="D127" s="74"/>
      <c r="E127" s="74"/>
      <c r="F127" s="74"/>
      <c r="G127" s="74"/>
      <c r="H127" s="74"/>
      <c r="I127" s="74"/>
      <c r="J127" s="74"/>
      <c r="K127" s="74"/>
      <c r="M127" s="77"/>
      <c r="N127" s="77"/>
      <c r="O127" s="74"/>
    </row>
    <row r="128" spans="1:17" x14ac:dyDescent="0.3">
      <c r="A128" s="74"/>
      <c r="B128" s="74"/>
      <c r="C128" s="74"/>
      <c r="D128" s="74"/>
      <c r="E128" s="74"/>
      <c r="F128" s="74"/>
      <c r="G128" s="74"/>
      <c r="H128" s="74"/>
      <c r="I128" s="74"/>
      <c r="J128" s="74"/>
      <c r="K128" s="74"/>
      <c r="O128" s="74"/>
    </row>
    <row r="129" spans="1:15" x14ac:dyDescent="0.3">
      <c r="A129" s="74"/>
      <c r="B129" s="74"/>
      <c r="C129" s="74"/>
      <c r="D129" s="74"/>
      <c r="E129" s="74"/>
      <c r="F129" s="74"/>
      <c r="G129" s="74"/>
      <c r="H129" s="74"/>
      <c r="I129" s="74"/>
      <c r="J129" s="74"/>
      <c r="K129" s="74"/>
      <c r="O129" s="74"/>
    </row>
    <row r="130" spans="1:15" x14ac:dyDescent="0.3">
      <c r="A130" s="75" t="s">
        <v>407</v>
      </c>
      <c r="B130" s="74"/>
      <c r="C130" s="74"/>
      <c r="D130" s="74"/>
      <c r="E130" s="74"/>
      <c r="F130" s="74"/>
      <c r="G130" s="74"/>
      <c r="H130" s="79"/>
      <c r="I130" s="74"/>
      <c r="J130" s="74"/>
      <c r="K130" s="74"/>
      <c r="O130" s="74"/>
    </row>
    <row r="131" spans="1:15" x14ac:dyDescent="0.3">
      <c r="B131" s="74"/>
      <c r="C131" s="74"/>
      <c r="D131" s="74"/>
      <c r="E131" s="74"/>
      <c r="F131" s="74"/>
      <c r="G131" s="74"/>
      <c r="H131" s="74"/>
      <c r="I131" s="74"/>
      <c r="J131" s="74"/>
      <c r="K131" s="74"/>
      <c r="O131" s="74"/>
    </row>
    <row r="132" spans="1:15" x14ac:dyDescent="0.3">
      <c r="A132" s="74"/>
      <c r="B132" s="74"/>
      <c r="C132" s="74"/>
      <c r="D132" s="74"/>
      <c r="E132" s="74"/>
      <c r="F132" s="74"/>
      <c r="G132" s="74"/>
      <c r="H132" s="74"/>
      <c r="I132" s="74"/>
      <c r="J132" s="74"/>
      <c r="K132" s="74"/>
      <c r="O132" s="74"/>
    </row>
    <row r="133" spans="1:15" x14ac:dyDescent="0.3">
      <c r="A133" s="74"/>
      <c r="B133" s="74"/>
      <c r="C133" s="74"/>
      <c r="D133" s="74"/>
      <c r="E133" s="74"/>
      <c r="F133" s="74"/>
      <c r="G133" s="74"/>
      <c r="H133" s="74"/>
      <c r="I133" s="74"/>
      <c r="J133" s="74"/>
      <c r="K133" s="74"/>
      <c r="O133" s="74"/>
    </row>
    <row r="134" spans="1:15" x14ac:dyDescent="0.3">
      <c r="A134" s="74"/>
      <c r="B134" s="74"/>
      <c r="C134" s="74"/>
      <c r="D134" s="74"/>
      <c r="E134" s="74"/>
      <c r="F134" s="74"/>
      <c r="G134" s="74"/>
      <c r="H134" s="74"/>
      <c r="I134" s="74"/>
      <c r="J134" s="74"/>
      <c r="K134" s="74"/>
      <c r="L134" s="79" t="s">
        <v>75</v>
      </c>
      <c r="O134" s="74"/>
    </row>
    <row r="135" spans="1:15" x14ac:dyDescent="0.3">
      <c r="A135" s="74"/>
      <c r="B135" s="74"/>
      <c r="C135" s="74"/>
      <c r="D135" s="74"/>
      <c r="E135" s="74"/>
      <c r="F135" s="74"/>
      <c r="G135" s="74"/>
      <c r="H135" s="74"/>
      <c r="I135" s="74"/>
      <c r="J135" s="74"/>
      <c r="K135" s="74"/>
      <c r="L135" s="74" t="s">
        <v>1</v>
      </c>
      <c r="O135" s="74"/>
    </row>
    <row r="136" spans="1:15" x14ac:dyDescent="0.3">
      <c r="A136" s="74"/>
      <c r="B136" s="74"/>
      <c r="C136" s="74"/>
      <c r="D136" s="74"/>
      <c r="E136" s="74"/>
      <c r="F136" s="74"/>
      <c r="G136" s="74"/>
      <c r="H136" s="74"/>
      <c r="I136" s="74"/>
      <c r="J136" s="74"/>
      <c r="K136" s="74"/>
      <c r="M136" s="74">
        <f>M7</f>
        <v>2020</v>
      </c>
      <c r="N136" s="74">
        <f>N7</f>
        <v>2021</v>
      </c>
      <c r="O136" s="74"/>
    </row>
    <row r="137" spans="1:15" x14ac:dyDescent="0.3">
      <c r="A137" s="74"/>
      <c r="B137" s="74"/>
      <c r="C137" s="74"/>
      <c r="D137" s="74"/>
      <c r="E137" s="74"/>
      <c r="F137" s="74"/>
      <c r="G137" s="74"/>
      <c r="H137" s="74"/>
      <c r="I137" s="74"/>
      <c r="J137" s="74"/>
      <c r="K137" s="74"/>
      <c r="L137" s="74" t="s">
        <v>54</v>
      </c>
      <c r="M137" s="77">
        <f>'Danica Pensjonsforsikring'!F11-'Danica Pensjonsforsikring'!F12+'Danica Pensjonsforsikring'!F34-'Danica Pensjonsforsikring'!F35+'Danica Pensjonsforsikring'!F38-'Danica Pensjonsforsikring'!F39+'Danica Pensjonsforsikring'!F112-'Danica Pensjonsforsikring'!F120+'Danica Pensjonsforsikring'!F137-'Danica Pensjonsforsikring'!F138</f>
        <v>19242.993000000017</v>
      </c>
      <c r="N137" s="77">
        <f>'Danica Pensjonsforsikring'!G11-'Danica Pensjonsforsikring'!G12+'Danica Pensjonsforsikring'!G34-'Danica Pensjonsforsikring'!G35+'Danica Pensjonsforsikring'!G38-'Danica Pensjonsforsikring'!G39+'Danica Pensjonsforsikring'!G112-'Danica Pensjonsforsikring'!G120+'Danica Pensjonsforsikring'!G137-'Danica Pensjonsforsikring'!G138</f>
        <v>-78093.287000000069</v>
      </c>
      <c r="O137" s="74"/>
    </row>
    <row r="138" spans="1:15" x14ac:dyDescent="0.3">
      <c r="A138" s="74"/>
      <c r="B138" s="74"/>
      <c r="C138" s="74"/>
      <c r="D138" s="74"/>
      <c r="E138" s="74"/>
      <c r="F138" s="74"/>
      <c r="G138" s="74"/>
      <c r="H138" s="74"/>
      <c r="I138" s="74"/>
      <c r="J138" s="74"/>
      <c r="K138" s="74"/>
      <c r="L138" s="74" t="s">
        <v>394</v>
      </c>
      <c r="M138" s="77">
        <f>'DNB Bedriftspensjon'!F11-'DNB Bedriftspensjon'!F12+'DNB Bedriftspensjon'!F34-'DNB Bedriftspensjon'!F35+'DNB Bedriftspensjon'!F38-'DNB Bedriftspensjon'!F39+'DNB Bedriftspensjon'!F112-'DNB Bedriftspensjon'!F120+'DNB Bedriftspensjon'!F137-'DNB Bedriftspensjon'!F138</f>
        <v>109462</v>
      </c>
      <c r="N138" s="77">
        <f>'DNB Bedriftspensjon'!G11-'DNB Bedriftspensjon'!G12+'DNB Bedriftspensjon'!G34-'DNB Bedriftspensjon'!G35+'DNB Bedriftspensjon'!G38-'DNB Bedriftspensjon'!G39+'DNB Bedriftspensjon'!G112-'DNB Bedriftspensjon'!G120+'DNB Bedriftspensjon'!G137-'DNB Bedriftspensjon'!G138</f>
        <v>0</v>
      </c>
      <c r="O138" s="74"/>
    </row>
    <row r="139" spans="1:15" x14ac:dyDescent="0.3">
      <c r="A139" s="74"/>
      <c r="B139" s="74"/>
      <c r="C139" s="74"/>
      <c r="D139" s="74"/>
      <c r="E139" s="74"/>
      <c r="F139" s="74"/>
      <c r="G139" s="74"/>
      <c r="H139" s="74"/>
      <c r="I139" s="74"/>
      <c r="J139" s="74"/>
      <c r="K139" s="74"/>
      <c r="L139" s="74" t="s">
        <v>55</v>
      </c>
      <c r="M139" s="77">
        <f>'DNB Livsforsikring'!F11-'DNB Livsforsikring'!F12+'DNB Livsforsikring'!F34-'DNB Livsforsikring'!F35+'DNB Livsforsikring'!F38-'DNB Livsforsikring'!F39+'DNB Livsforsikring'!F112-'DNB Livsforsikring'!F120+'DNB Livsforsikring'!F137-'DNB Livsforsikring'!F138</f>
        <v>-3215694</v>
      </c>
      <c r="N139" s="77">
        <f>'DNB Livsforsikring'!G11-'DNB Livsforsikring'!G12+'DNB Livsforsikring'!G34-'DNB Livsforsikring'!G35+'DNB Livsforsikring'!G38-'DNB Livsforsikring'!G39+'DNB Livsforsikring'!G112-'DNB Livsforsikring'!G120+'DNB Livsforsikring'!G137-'DNB Livsforsikring'!G138</f>
        <v>-694987</v>
      </c>
      <c r="O139" s="74"/>
    </row>
    <row r="140" spans="1:15" x14ac:dyDescent="0.3">
      <c r="A140" s="74"/>
      <c r="B140" s="74"/>
      <c r="C140" s="74"/>
      <c r="D140" s="74"/>
      <c r="E140" s="74"/>
      <c r="F140" s="74"/>
      <c r="G140" s="74"/>
      <c r="H140" s="74"/>
      <c r="I140" s="74"/>
      <c r="J140" s="74"/>
      <c r="K140" s="74"/>
      <c r="L140" s="74" t="s">
        <v>57</v>
      </c>
      <c r="M140" s="77">
        <f>'Frende Livsforsikring'!F11-'Frende Livsforsikring'!F12+'Frende Livsforsikring'!F34-'Frende Livsforsikring'!F35+'Frende Livsforsikring'!F38-'Frende Livsforsikring'!F39+'Frende Livsforsikring'!F112-'Frende Livsforsikring'!F120+'Frende Livsforsikring'!F137-'Frende Livsforsikring'!F138</f>
        <v>-20540</v>
      </c>
      <c r="N140" s="77">
        <f>'Frende Livsforsikring'!G11-'Frende Livsforsikring'!G12+'Frende Livsforsikring'!G34-'Frende Livsforsikring'!G35+'Frende Livsforsikring'!G38-'Frende Livsforsikring'!G39+'Frende Livsforsikring'!G112-'Frende Livsforsikring'!G120+'Frende Livsforsikring'!G137-'Frende Livsforsikring'!G138</f>
        <v>0</v>
      </c>
      <c r="O140" s="74"/>
    </row>
    <row r="141" spans="1:15" x14ac:dyDescent="0.3">
      <c r="A141" s="74"/>
      <c r="B141" s="74"/>
      <c r="C141" s="74"/>
      <c r="D141" s="74"/>
      <c r="E141" s="74"/>
      <c r="F141" s="74"/>
      <c r="G141" s="74"/>
      <c r="H141" s="74"/>
      <c r="I141" s="74"/>
      <c r="J141" s="74"/>
      <c r="K141" s="74"/>
      <c r="L141" s="79" t="s">
        <v>60</v>
      </c>
      <c r="M141" s="77">
        <f>'Gjensidige Pensjon'!F11-'Gjensidige Pensjon'!F12+'Gjensidige Pensjon'!F34-'Gjensidige Pensjon'!F35+'Gjensidige Pensjon'!F38-'Gjensidige Pensjon'!F39+'Gjensidige Pensjon'!F112-'Gjensidige Pensjon'!F120+'Gjensidige Pensjon'!F137-'Gjensidige Pensjon'!F138</f>
        <v>-946156</v>
      </c>
      <c r="N141" s="77">
        <f>'Gjensidige Pensjon'!G11-'Gjensidige Pensjon'!G12+'Gjensidige Pensjon'!G34-'Gjensidige Pensjon'!G35+'Gjensidige Pensjon'!G38-'Gjensidige Pensjon'!G39+'Gjensidige Pensjon'!G112-'Gjensidige Pensjon'!G120+'Gjensidige Pensjon'!G137-'Gjensidige Pensjon'!G138</f>
        <v>-241966</v>
      </c>
      <c r="O141" s="74"/>
    </row>
    <row r="142" spans="1:15" x14ac:dyDescent="0.3">
      <c r="A142" s="74"/>
      <c r="B142" s="74"/>
      <c r="C142" s="74"/>
      <c r="D142" s="74"/>
      <c r="E142" s="74"/>
      <c r="F142" s="74"/>
      <c r="G142" s="74"/>
      <c r="H142" s="74"/>
      <c r="I142" s="74"/>
      <c r="J142" s="74"/>
      <c r="K142" s="74"/>
      <c r="L142" s="74" t="s">
        <v>63</v>
      </c>
      <c r="M142" s="77">
        <f>KLP!F11-KLP!F12+KLP!F34-KLP!F35+KLP!F38-KLP!F39+KLP!F112-KLP!F120+KLP!F137-KLP!F138</f>
        <v>-462765.72600000002</v>
      </c>
      <c r="N142" s="77">
        <f>KLP!G11-KLP!G12+KLP!G34-KLP!G35+KLP!G38-KLP!G39+KLP!G112-KLP!G120+KLP!G137-KLP!G138</f>
        <v>0</v>
      </c>
      <c r="O142" s="74"/>
    </row>
    <row r="143" spans="1:15" x14ac:dyDescent="0.3">
      <c r="A143" s="74"/>
      <c r="B143" s="74"/>
      <c r="C143" s="74"/>
      <c r="D143" s="74"/>
      <c r="E143" s="74"/>
      <c r="F143" s="74"/>
      <c r="G143" s="74"/>
      <c r="H143" s="74"/>
      <c r="I143" s="74"/>
      <c r="J143" s="74"/>
      <c r="K143" s="74"/>
      <c r="L143" s="74" t="s">
        <v>65</v>
      </c>
      <c r="M143" s="77">
        <f>'Nordea Liv '!F11-'Nordea Liv '!F12+'Nordea Liv '!F34-'Nordea Liv '!F35+'Nordea Liv '!F38-'Nordea Liv '!F39+'Nordea Liv '!F112-'Nordea Liv '!F120+'Nordea Liv '!F137-'Nordea Liv '!F138</f>
        <v>1409300.00403</v>
      </c>
      <c r="N143" s="77">
        <f>'Nordea Liv '!G11-'Nordea Liv '!G12+'Nordea Liv '!G34-'Nordea Liv '!G35+'Nordea Liv '!G38-'Nordea Liv '!G39+'Nordea Liv '!G112-'Nordea Liv '!G120+'Nordea Liv '!G137-'Nordea Liv '!G138</f>
        <v>-239181.3700900001</v>
      </c>
      <c r="O143" s="74"/>
    </row>
    <row r="144" spans="1:15" x14ac:dyDescent="0.3">
      <c r="A144" s="74"/>
      <c r="B144" s="74"/>
      <c r="C144" s="74"/>
      <c r="D144" s="74"/>
      <c r="E144" s="74"/>
      <c r="F144" s="74"/>
      <c r="G144" s="74"/>
      <c r="H144" s="74"/>
      <c r="I144" s="74"/>
      <c r="J144" s="74"/>
      <c r="K144" s="74"/>
      <c r="L144" s="74" t="s">
        <v>71</v>
      </c>
      <c r="M144" s="77">
        <f>'SHB Liv'!F11-'SHB Liv'!F12+'SHB Liv'!F34-'SHB Liv'!F35+'SHB Liv'!F38-'SHB Liv'!F39+'SHB Liv'!F112-'SHB Liv'!F120+'SHB Liv'!F137-'SHB Liv'!F138</f>
        <v>34179.303329999995</v>
      </c>
      <c r="N144" s="77">
        <f>'SHB Liv'!G11-'SHB Liv'!G12+'SHB Liv'!G34-'SHB Liv'!G35+'SHB Liv'!G38-'SHB Liv'!G39+'SHB Liv'!G112-'SHB Liv'!G120+'SHB Liv'!G137-'SHB Liv'!G138</f>
        <v>20557.492599999998</v>
      </c>
      <c r="O144" s="74"/>
    </row>
    <row r="145" spans="1:15" x14ac:dyDescent="0.3">
      <c r="A145" s="74"/>
      <c r="B145" s="74"/>
      <c r="C145" s="74"/>
      <c r="D145" s="74"/>
      <c r="E145" s="74"/>
      <c r="F145" s="74"/>
      <c r="G145" s="74"/>
      <c r="H145" s="74"/>
      <c r="I145" s="74"/>
      <c r="J145" s="74"/>
      <c r="K145" s="74"/>
      <c r="L145" s="74" t="s">
        <v>67</v>
      </c>
      <c r="M145" s="77">
        <f>'Sparebank 1'!F11-'Sparebank 1'!F12+'Sparebank 1'!F34-'Sparebank 1'!F35+'Sparebank 1'!F38-'Sparebank 1'!F39+'Sparebank 1'!F112-'Sparebank 1'!F120+'Sparebank 1'!F137-'Sparebank 1'!F138</f>
        <v>200254.90122</v>
      </c>
      <c r="N145" s="77">
        <f>'Sparebank 1'!G11-'Sparebank 1'!G12+'Sparebank 1'!G34-'Sparebank 1'!G35+'Sparebank 1'!G38-'Sparebank 1'!G39+'Sparebank 1'!G112-'Sparebank 1'!G120+'Sparebank 1'!G137-'Sparebank 1'!G138</f>
        <v>228488.24684000015</v>
      </c>
      <c r="O145" s="74"/>
    </row>
    <row r="146" spans="1:15" x14ac:dyDescent="0.3">
      <c r="A146" s="74"/>
      <c r="B146" s="74"/>
      <c r="C146" s="74"/>
      <c r="D146" s="74"/>
      <c r="E146" s="74"/>
      <c r="F146" s="74"/>
      <c r="G146" s="74"/>
      <c r="H146" s="74"/>
      <c r="I146" s="74"/>
      <c r="J146" s="74"/>
      <c r="K146" s="74"/>
      <c r="L146" s="74" t="s">
        <v>72</v>
      </c>
      <c r="M146" s="77">
        <f>'Storebrand Livsforsikring'!F11-'Storebrand Livsforsikring'!F12+'Storebrand Livsforsikring'!F34-'Storebrand Livsforsikring'!F35+'Storebrand Livsforsikring'!F38-'Storebrand Livsforsikring'!F39+'Storebrand Livsforsikring'!F112-'Storebrand Livsforsikring'!F120+'Storebrand Livsforsikring'!F137-'Storebrand Livsforsikring'!F138</f>
        <v>2686212.682</v>
      </c>
      <c r="N146" s="77">
        <f>'Storebrand Livsforsikring'!G11-'Storebrand Livsforsikring'!G12+'Storebrand Livsforsikring'!G34-'Storebrand Livsforsikring'!G35+'Storebrand Livsforsikring'!G38-'Storebrand Livsforsikring'!G39+'Storebrand Livsforsikring'!G112-'Storebrand Livsforsikring'!G120+'Storebrand Livsforsikring'!G137-'Storebrand Livsforsikring'!G138</f>
        <v>-1480369.2999999996</v>
      </c>
      <c r="O146" s="74"/>
    </row>
    <row r="147" spans="1:15" x14ac:dyDescent="0.3">
      <c r="A147" s="74"/>
      <c r="B147" s="74"/>
      <c r="C147" s="74"/>
      <c r="D147" s="74"/>
      <c r="E147" s="74"/>
      <c r="F147" s="74"/>
      <c r="G147" s="74"/>
      <c r="H147" s="74"/>
      <c r="I147" s="74"/>
      <c r="J147" s="74"/>
      <c r="K147" s="74"/>
      <c r="O147" s="74"/>
    </row>
    <row r="148" spans="1:15" x14ac:dyDescent="0.3">
      <c r="A148" s="74"/>
      <c r="B148" s="74"/>
      <c r="C148" s="74"/>
      <c r="D148" s="74"/>
      <c r="E148" s="74"/>
      <c r="F148" s="74"/>
      <c r="G148" s="74"/>
      <c r="H148" s="74"/>
      <c r="I148" s="74"/>
      <c r="J148" s="74"/>
      <c r="K148" s="74"/>
      <c r="O148" s="74"/>
    </row>
    <row r="149" spans="1:15" x14ac:dyDescent="0.3">
      <c r="A149" s="74"/>
      <c r="B149" s="74"/>
      <c r="C149" s="74"/>
      <c r="D149" s="74"/>
      <c r="E149" s="74"/>
      <c r="F149" s="74"/>
      <c r="G149" s="74"/>
      <c r="H149" s="74"/>
      <c r="I149" s="74"/>
      <c r="J149" s="74"/>
      <c r="K149" s="74"/>
      <c r="O149" s="74"/>
    </row>
    <row r="150" spans="1:15" x14ac:dyDescent="0.3">
      <c r="A150" s="74"/>
      <c r="B150" s="74"/>
      <c r="C150" s="74"/>
      <c r="D150" s="74"/>
      <c r="E150" s="74"/>
      <c r="F150" s="74"/>
      <c r="G150" s="74"/>
      <c r="H150" s="74"/>
      <c r="I150" s="74"/>
      <c r="J150" s="74"/>
      <c r="K150" s="74"/>
      <c r="O150" s="74"/>
    </row>
    <row r="151" spans="1:15" x14ac:dyDescent="0.3">
      <c r="A151" s="74"/>
      <c r="B151" s="74"/>
      <c r="C151" s="74"/>
      <c r="D151" s="74"/>
      <c r="E151" s="74"/>
      <c r="F151" s="74"/>
      <c r="G151" s="74"/>
      <c r="H151" s="74"/>
      <c r="I151" s="74"/>
      <c r="J151" s="74"/>
      <c r="K151" s="74"/>
      <c r="O151" s="74"/>
    </row>
    <row r="152" spans="1:15" x14ac:dyDescent="0.3">
      <c r="A152" s="74"/>
      <c r="B152" s="74"/>
      <c r="C152" s="74"/>
      <c r="D152" s="74"/>
      <c r="E152" s="74"/>
      <c r="F152" s="74"/>
      <c r="G152" s="74"/>
      <c r="H152" s="74"/>
      <c r="I152" s="74"/>
      <c r="J152" s="74"/>
      <c r="K152" s="74"/>
      <c r="O152" s="74"/>
    </row>
    <row r="153" spans="1:15" x14ac:dyDescent="0.3">
      <c r="A153" s="74"/>
      <c r="B153" s="74"/>
      <c r="C153" s="74"/>
      <c r="D153" s="74"/>
      <c r="E153" s="74"/>
      <c r="F153" s="74"/>
      <c r="G153" s="74"/>
      <c r="H153" s="74"/>
      <c r="I153" s="74"/>
      <c r="J153" s="74"/>
      <c r="K153" s="74"/>
      <c r="O153" s="74"/>
    </row>
    <row r="154" spans="1:15" x14ac:dyDescent="0.3">
      <c r="O154" s="74"/>
    </row>
    <row r="155" spans="1:15" x14ac:dyDescent="0.3">
      <c r="O155" s="74"/>
    </row>
    <row r="156" spans="1:15" x14ac:dyDescent="0.3">
      <c r="O156" s="74"/>
    </row>
    <row r="157" spans="1:15" x14ac:dyDescent="0.3">
      <c r="O157" s="74"/>
    </row>
    <row r="158" spans="1:15" x14ac:dyDescent="0.3">
      <c r="O158" s="74"/>
    </row>
    <row r="159" spans="1:15" x14ac:dyDescent="0.3">
      <c r="O159" s="74"/>
    </row>
    <row r="160" spans="1:15" x14ac:dyDescent="0.3">
      <c r="O160" s="74"/>
    </row>
    <row r="161" spans="1:15" x14ac:dyDescent="0.3">
      <c r="O161" s="74"/>
    </row>
    <row r="162" spans="1:15" x14ac:dyDescent="0.3">
      <c r="O162" s="74"/>
    </row>
    <row r="163" spans="1:15" x14ac:dyDescent="0.3">
      <c r="O163" s="74"/>
    </row>
    <row r="164" spans="1:15" x14ac:dyDescent="0.3">
      <c r="O164" s="74"/>
    </row>
    <row r="165" spans="1:15" x14ac:dyDescent="0.3">
      <c r="O165" s="74"/>
    </row>
    <row r="166" spans="1:15" x14ac:dyDescent="0.3">
      <c r="O166" s="74"/>
    </row>
    <row r="167" spans="1:15" x14ac:dyDescent="0.3">
      <c r="O167" s="74"/>
    </row>
    <row r="168" spans="1:15" x14ac:dyDescent="0.3">
      <c r="O168" s="74"/>
    </row>
    <row r="169" spans="1:15" x14ac:dyDescent="0.3">
      <c r="O169" s="74"/>
    </row>
    <row r="170" spans="1:15" x14ac:dyDescent="0.3">
      <c r="A170" s="74"/>
      <c r="B170" s="74"/>
      <c r="C170" s="74"/>
      <c r="D170" s="74"/>
      <c r="E170" s="74"/>
      <c r="F170" s="74"/>
      <c r="G170" s="74"/>
      <c r="H170" s="74"/>
      <c r="I170" s="74"/>
      <c r="J170" s="74"/>
      <c r="K170" s="74"/>
      <c r="O170" s="74"/>
    </row>
    <row r="171" spans="1:15" x14ac:dyDescent="0.3">
      <c r="A171" s="74"/>
      <c r="B171" s="74"/>
      <c r="C171" s="74"/>
      <c r="D171" s="74"/>
      <c r="E171" s="74"/>
      <c r="F171" s="74"/>
      <c r="G171" s="74"/>
      <c r="H171" s="74"/>
      <c r="I171" s="74"/>
      <c r="J171" s="74"/>
      <c r="K171" s="74"/>
      <c r="O171" s="74"/>
    </row>
    <row r="172" spans="1:15" x14ac:dyDescent="0.3">
      <c r="A172" s="74"/>
      <c r="B172" s="74"/>
      <c r="C172" s="74"/>
      <c r="D172" s="74"/>
      <c r="E172" s="74"/>
      <c r="F172" s="74"/>
      <c r="G172" s="74"/>
      <c r="H172" s="74"/>
      <c r="I172" s="74"/>
      <c r="J172" s="74"/>
      <c r="K172" s="74"/>
      <c r="O172" s="74"/>
    </row>
    <row r="173" spans="1:15" x14ac:dyDescent="0.3">
      <c r="A173" s="74"/>
      <c r="B173" s="74"/>
      <c r="C173" s="74"/>
      <c r="D173" s="74"/>
      <c r="E173" s="74"/>
      <c r="F173" s="74"/>
      <c r="G173" s="74"/>
      <c r="H173" s="74"/>
      <c r="I173" s="74"/>
      <c r="J173" s="74"/>
      <c r="K173" s="74"/>
      <c r="O173" s="74"/>
    </row>
    <row r="174" spans="1:15" x14ac:dyDescent="0.3">
      <c r="A174" s="74"/>
      <c r="B174" s="74"/>
      <c r="C174" s="74"/>
      <c r="D174" s="74"/>
      <c r="E174" s="74"/>
      <c r="F174" s="74"/>
      <c r="G174" s="74"/>
      <c r="H174" s="74"/>
      <c r="I174" s="74"/>
      <c r="J174" s="74"/>
      <c r="K174" s="74"/>
      <c r="O174" s="74"/>
    </row>
    <row r="175" spans="1:15" x14ac:dyDescent="0.3">
      <c r="A175" s="74"/>
      <c r="B175" s="74"/>
      <c r="C175" s="74"/>
      <c r="D175" s="74"/>
      <c r="E175" s="74"/>
      <c r="F175" s="74"/>
      <c r="G175" s="74"/>
      <c r="H175" s="74"/>
      <c r="I175" s="74"/>
      <c r="J175" s="74"/>
      <c r="K175" s="74"/>
      <c r="O175" s="74"/>
    </row>
    <row r="176" spans="1:15" x14ac:dyDescent="0.3">
      <c r="A176" s="74"/>
      <c r="B176" s="74"/>
      <c r="C176" s="74"/>
      <c r="D176" s="74"/>
      <c r="E176" s="74"/>
      <c r="F176" s="74"/>
      <c r="G176" s="74"/>
      <c r="H176" s="74"/>
      <c r="I176" s="74"/>
      <c r="J176" s="74"/>
      <c r="K176" s="74"/>
      <c r="O176" s="74"/>
    </row>
  </sheetData>
  <hyperlinks>
    <hyperlink ref="A1" location="Innhold!A1" display="Tilbake" xr:uid="{00000000-0004-0000-0200-000000000000}"/>
  </hyperlinks>
  <pageMargins left="0.7" right="0.7" top="0.78740157499999996" bottom="0.78740157499999996"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30"/>
  <dimension ref="A1:O145"/>
  <sheetViews>
    <sheetView showGridLines="0" zoomScaleNormal="100" workbookViewId="0">
      <selection activeCell="A111" sqref="A111"/>
    </sheetView>
  </sheetViews>
  <sheetFormatPr baseColWidth="10" defaultColWidth="11.42578125" defaultRowHeight="12.75" x14ac:dyDescent="0.2"/>
  <cols>
    <col min="1" max="1" width="41.57031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134</v>
      </c>
      <c r="B1" s="663"/>
      <c r="C1" s="225" t="s">
        <v>133</v>
      </c>
      <c r="D1" s="26"/>
      <c r="E1" s="26"/>
      <c r="F1" s="26"/>
      <c r="G1" s="26"/>
      <c r="H1" s="26"/>
      <c r="I1" s="26"/>
      <c r="J1" s="26"/>
      <c r="K1" s="26"/>
      <c r="L1" s="26"/>
      <c r="M1" s="26"/>
    </row>
    <row r="2" spans="1:14" ht="15.75" x14ac:dyDescent="0.25">
      <c r="A2" s="165" t="s">
        <v>28</v>
      </c>
      <c r="B2" s="699"/>
      <c r="C2" s="699"/>
      <c r="D2" s="699"/>
      <c r="E2" s="275"/>
      <c r="F2" s="699"/>
      <c r="G2" s="699"/>
      <c r="H2" s="699"/>
      <c r="I2" s="275"/>
      <c r="J2" s="699"/>
      <c r="K2" s="699"/>
      <c r="L2" s="699"/>
      <c r="M2" s="275"/>
    </row>
    <row r="3" spans="1:14" ht="15.75" x14ac:dyDescent="0.25">
      <c r="A3" s="163"/>
      <c r="B3" s="275"/>
      <c r="C3" s="275"/>
      <c r="D3" s="275"/>
      <c r="E3" s="275"/>
      <c r="F3" s="275"/>
      <c r="G3" s="275"/>
      <c r="H3" s="275"/>
      <c r="I3" s="275"/>
      <c r="J3" s="275"/>
      <c r="K3" s="275"/>
      <c r="L3" s="275"/>
      <c r="M3" s="275"/>
    </row>
    <row r="4" spans="1:14" x14ac:dyDescent="0.2">
      <c r="A4" s="144"/>
      <c r="B4" s="695" t="s">
        <v>0</v>
      </c>
      <c r="C4" s="696"/>
      <c r="D4" s="696"/>
      <c r="E4" s="277"/>
      <c r="F4" s="695" t="s">
        <v>1</v>
      </c>
      <c r="G4" s="696"/>
      <c r="H4" s="696"/>
      <c r="I4" s="280"/>
      <c r="J4" s="695" t="s">
        <v>2</v>
      </c>
      <c r="K4" s="696"/>
      <c r="L4" s="696"/>
      <c r="M4" s="280"/>
    </row>
    <row r="5" spans="1:14" x14ac:dyDescent="0.2">
      <c r="A5" s="158"/>
      <c r="B5" s="152" t="s">
        <v>412</v>
      </c>
      <c r="C5" s="152" t="s">
        <v>413</v>
      </c>
      <c r="D5" s="222" t="s">
        <v>3</v>
      </c>
      <c r="E5" s="281" t="s">
        <v>29</v>
      </c>
      <c r="F5" s="152" t="s">
        <v>412</v>
      </c>
      <c r="G5" s="152" t="s">
        <v>413</v>
      </c>
      <c r="H5" s="222" t="s">
        <v>3</v>
      </c>
      <c r="I5" s="162" t="s">
        <v>29</v>
      </c>
      <c r="J5" s="152" t="s">
        <v>412</v>
      </c>
      <c r="K5" s="152" t="s">
        <v>413</v>
      </c>
      <c r="L5" s="222" t="s">
        <v>3</v>
      </c>
      <c r="M5" s="162" t="s">
        <v>29</v>
      </c>
    </row>
    <row r="6" spans="1:14" x14ac:dyDescent="0.2">
      <c r="A6" s="661"/>
      <c r="B6" s="156"/>
      <c r="C6" s="156"/>
      <c r="D6" s="223" t="s">
        <v>4</v>
      </c>
      <c r="E6" s="156" t="s">
        <v>30</v>
      </c>
      <c r="F6" s="161"/>
      <c r="G6" s="161"/>
      <c r="H6" s="222" t="s">
        <v>4</v>
      </c>
      <c r="I6" s="156" t="s">
        <v>30</v>
      </c>
      <c r="J6" s="161"/>
      <c r="K6" s="161"/>
      <c r="L6" s="222" t="s">
        <v>4</v>
      </c>
      <c r="M6" s="156" t="s">
        <v>30</v>
      </c>
    </row>
    <row r="7" spans="1:14" ht="15.75" x14ac:dyDescent="0.2">
      <c r="A7" s="14" t="s">
        <v>23</v>
      </c>
      <c r="B7" s="282">
        <v>181373.658</v>
      </c>
      <c r="C7" s="283">
        <v>202311.073</v>
      </c>
      <c r="D7" s="326">
        <f t="shared" ref="D7:D10" si="0">IF(B7=0, "    ---- ", IF(ABS(ROUND(100/B7*C7-100,1))&lt;999,ROUND(100/B7*C7-100,1),IF(ROUND(100/B7*C7-100,1)&gt;999,999,-999)))</f>
        <v>11.5</v>
      </c>
      <c r="E7" s="11">
        <f>IFERROR(100/'Skjema total MA'!C7*C7,0)</f>
        <v>12.005893698622126</v>
      </c>
      <c r="F7" s="282">
        <v>359807.614</v>
      </c>
      <c r="G7" s="283">
        <v>473313.11700000003</v>
      </c>
      <c r="H7" s="326">
        <f t="shared" ref="H7:H12" si="1">IF(F7=0, "    ---- ", IF(ABS(ROUND(100/F7*G7-100,1))&lt;999,ROUND(100/F7*G7-100,1),IF(ROUND(100/F7*G7-100,1)&gt;999,999,-999)))</f>
        <v>31.5</v>
      </c>
      <c r="I7" s="160">
        <f>IFERROR(100/'Skjema total MA'!F7*G7,0)</f>
        <v>12.12828249972153</v>
      </c>
      <c r="J7" s="284">
        <f t="shared" ref="J7:K12" si="2">SUM(B7,F7)</f>
        <v>541181.272</v>
      </c>
      <c r="K7" s="285">
        <f t="shared" si="2"/>
        <v>675624.19000000006</v>
      </c>
      <c r="L7" s="401">
        <f t="shared" ref="L7:L12" si="3">IF(J7=0, "    ---- ", IF(ABS(ROUND(100/J7*K7-100,1))&lt;999,ROUND(100/J7*K7-100,1),IF(ROUND(100/J7*K7-100,1)&gt;999,999,-999)))</f>
        <v>24.8</v>
      </c>
      <c r="M7" s="11">
        <f>IFERROR(100/'Skjema total MA'!I7*K7,0)</f>
        <v>12.091373075444485</v>
      </c>
    </row>
    <row r="8" spans="1:14" ht="15.75" x14ac:dyDescent="0.2">
      <c r="A8" s="21" t="s">
        <v>25</v>
      </c>
      <c r="B8" s="258">
        <v>70166.732000000004</v>
      </c>
      <c r="C8" s="259">
        <v>77634.608999999997</v>
      </c>
      <c r="D8" s="166">
        <f t="shared" si="0"/>
        <v>10.6</v>
      </c>
      <c r="E8" s="27">
        <f>IFERROR(100/'Skjema total MA'!C8*C8,0)</f>
        <v>6.8085999755360662</v>
      </c>
      <c r="F8" s="262"/>
      <c r="G8" s="263"/>
      <c r="H8" s="166"/>
      <c r="I8" s="175"/>
      <c r="J8" s="211">
        <f t="shared" si="2"/>
        <v>70166.732000000004</v>
      </c>
      <c r="K8" s="264">
        <f t="shared" si="2"/>
        <v>77634.608999999997</v>
      </c>
      <c r="L8" s="166">
        <f t="shared" si="3"/>
        <v>10.6</v>
      </c>
      <c r="M8" s="27">
        <f>IFERROR(100/'Skjema total MA'!I8*K8,0)</f>
        <v>6.8085999755360662</v>
      </c>
    </row>
    <row r="9" spans="1:14" ht="15.75" x14ac:dyDescent="0.2">
      <c r="A9" s="21" t="s">
        <v>24</v>
      </c>
      <c r="B9" s="258">
        <v>15237.434999999999</v>
      </c>
      <c r="C9" s="259">
        <v>14642.986000000001</v>
      </c>
      <c r="D9" s="166">
        <f t="shared" si="0"/>
        <v>-3.9</v>
      </c>
      <c r="E9" s="27">
        <f>IFERROR(100/'Skjema total MA'!C9*C9,0)</f>
        <v>4.1055088326485807</v>
      </c>
      <c r="F9" s="262"/>
      <c r="G9" s="263"/>
      <c r="H9" s="166"/>
      <c r="I9" s="175"/>
      <c r="J9" s="211">
        <f t="shared" si="2"/>
        <v>15237.434999999999</v>
      </c>
      <c r="K9" s="264">
        <f t="shared" si="2"/>
        <v>14642.986000000001</v>
      </c>
      <c r="L9" s="166">
        <f t="shared" si="3"/>
        <v>-3.9</v>
      </c>
      <c r="M9" s="27">
        <f>IFERROR(100/'Skjema total MA'!I9*K9,0)</f>
        <v>4.1055088326485807</v>
      </c>
    </row>
    <row r="10" spans="1:14" ht="15.75" x14ac:dyDescent="0.2">
      <c r="A10" s="13" t="s">
        <v>341</v>
      </c>
      <c r="B10" s="286">
        <v>3988755.4989999998</v>
      </c>
      <c r="C10" s="287">
        <v>4102888.8190000001</v>
      </c>
      <c r="D10" s="171">
        <f t="shared" si="0"/>
        <v>2.9</v>
      </c>
      <c r="E10" s="11">
        <f>IFERROR(100/'Skjema total MA'!C10*C10,0)</f>
        <v>23.251962583860923</v>
      </c>
      <c r="F10" s="286">
        <v>6801794.5089999996</v>
      </c>
      <c r="G10" s="287">
        <v>9631204.2479999997</v>
      </c>
      <c r="H10" s="171">
        <f t="shared" si="1"/>
        <v>41.6</v>
      </c>
      <c r="I10" s="160">
        <f>IFERROR(100/'Skjema total MA'!F10*G10,0)</f>
        <v>14.76404757736991</v>
      </c>
      <c r="J10" s="284">
        <f t="shared" si="2"/>
        <v>10790550.007999999</v>
      </c>
      <c r="K10" s="285">
        <f t="shared" si="2"/>
        <v>13734093.067</v>
      </c>
      <c r="L10" s="402">
        <f t="shared" si="3"/>
        <v>27.3</v>
      </c>
      <c r="M10" s="11">
        <f>IFERROR(100/'Skjema total MA'!I10*K10,0)</f>
        <v>16.571154901913701</v>
      </c>
    </row>
    <row r="11" spans="1:14" s="43" customFormat="1" ht="15.75" x14ac:dyDescent="0.2">
      <c r="A11" s="13" t="s">
        <v>342</v>
      </c>
      <c r="B11" s="286"/>
      <c r="C11" s="287"/>
      <c r="D11" s="171"/>
      <c r="E11" s="11"/>
      <c r="F11" s="286">
        <v>4589.7079999999996</v>
      </c>
      <c r="G11" s="287">
        <v>2557.7469999999998</v>
      </c>
      <c r="H11" s="171">
        <f t="shared" si="1"/>
        <v>-44.3</v>
      </c>
      <c r="I11" s="160">
        <f>IFERROR(100/'Skjema total MA'!F11*G11,0)</f>
        <v>2.3849060781373321</v>
      </c>
      <c r="J11" s="284">
        <f t="shared" si="2"/>
        <v>4589.7079999999996</v>
      </c>
      <c r="K11" s="285">
        <f t="shared" si="2"/>
        <v>2557.7469999999998</v>
      </c>
      <c r="L11" s="402">
        <f t="shared" si="3"/>
        <v>-44.3</v>
      </c>
      <c r="M11" s="11">
        <f>IFERROR(100/'Skjema total MA'!I11*K11,0)</f>
        <v>2.2034672696853201</v>
      </c>
      <c r="N11" s="143"/>
    </row>
    <row r="12" spans="1:14" s="43" customFormat="1" ht="15.75" x14ac:dyDescent="0.2">
      <c r="A12" s="41" t="s">
        <v>343</v>
      </c>
      <c r="B12" s="288"/>
      <c r="C12" s="289"/>
      <c r="D12" s="169"/>
      <c r="E12" s="36"/>
      <c r="F12" s="288">
        <v>10954.56</v>
      </c>
      <c r="G12" s="289">
        <v>9964.6209999999992</v>
      </c>
      <c r="H12" s="169">
        <f t="shared" si="1"/>
        <v>-9</v>
      </c>
      <c r="I12" s="169">
        <f>IFERROR(100/'Skjema total MA'!F12*G12,0)</f>
        <v>20.681888449138295</v>
      </c>
      <c r="J12" s="290">
        <f t="shared" si="2"/>
        <v>10954.56</v>
      </c>
      <c r="K12" s="291">
        <f t="shared" si="2"/>
        <v>9964.6209999999992</v>
      </c>
      <c r="L12" s="403">
        <f t="shared" si="3"/>
        <v>-9</v>
      </c>
      <c r="M12" s="36">
        <f>IFERROR(100/'Skjema total MA'!I12*K12,0)</f>
        <v>19.280857100637604</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251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248</v>
      </c>
      <c r="B17" s="157"/>
      <c r="C17" s="157"/>
      <c r="D17" s="151"/>
      <c r="E17" s="151"/>
      <c r="F17" s="157"/>
      <c r="G17" s="157"/>
      <c r="H17" s="157"/>
      <c r="I17" s="157"/>
      <c r="J17" s="157"/>
      <c r="K17" s="157"/>
      <c r="L17" s="157"/>
      <c r="M17" s="157"/>
    </row>
    <row r="18" spans="1:14" ht="15.75" x14ac:dyDescent="0.25">
      <c r="B18" s="694"/>
      <c r="C18" s="694"/>
      <c r="D18" s="694"/>
      <c r="E18" s="275"/>
      <c r="F18" s="694"/>
      <c r="G18" s="694"/>
      <c r="H18" s="694"/>
      <c r="I18" s="275"/>
      <c r="J18" s="694"/>
      <c r="K18" s="694"/>
      <c r="L18" s="694"/>
      <c r="M18" s="275"/>
    </row>
    <row r="19" spans="1:14" x14ac:dyDescent="0.2">
      <c r="A19" s="144"/>
      <c r="B19" s="695" t="s">
        <v>0</v>
      </c>
      <c r="C19" s="696"/>
      <c r="D19" s="696"/>
      <c r="E19" s="277"/>
      <c r="F19" s="695" t="s">
        <v>1</v>
      </c>
      <c r="G19" s="696"/>
      <c r="H19" s="696"/>
      <c r="I19" s="280"/>
      <c r="J19" s="695" t="s">
        <v>2</v>
      </c>
      <c r="K19" s="696"/>
      <c r="L19" s="696"/>
      <c r="M19" s="280"/>
    </row>
    <row r="20" spans="1:14" x14ac:dyDescent="0.2">
      <c r="A20" s="140" t="s">
        <v>5</v>
      </c>
      <c r="B20" s="152" t="s">
        <v>412</v>
      </c>
      <c r="C20" s="152" t="s">
        <v>413</v>
      </c>
      <c r="D20" s="162" t="s">
        <v>3</v>
      </c>
      <c r="E20" s="281" t="s">
        <v>29</v>
      </c>
      <c r="F20" s="152" t="s">
        <v>412</v>
      </c>
      <c r="G20" s="152" t="s">
        <v>413</v>
      </c>
      <c r="H20" s="162" t="s">
        <v>3</v>
      </c>
      <c r="I20" s="162" t="s">
        <v>29</v>
      </c>
      <c r="J20" s="152" t="s">
        <v>412</v>
      </c>
      <c r="K20" s="152" t="s">
        <v>413</v>
      </c>
      <c r="L20" s="162" t="s">
        <v>3</v>
      </c>
      <c r="M20" s="162" t="s">
        <v>29</v>
      </c>
    </row>
    <row r="21" spans="1:14" x14ac:dyDescent="0.2">
      <c r="A21" s="662"/>
      <c r="B21" s="156"/>
      <c r="C21" s="156"/>
      <c r="D21" s="223" t="s">
        <v>4</v>
      </c>
      <c r="E21" s="156" t="s">
        <v>30</v>
      </c>
      <c r="F21" s="161"/>
      <c r="G21" s="161"/>
      <c r="H21" s="222" t="s">
        <v>4</v>
      </c>
      <c r="I21" s="156" t="s">
        <v>30</v>
      </c>
      <c r="J21" s="161"/>
      <c r="K21" s="161"/>
      <c r="L21" s="156" t="s">
        <v>4</v>
      </c>
      <c r="M21" s="156" t="s">
        <v>30</v>
      </c>
    </row>
    <row r="22" spans="1:14" ht="15.75" x14ac:dyDescent="0.2">
      <c r="A22" s="14" t="s">
        <v>23</v>
      </c>
      <c r="B22" s="286">
        <v>1863.125</v>
      </c>
      <c r="C22" s="286">
        <v>1788.2239999999999</v>
      </c>
      <c r="D22" s="326">
        <f t="shared" ref="D22:D37" si="4">IF(B22=0, "    ---- ", IF(ABS(ROUND(100/B22*C22-100,1))&lt;999,ROUND(100/B22*C22-100,1),IF(ROUND(100/B22*C22-100,1)&gt;999,999,-999)))</f>
        <v>-4</v>
      </c>
      <c r="E22" s="11">
        <f>IFERROR(100/'Skjema total MA'!C22*C22,0)</f>
        <v>0.26254344086929182</v>
      </c>
      <c r="F22" s="294">
        <v>99043.315000000002</v>
      </c>
      <c r="G22" s="294">
        <v>118675.251</v>
      </c>
      <c r="H22" s="326">
        <f t="shared" ref="H22:H35" si="5">IF(F22=0, "    ---- ", IF(ABS(ROUND(100/F22*G22-100,1))&lt;999,ROUND(100/F22*G22-100,1),IF(ROUND(100/F22*G22-100,1)&gt;999,999,-999)))</f>
        <v>19.8</v>
      </c>
      <c r="I22" s="11">
        <f>IFERROR(100/'Skjema total MA'!F22*G22,0)</f>
        <v>28.035748238153605</v>
      </c>
      <c r="J22" s="292">
        <f t="shared" ref="J22:J37" si="6">SUM(B22,F22)</f>
        <v>100906.44</v>
      </c>
      <c r="K22" s="292">
        <f t="shared" ref="K22:K37" si="7">SUM(C22,G22)</f>
        <v>120463.47500000001</v>
      </c>
      <c r="L22" s="401">
        <f t="shared" ref="L22:L35" si="8">IF(J22=0, "    ---- ", IF(ABS(ROUND(100/J22*K22-100,1))&lt;999,ROUND(100/J22*K22-100,1),IF(ROUND(100/J22*K22-100,1)&gt;999,999,-999)))</f>
        <v>19.399999999999999</v>
      </c>
      <c r="M22" s="24">
        <f>IFERROR(100/'Skjema total MA'!I22*K22,0)</f>
        <v>10.907444312802999</v>
      </c>
    </row>
    <row r="23" spans="1:14" ht="15.75" x14ac:dyDescent="0.2">
      <c r="A23" s="545" t="s">
        <v>344</v>
      </c>
      <c r="B23" s="258">
        <v>258.82100000000003</v>
      </c>
      <c r="C23" s="258">
        <v>256.29899999999998</v>
      </c>
      <c r="D23" s="166">
        <f t="shared" si="4"/>
        <v>-1</v>
      </c>
      <c r="E23" s="11">
        <f>IFERROR(100/'Skjema total MA'!C23*C23,0)</f>
        <v>7.6822928291830281E-2</v>
      </c>
      <c r="F23" s="267">
        <v>3808.81</v>
      </c>
      <c r="G23" s="267">
        <v>6543.9270000000097</v>
      </c>
      <c r="H23" s="166">
        <f t="shared" si="5"/>
        <v>71.8</v>
      </c>
      <c r="I23" s="391">
        <f>IFERROR(100/'Skjema total MA'!F23*G23,0)</f>
        <v>9.7229523083838085</v>
      </c>
      <c r="J23" s="267">
        <f t="shared" si="6"/>
        <v>4067.6309999999999</v>
      </c>
      <c r="K23" s="267">
        <f t="shared" si="7"/>
        <v>6800.2260000000097</v>
      </c>
      <c r="L23" s="166">
        <f t="shared" si="8"/>
        <v>67.2</v>
      </c>
      <c r="M23" s="23">
        <f>IFERROR(100/'Skjema total MA'!I23*K23,0)</f>
        <v>1.6961258814743079</v>
      </c>
    </row>
    <row r="24" spans="1:14" ht="15.75" x14ac:dyDescent="0.2">
      <c r="A24" s="545" t="s">
        <v>345</v>
      </c>
      <c r="B24" s="258">
        <v>1604.3040000000001</v>
      </c>
      <c r="C24" s="258">
        <v>1531.925</v>
      </c>
      <c r="D24" s="166">
        <f t="shared" si="4"/>
        <v>-4.5</v>
      </c>
      <c r="E24" s="11">
        <f>IFERROR(100/'Skjema total MA'!C24*C24,0)</f>
        <v>20.643364247481767</v>
      </c>
      <c r="F24" s="267"/>
      <c r="G24" s="267"/>
      <c r="H24" s="166"/>
      <c r="I24" s="391"/>
      <c r="J24" s="267">
        <f t="shared" si="6"/>
        <v>1604.3040000000001</v>
      </c>
      <c r="K24" s="267">
        <f t="shared" si="7"/>
        <v>1531.925</v>
      </c>
      <c r="L24" s="166">
        <f t="shared" si="8"/>
        <v>-4.5</v>
      </c>
      <c r="M24" s="23">
        <f>IFERROR(100/'Skjema total MA'!I24*K24,0)</f>
        <v>20.510638945198199</v>
      </c>
    </row>
    <row r="25" spans="1:14" ht="15.75" x14ac:dyDescent="0.2">
      <c r="A25" s="545" t="s">
        <v>346</v>
      </c>
      <c r="B25" s="258"/>
      <c r="C25" s="258"/>
      <c r="D25" s="166"/>
      <c r="E25" s="11"/>
      <c r="F25" s="267">
        <v>86.8</v>
      </c>
      <c r="G25" s="267">
        <v>69.492000000000004</v>
      </c>
      <c r="H25" s="166">
        <f t="shared" si="5"/>
        <v>-19.899999999999999</v>
      </c>
      <c r="I25" s="391">
        <f>IFERROR(100/'Skjema total MA'!F25*G25,0)</f>
        <v>1.8972489325333317</v>
      </c>
      <c r="J25" s="267">
        <f t="shared" si="6"/>
        <v>86.8</v>
      </c>
      <c r="K25" s="267">
        <f t="shared" si="7"/>
        <v>69.492000000000004</v>
      </c>
      <c r="L25" s="166">
        <f t="shared" si="8"/>
        <v>-19.899999999999999</v>
      </c>
      <c r="M25" s="23">
        <f>IFERROR(100/'Skjema total MA'!I25*K25,0)</f>
        <v>0.5147029058595417</v>
      </c>
    </row>
    <row r="26" spans="1:14" ht="15.75" x14ac:dyDescent="0.2">
      <c r="A26" s="545" t="s">
        <v>347</v>
      </c>
      <c r="B26" s="258"/>
      <c r="C26" s="258"/>
      <c r="D26" s="166"/>
      <c r="E26" s="11"/>
      <c r="F26" s="267">
        <v>95147.705000000002</v>
      </c>
      <c r="G26" s="267">
        <v>112061.83199999999</v>
      </c>
      <c r="H26" s="166">
        <f t="shared" si="5"/>
        <v>17.8</v>
      </c>
      <c r="I26" s="391">
        <f>IFERROR(100/'Skjema total MA'!F26*G26,0)</f>
        <v>31.809989022046693</v>
      </c>
      <c r="J26" s="267">
        <f t="shared" si="6"/>
        <v>95147.705000000002</v>
      </c>
      <c r="K26" s="267">
        <f t="shared" si="7"/>
        <v>112061.83199999999</v>
      </c>
      <c r="L26" s="166">
        <f t="shared" si="8"/>
        <v>17.8</v>
      </c>
      <c r="M26" s="23">
        <f>IFERROR(100/'Skjema total MA'!I26*K26,0)</f>
        <v>31.809989022046693</v>
      </c>
    </row>
    <row r="27" spans="1:14" x14ac:dyDescent="0.2">
      <c r="A27" s="545" t="s">
        <v>11</v>
      </c>
      <c r="B27" s="258"/>
      <c r="C27" s="258"/>
      <c r="D27" s="166"/>
      <c r="E27" s="11"/>
      <c r="F27" s="267"/>
      <c r="G27" s="267"/>
      <c r="H27" s="166"/>
      <c r="I27" s="391"/>
      <c r="J27" s="267"/>
      <c r="K27" s="267"/>
      <c r="L27" s="166"/>
      <c r="M27" s="23"/>
    </row>
    <row r="28" spans="1:14" ht="15.75" x14ac:dyDescent="0.2">
      <c r="A28" s="49" t="s">
        <v>252</v>
      </c>
      <c r="B28" s="44">
        <v>52635.207000000002</v>
      </c>
      <c r="C28" s="264">
        <v>57799.184999999998</v>
      </c>
      <c r="D28" s="166">
        <f t="shared" si="4"/>
        <v>9.8000000000000007</v>
      </c>
      <c r="E28" s="11">
        <f>IFERROR(100/'Skjema total MA'!C28*C28,0)</f>
        <v>7.9452432058245819</v>
      </c>
      <c r="F28" s="211"/>
      <c r="G28" s="264"/>
      <c r="H28" s="166"/>
      <c r="I28" s="27"/>
      <c r="J28" s="44">
        <f t="shared" si="6"/>
        <v>52635.207000000002</v>
      </c>
      <c r="K28" s="44">
        <f t="shared" si="7"/>
        <v>57799.184999999998</v>
      </c>
      <c r="L28" s="231">
        <f t="shared" si="8"/>
        <v>9.8000000000000007</v>
      </c>
      <c r="M28" s="23">
        <f>IFERROR(100/'Skjema total MA'!I28*K28,0)</f>
        <v>7.9452432058245819</v>
      </c>
    </row>
    <row r="29" spans="1:14" s="3" customFormat="1" ht="15.75" x14ac:dyDescent="0.2">
      <c r="A29" s="13" t="s">
        <v>341</v>
      </c>
      <c r="B29" s="213">
        <v>9503851.3629999999</v>
      </c>
      <c r="C29" s="213">
        <v>8852755.7929999996</v>
      </c>
      <c r="D29" s="171">
        <f t="shared" si="4"/>
        <v>-6.9</v>
      </c>
      <c r="E29" s="11">
        <f>IFERROR(100/'Skjema total MA'!C29*C29,0)</f>
        <v>19.323224073659443</v>
      </c>
      <c r="F29" s="284">
        <v>4484177.943</v>
      </c>
      <c r="G29" s="284">
        <v>6045333.8059999999</v>
      </c>
      <c r="H29" s="171">
        <f t="shared" si="5"/>
        <v>34.799999999999997</v>
      </c>
      <c r="I29" s="11">
        <f>IFERROR(100/'Skjema total MA'!F29*G29,0)</f>
        <v>23.786773569606765</v>
      </c>
      <c r="J29" s="213">
        <f t="shared" si="6"/>
        <v>13988029.306</v>
      </c>
      <c r="K29" s="213">
        <f t="shared" si="7"/>
        <v>14898089.598999999</v>
      </c>
      <c r="L29" s="402">
        <f t="shared" si="8"/>
        <v>6.5</v>
      </c>
      <c r="M29" s="24">
        <f>IFERROR(100/'Skjema total MA'!I29*K29,0)</f>
        <v>20.915835147734615</v>
      </c>
      <c r="N29" s="148"/>
    </row>
    <row r="30" spans="1:14" s="3" customFormat="1" ht="15.75" x14ac:dyDescent="0.2">
      <c r="A30" s="545" t="s">
        <v>344</v>
      </c>
      <c r="B30" s="258">
        <v>1320253.368</v>
      </c>
      <c r="C30" s="258">
        <v>1268831.629</v>
      </c>
      <c r="D30" s="166">
        <f t="shared" si="4"/>
        <v>-3.9</v>
      </c>
      <c r="E30" s="11">
        <f>IFERROR(100/'Skjema total MA'!C30*C30,0)</f>
        <v>9.2533269920493844</v>
      </c>
      <c r="F30" s="267">
        <v>469593.07900000003</v>
      </c>
      <c r="G30" s="267">
        <v>350487.63699999999</v>
      </c>
      <c r="H30" s="166">
        <f t="shared" si="5"/>
        <v>-25.4</v>
      </c>
      <c r="I30" s="391">
        <f>IFERROR(100/'Skjema total MA'!F30*G30,0)</f>
        <v>7.5930590709425578</v>
      </c>
      <c r="J30" s="267">
        <f t="shared" si="6"/>
        <v>1789846.4470000002</v>
      </c>
      <c r="K30" s="267">
        <f t="shared" si="7"/>
        <v>1619319.2659999998</v>
      </c>
      <c r="L30" s="166">
        <f t="shared" si="8"/>
        <v>-9.5</v>
      </c>
      <c r="M30" s="23">
        <f>IFERROR(100/'Skjema total MA'!I30*K30,0)</f>
        <v>8.8351909916062272</v>
      </c>
      <c r="N30" s="148"/>
    </row>
    <row r="31" spans="1:14" s="3" customFormat="1" ht="15.75" x14ac:dyDescent="0.2">
      <c r="A31" s="545" t="s">
        <v>345</v>
      </c>
      <c r="B31" s="258">
        <v>8183597.9950000001</v>
      </c>
      <c r="C31" s="258">
        <v>7583924.1639999999</v>
      </c>
      <c r="D31" s="166">
        <f t="shared" si="4"/>
        <v>-7.3</v>
      </c>
      <c r="E31" s="11">
        <f>IFERROR(100/'Skjema total MA'!C31*C31,0)</f>
        <v>32.716891557811884</v>
      </c>
      <c r="F31" s="267">
        <v>1587661.07</v>
      </c>
      <c r="G31" s="267">
        <v>1975257.1910000001</v>
      </c>
      <c r="H31" s="166">
        <f t="shared" si="5"/>
        <v>24.4</v>
      </c>
      <c r="I31" s="391">
        <f>IFERROR(100/'Skjema total MA'!F31*G31,0)</f>
        <v>20.251789536747037</v>
      </c>
      <c r="J31" s="267">
        <f t="shared" si="6"/>
        <v>9771259.0649999995</v>
      </c>
      <c r="K31" s="267">
        <f t="shared" si="7"/>
        <v>9559181.3550000004</v>
      </c>
      <c r="L31" s="166">
        <f t="shared" si="8"/>
        <v>-2.2000000000000002</v>
      </c>
      <c r="M31" s="23">
        <f>IFERROR(100/'Skjema total MA'!I31*K31,0)</f>
        <v>29.025311647028655</v>
      </c>
      <c r="N31" s="148"/>
    </row>
    <row r="32" spans="1:14" ht="15.75" x14ac:dyDescent="0.2">
      <c r="A32" s="545" t="s">
        <v>346</v>
      </c>
      <c r="B32" s="258"/>
      <c r="C32" s="258"/>
      <c r="D32" s="166"/>
      <c r="E32" s="11"/>
      <c r="F32" s="267">
        <v>1353447.662</v>
      </c>
      <c r="G32" s="267">
        <v>1850107.16</v>
      </c>
      <c r="H32" s="166">
        <f t="shared" si="5"/>
        <v>36.700000000000003</v>
      </c>
      <c r="I32" s="391">
        <f>IFERROR(100/'Skjema total MA'!F32*G32,0)</f>
        <v>33.966569162548488</v>
      </c>
      <c r="J32" s="267">
        <f t="shared" si="6"/>
        <v>1353447.662</v>
      </c>
      <c r="K32" s="267">
        <f t="shared" si="7"/>
        <v>1850107.16</v>
      </c>
      <c r="L32" s="166">
        <f t="shared" si="8"/>
        <v>36.700000000000003</v>
      </c>
      <c r="M32" s="23">
        <f>IFERROR(100/'Skjema total MA'!I32*K32,0)</f>
        <v>22.0375140351779</v>
      </c>
    </row>
    <row r="33" spans="1:14" ht="15.75" x14ac:dyDescent="0.2">
      <c r="A33" s="545" t="s">
        <v>347</v>
      </c>
      <c r="B33" s="258"/>
      <c r="C33" s="258"/>
      <c r="D33" s="166"/>
      <c r="E33" s="11"/>
      <c r="F33" s="267">
        <v>1073476.132</v>
      </c>
      <c r="G33" s="267">
        <v>1869481.818</v>
      </c>
      <c r="H33" s="166">
        <f t="shared" si="5"/>
        <v>74.2</v>
      </c>
      <c r="I33" s="391">
        <f>IFERROR(100/'Skjema total MA'!F34*G33,0)</f>
        <v>-7246.309386564646</v>
      </c>
      <c r="J33" s="267">
        <f t="shared" si="6"/>
        <v>1073476.132</v>
      </c>
      <c r="K33" s="267">
        <f t="shared" si="7"/>
        <v>1869481.818</v>
      </c>
      <c r="L33" s="166">
        <f t="shared" si="8"/>
        <v>74.2</v>
      </c>
      <c r="M33" s="23">
        <f>IFERROR(100/'Skjema total MA'!I34*K33,0)</f>
        <v>-8752.5678853637237</v>
      </c>
    </row>
    <row r="34" spans="1:14" ht="15.75" x14ac:dyDescent="0.2">
      <c r="A34" s="13" t="s">
        <v>342</v>
      </c>
      <c r="B34" s="213">
        <v>3009.9630000000002</v>
      </c>
      <c r="C34" s="285">
        <v>4650.8509999999997</v>
      </c>
      <c r="D34" s="171">
        <f t="shared" si="4"/>
        <v>54.5</v>
      </c>
      <c r="E34" s="11">
        <f>IFERROR(100/'Skjema total MA'!C34*C34,0)</f>
        <v>104.75241173633981</v>
      </c>
      <c r="F34" s="284">
        <v>8509.1990000000005</v>
      </c>
      <c r="G34" s="285">
        <v>6076.0240000000003</v>
      </c>
      <c r="H34" s="171">
        <f t="shared" si="5"/>
        <v>-28.6</v>
      </c>
      <c r="I34" s="11">
        <f>IFERROR(100/'Skjema total MA'!F34*G34,0)</f>
        <v>-23.551312091012843</v>
      </c>
      <c r="J34" s="213">
        <f t="shared" si="6"/>
        <v>11519.162</v>
      </c>
      <c r="K34" s="213">
        <f t="shared" si="7"/>
        <v>10726.875</v>
      </c>
      <c r="L34" s="402">
        <f t="shared" si="8"/>
        <v>-6.9</v>
      </c>
      <c r="M34" s="24">
        <f>IFERROR(100/'Skjema total MA'!I34*K34,0)</f>
        <v>-50.221243518566808</v>
      </c>
    </row>
    <row r="35" spans="1:14" ht="15.75" x14ac:dyDescent="0.2">
      <c r="A35" s="13" t="s">
        <v>343</v>
      </c>
      <c r="B35" s="213">
        <v>2018.557</v>
      </c>
      <c r="C35" s="285">
        <v>253.614</v>
      </c>
      <c r="D35" s="171">
        <f t="shared" si="4"/>
        <v>-87.4</v>
      </c>
      <c r="E35" s="11">
        <f>IFERROR(100/'Skjema total MA'!C35*C35,0)</f>
        <v>-0.49114414893116393</v>
      </c>
      <c r="F35" s="284">
        <v>9458.2729999999992</v>
      </c>
      <c r="G35" s="285">
        <v>12084.039000000001</v>
      </c>
      <c r="H35" s="171">
        <f t="shared" si="5"/>
        <v>27.8</v>
      </c>
      <c r="I35" s="11">
        <f>IFERROR(100/'Skjema total MA'!F35*G35,0)</f>
        <v>20.01847813543036</v>
      </c>
      <c r="J35" s="213">
        <f t="shared" si="6"/>
        <v>11476.83</v>
      </c>
      <c r="K35" s="213">
        <f t="shared" si="7"/>
        <v>12337.653</v>
      </c>
      <c r="L35" s="402">
        <f t="shared" si="8"/>
        <v>7.5</v>
      </c>
      <c r="M35" s="24">
        <f>IFERROR(100/'Skjema total MA'!I35*K35,0)</f>
        <v>141.37274458267206</v>
      </c>
    </row>
    <row r="36" spans="1:14" ht="15.75" x14ac:dyDescent="0.2">
      <c r="A36" s="12" t="s">
        <v>260</v>
      </c>
      <c r="B36" s="213">
        <v>37.607999999999997</v>
      </c>
      <c r="C36" s="285">
        <v>41.26</v>
      </c>
      <c r="D36" s="171">
        <f t="shared" si="4"/>
        <v>9.6999999999999993</v>
      </c>
      <c r="E36" s="11">
        <f>100/'Skjema total MA'!C36*C36</f>
        <v>4.1290555010707921</v>
      </c>
      <c r="F36" s="295"/>
      <c r="G36" s="296"/>
      <c r="H36" s="171"/>
      <c r="I36" s="408"/>
      <c r="J36" s="213">
        <f t="shared" si="6"/>
        <v>37.607999999999997</v>
      </c>
      <c r="K36" s="213">
        <f t="shared" si="7"/>
        <v>41.26</v>
      </c>
      <c r="L36" s="402"/>
      <c r="M36" s="24">
        <f>IFERROR(100/'Skjema total MA'!I36*K36,0)</f>
        <v>4.1290555010707921</v>
      </c>
    </row>
    <row r="37" spans="1:14" ht="15.75" x14ac:dyDescent="0.2">
      <c r="A37" s="12" t="s">
        <v>349</v>
      </c>
      <c r="B37" s="213">
        <v>458686.56599999999</v>
      </c>
      <c r="C37" s="285">
        <v>452611.68300000002</v>
      </c>
      <c r="D37" s="171">
        <f t="shared" si="4"/>
        <v>-1.3</v>
      </c>
      <c r="E37" s="11">
        <f>100/'Skjema total MA'!C37*C37</f>
        <v>13.516381867820334</v>
      </c>
      <c r="F37" s="295"/>
      <c r="G37" s="297"/>
      <c r="H37" s="171"/>
      <c r="I37" s="408"/>
      <c r="J37" s="213">
        <f t="shared" si="6"/>
        <v>458686.56599999999</v>
      </c>
      <c r="K37" s="213">
        <f t="shared" si="7"/>
        <v>452611.68300000002</v>
      </c>
      <c r="L37" s="402"/>
      <c r="M37" s="24">
        <f>IFERROR(100/'Skjema total MA'!I37*K37,0)</f>
        <v>13.516381867820334</v>
      </c>
    </row>
    <row r="38" spans="1:14" ht="15.75" x14ac:dyDescent="0.2">
      <c r="A38" s="12" t="s">
        <v>350</v>
      </c>
      <c r="B38" s="213"/>
      <c r="C38" s="285"/>
      <c r="D38" s="171"/>
      <c r="E38" s="24"/>
      <c r="F38" s="295"/>
      <c r="G38" s="296"/>
      <c r="H38" s="171"/>
      <c r="I38" s="408"/>
      <c r="J38" s="213"/>
      <c r="K38" s="213"/>
      <c r="L38" s="402"/>
      <c r="M38" s="24"/>
    </row>
    <row r="39" spans="1:14" ht="15.75" x14ac:dyDescent="0.2">
      <c r="A39" s="18" t="s">
        <v>351</v>
      </c>
      <c r="B39" s="253"/>
      <c r="C39" s="291"/>
      <c r="D39" s="169"/>
      <c r="E39" s="36"/>
      <c r="F39" s="298"/>
      <c r="G39" s="299"/>
      <c r="H39" s="169"/>
      <c r="I39" s="36"/>
      <c r="J39" s="213"/>
      <c r="K39" s="213"/>
      <c r="L39" s="403"/>
      <c r="M39" s="36"/>
    </row>
    <row r="40" spans="1:14" ht="15.75" x14ac:dyDescent="0.25">
      <c r="A40" s="47"/>
      <c r="B40" s="230"/>
      <c r="C40" s="230"/>
      <c r="D40" s="698"/>
      <c r="E40" s="698"/>
      <c r="F40" s="698"/>
      <c r="G40" s="698"/>
      <c r="H40" s="698"/>
      <c r="I40" s="698"/>
      <c r="J40" s="698"/>
      <c r="K40" s="698"/>
      <c r="L40" s="698"/>
      <c r="M40" s="278"/>
    </row>
    <row r="41" spans="1:14" x14ac:dyDescent="0.2">
      <c r="A41" s="155"/>
    </row>
    <row r="42" spans="1:14" ht="15.75" x14ac:dyDescent="0.25">
      <c r="A42" s="147" t="s">
        <v>249</v>
      </c>
      <c r="B42" s="699"/>
      <c r="C42" s="699"/>
      <c r="D42" s="699"/>
      <c r="E42" s="275"/>
      <c r="F42" s="700"/>
      <c r="G42" s="700"/>
      <c r="H42" s="700"/>
      <c r="I42" s="278"/>
      <c r="J42" s="700"/>
      <c r="K42" s="700"/>
      <c r="L42" s="700"/>
      <c r="M42" s="278"/>
    </row>
    <row r="43" spans="1:14" ht="15.75" x14ac:dyDescent="0.25">
      <c r="A43" s="163"/>
      <c r="B43" s="279"/>
      <c r="C43" s="279"/>
      <c r="D43" s="279"/>
      <c r="E43" s="279"/>
      <c r="F43" s="278"/>
      <c r="G43" s="278"/>
      <c r="H43" s="278"/>
      <c r="I43" s="278"/>
      <c r="J43" s="278"/>
      <c r="K43" s="278"/>
      <c r="L43" s="278"/>
      <c r="M43" s="278"/>
    </row>
    <row r="44" spans="1:14" ht="15.75" x14ac:dyDescent="0.25">
      <c r="A44" s="224"/>
      <c r="B44" s="695" t="s">
        <v>0</v>
      </c>
      <c r="C44" s="696"/>
      <c r="D44" s="696"/>
      <c r="E44" s="220"/>
      <c r="F44" s="278"/>
      <c r="G44" s="278"/>
      <c r="H44" s="278"/>
      <c r="I44" s="278"/>
      <c r="J44" s="278"/>
      <c r="K44" s="278"/>
      <c r="L44" s="278"/>
      <c r="M44" s="278"/>
    </row>
    <row r="45" spans="1:14" s="3" customFormat="1" x14ac:dyDescent="0.2">
      <c r="A45" s="140"/>
      <c r="B45" s="152" t="s">
        <v>412</v>
      </c>
      <c r="C45" s="152" t="s">
        <v>413</v>
      </c>
      <c r="D45" s="162" t="s">
        <v>3</v>
      </c>
      <c r="E45" s="162" t="s">
        <v>29</v>
      </c>
      <c r="F45" s="174"/>
      <c r="G45" s="174"/>
      <c r="H45" s="173"/>
      <c r="I45" s="173"/>
      <c r="J45" s="174"/>
      <c r="K45" s="174"/>
      <c r="L45" s="173"/>
      <c r="M45" s="173"/>
      <c r="N45" s="148"/>
    </row>
    <row r="46" spans="1:14" s="3" customFormat="1" x14ac:dyDescent="0.2">
      <c r="A46" s="662"/>
      <c r="B46" s="221"/>
      <c r="C46" s="221"/>
      <c r="D46" s="222" t="s">
        <v>4</v>
      </c>
      <c r="E46" s="156" t="s">
        <v>30</v>
      </c>
      <c r="F46" s="173"/>
      <c r="G46" s="173"/>
      <c r="H46" s="173"/>
      <c r="I46" s="173"/>
      <c r="J46" s="173"/>
      <c r="K46" s="173"/>
      <c r="L46" s="173"/>
      <c r="M46" s="173"/>
      <c r="N46" s="148"/>
    </row>
    <row r="47" spans="1:14" s="3" customFormat="1" ht="15.75" x14ac:dyDescent="0.2">
      <c r="A47" s="14" t="s">
        <v>23</v>
      </c>
      <c r="B47" s="286">
        <v>620048.29700000002</v>
      </c>
      <c r="C47" s="287">
        <v>588328.60800000001</v>
      </c>
      <c r="D47" s="401">
        <f t="shared" ref="D47:D57" si="9">IF(B47=0, "    ---- ", IF(ABS(ROUND(100/B47*C47-100,1))&lt;999,ROUND(100/B47*C47-100,1),IF(ROUND(100/B47*C47-100,1)&gt;999,999,-999)))</f>
        <v>-5.0999999999999996</v>
      </c>
      <c r="E47" s="11">
        <f>IFERROR(100/'Skjema total MA'!C47*C47,0)</f>
        <v>18.596985348127777</v>
      </c>
      <c r="F47" s="145"/>
      <c r="G47" s="33"/>
      <c r="H47" s="159"/>
      <c r="I47" s="159"/>
      <c r="J47" s="37"/>
      <c r="K47" s="37"/>
      <c r="L47" s="159"/>
      <c r="M47" s="159"/>
      <c r="N47" s="148"/>
    </row>
    <row r="48" spans="1:14" s="3" customFormat="1" ht="15.75" x14ac:dyDescent="0.2">
      <c r="A48" s="38" t="s">
        <v>352</v>
      </c>
      <c r="B48" s="258">
        <v>266184.8</v>
      </c>
      <c r="C48" s="259">
        <v>161187.83900000001</v>
      </c>
      <c r="D48" s="231">
        <f t="shared" si="9"/>
        <v>-39.4</v>
      </c>
      <c r="E48" s="27">
        <f>IFERROR(100/'Skjema total MA'!C48*C48,0)</f>
        <v>9.3972235465390366</v>
      </c>
      <c r="F48" s="145"/>
      <c r="G48" s="33"/>
      <c r="H48" s="145"/>
      <c r="I48" s="145"/>
      <c r="J48" s="33"/>
      <c r="K48" s="33"/>
      <c r="L48" s="159"/>
      <c r="M48" s="159"/>
      <c r="N48" s="148"/>
    </row>
    <row r="49" spans="1:14" s="3" customFormat="1" ht="15.75" x14ac:dyDescent="0.2">
      <c r="A49" s="38" t="s">
        <v>353</v>
      </c>
      <c r="B49" s="44">
        <v>353863.49699999997</v>
      </c>
      <c r="C49" s="264">
        <v>427140.76899999997</v>
      </c>
      <c r="D49" s="231">
        <f>IF(B49=0, "    ---- ", IF(ABS(ROUND(100/B49*C49-100,1))&lt;999,ROUND(100/B49*C49-100,1),IF(ROUND(100/B49*C49-100,1)&gt;999,999,-999)))</f>
        <v>20.7</v>
      </c>
      <c r="E49" s="27">
        <f>IFERROR(100/'Skjema total MA'!C49*C49,0)</f>
        <v>29.492584000894595</v>
      </c>
      <c r="F49" s="145"/>
      <c r="G49" s="33"/>
      <c r="H49" s="145"/>
      <c r="I49" s="145"/>
      <c r="J49" s="37"/>
      <c r="K49" s="37"/>
      <c r="L49" s="159"/>
      <c r="M49" s="159"/>
      <c r="N49" s="148"/>
    </row>
    <row r="50" spans="1:14" s="3" customFormat="1" x14ac:dyDescent="0.2">
      <c r="A50" s="272" t="s">
        <v>6</v>
      </c>
      <c r="B50" s="295"/>
      <c r="C50" s="295"/>
      <c r="D50" s="231"/>
      <c r="E50" s="23"/>
      <c r="F50" s="145"/>
      <c r="G50" s="33"/>
      <c r="H50" s="145"/>
      <c r="I50" s="145"/>
      <c r="J50" s="33"/>
      <c r="K50" s="33"/>
      <c r="L50" s="159"/>
      <c r="M50" s="159"/>
      <c r="N50" s="148"/>
    </row>
    <row r="51" spans="1:14" s="3" customFormat="1" x14ac:dyDescent="0.2">
      <c r="A51" s="272" t="s">
        <v>7</v>
      </c>
      <c r="B51" s="295"/>
      <c r="C51" s="295"/>
      <c r="D51" s="231"/>
      <c r="E51" s="23"/>
      <c r="F51" s="145"/>
      <c r="G51" s="33"/>
      <c r="H51" s="145"/>
      <c r="I51" s="145"/>
      <c r="J51" s="33"/>
      <c r="K51" s="33"/>
      <c r="L51" s="159"/>
      <c r="M51" s="159"/>
      <c r="N51" s="148"/>
    </row>
    <row r="52" spans="1:14" s="3" customFormat="1" x14ac:dyDescent="0.2">
      <c r="A52" s="272" t="s">
        <v>8</v>
      </c>
      <c r="B52" s="295"/>
      <c r="C52" s="295"/>
      <c r="D52" s="231"/>
      <c r="E52" s="23"/>
      <c r="F52" s="145"/>
      <c r="G52" s="33"/>
      <c r="H52" s="145"/>
      <c r="I52" s="145"/>
      <c r="J52" s="33"/>
      <c r="K52" s="33"/>
      <c r="L52" s="159"/>
      <c r="M52" s="159"/>
      <c r="N52" s="148"/>
    </row>
    <row r="53" spans="1:14" s="3" customFormat="1" ht="15.75" x14ac:dyDescent="0.2">
      <c r="A53" s="39" t="s">
        <v>354</v>
      </c>
      <c r="B53" s="286">
        <v>4161.6000000000004</v>
      </c>
      <c r="C53" s="287">
        <v>12703.075000000001</v>
      </c>
      <c r="D53" s="402">
        <f t="shared" si="9"/>
        <v>205.2</v>
      </c>
      <c r="E53" s="11">
        <f>IFERROR(100/'Skjema total MA'!C53*C53,0)</f>
        <v>5.7833603989041453</v>
      </c>
      <c r="F53" s="145"/>
      <c r="G53" s="33"/>
      <c r="H53" s="145"/>
      <c r="I53" s="145"/>
      <c r="J53" s="33"/>
      <c r="K53" s="33"/>
      <c r="L53" s="159"/>
      <c r="M53" s="159"/>
      <c r="N53" s="148"/>
    </row>
    <row r="54" spans="1:14" s="3" customFormat="1" ht="15.75" x14ac:dyDescent="0.2">
      <c r="A54" s="38" t="s">
        <v>352</v>
      </c>
      <c r="B54" s="258">
        <v>4161.6000000000004</v>
      </c>
      <c r="C54" s="259">
        <v>7783.8109999999997</v>
      </c>
      <c r="D54" s="231">
        <f t="shared" si="9"/>
        <v>87</v>
      </c>
      <c r="E54" s="27">
        <f>IFERROR(100/'Skjema total MA'!C54*C54,0)</f>
        <v>3.8766234650415439</v>
      </c>
      <c r="F54" s="145"/>
      <c r="G54" s="33"/>
      <c r="H54" s="145"/>
      <c r="I54" s="145"/>
      <c r="J54" s="33"/>
      <c r="K54" s="33"/>
      <c r="L54" s="159"/>
      <c r="M54" s="159"/>
      <c r="N54" s="148"/>
    </row>
    <row r="55" spans="1:14" s="3" customFormat="1" ht="15.75" x14ac:dyDescent="0.2">
      <c r="A55" s="38" t="s">
        <v>353</v>
      </c>
      <c r="B55" s="258">
        <v>0</v>
      </c>
      <c r="C55" s="259">
        <v>4919.2640000000001</v>
      </c>
      <c r="D55" s="231" t="str">
        <f t="shared" si="9"/>
        <v xml:space="preserve">    ---- </v>
      </c>
      <c r="E55" s="27">
        <f>IFERROR(100/'Skjema total MA'!C55*C55,0)</f>
        <v>26.082688980387548</v>
      </c>
      <c r="F55" s="145"/>
      <c r="G55" s="33"/>
      <c r="H55" s="145"/>
      <c r="I55" s="145"/>
      <c r="J55" s="33"/>
      <c r="K55" s="33"/>
      <c r="L55" s="159"/>
      <c r="M55" s="159"/>
      <c r="N55" s="148"/>
    </row>
    <row r="56" spans="1:14" s="3" customFormat="1" ht="15.75" x14ac:dyDescent="0.2">
      <c r="A56" s="39" t="s">
        <v>355</v>
      </c>
      <c r="B56" s="286">
        <v>1362.04</v>
      </c>
      <c r="C56" s="287">
        <v>3295.9389999999999</v>
      </c>
      <c r="D56" s="402">
        <f t="shared" si="9"/>
        <v>142</v>
      </c>
      <c r="E56" s="11">
        <f>IFERROR(100/'Skjema total MA'!C56*C56,0)</f>
        <v>6.9854835954771453</v>
      </c>
      <c r="F56" s="145"/>
      <c r="G56" s="33"/>
      <c r="H56" s="145"/>
      <c r="I56" s="145"/>
      <c r="J56" s="33"/>
      <c r="K56" s="33"/>
      <c r="L56" s="159"/>
      <c r="M56" s="159"/>
      <c r="N56" s="148"/>
    </row>
    <row r="57" spans="1:14" s="3" customFormat="1" ht="15.75" x14ac:dyDescent="0.2">
      <c r="A57" s="38" t="s">
        <v>352</v>
      </c>
      <c r="B57" s="258">
        <v>1362.04</v>
      </c>
      <c r="C57" s="259">
        <v>3295.9389999999999</v>
      </c>
      <c r="D57" s="231">
        <f t="shared" si="9"/>
        <v>142</v>
      </c>
      <c r="E57" s="27">
        <f>IFERROR(100/'Skjema total MA'!C57*C57,0)</f>
        <v>6.9854835954771453</v>
      </c>
      <c r="F57" s="145"/>
      <c r="G57" s="33"/>
      <c r="H57" s="145"/>
      <c r="I57" s="145"/>
      <c r="J57" s="33"/>
      <c r="K57" s="33"/>
      <c r="L57" s="159"/>
      <c r="M57" s="159"/>
      <c r="N57" s="148"/>
    </row>
    <row r="58" spans="1:14" s="3" customFormat="1" ht="15.75" x14ac:dyDescent="0.2">
      <c r="A58" s="46" t="s">
        <v>353</v>
      </c>
      <c r="B58" s="260"/>
      <c r="C58" s="261"/>
      <c r="D58" s="232"/>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250</v>
      </c>
      <c r="C61" s="26"/>
      <c r="D61" s="26"/>
      <c r="E61" s="26"/>
      <c r="F61" s="26"/>
      <c r="G61" s="26"/>
      <c r="H61" s="26"/>
      <c r="I61" s="26"/>
      <c r="J61" s="26"/>
      <c r="K61" s="26"/>
      <c r="L61" s="26"/>
      <c r="M61" s="26"/>
    </row>
    <row r="62" spans="1:14" ht="15.75" x14ac:dyDescent="0.25">
      <c r="B62" s="694"/>
      <c r="C62" s="694"/>
      <c r="D62" s="694"/>
      <c r="E62" s="275"/>
      <c r="F62" s="694"/>
      <c r="G62" s="694"/>
      <c r="H62" s="694"/>
      <c r="I62" s="275"/>
      <c r="J62" s="694"/>
      <c r="K62" s="694"/>
      <c r="L62" s="694"/>
      <c r="M62" s="275"/>
    </row>
    <row r="63" spans="1:14" x14ac:dyDescent="0.2">
      <c r="A63" s="144"/>
      <c r="B63" s="695" t="s">
        <v>0</v>
      </c>
      <c r="C63" s="696"/>
      <c r="D63" s="697"/>
      <c r="E63" s="276"/>
      <c r="F63" s="696" t="s">
        <v>1</v>
      </c>
      <c r="G63" s="696"/>
      <c r="H63" s="696"/>
      <c r="I63" s="280"/>
      <c r="J63" s="695" t="s">
        <v>2</v>
      </c>
      <c r="K63" s="696"/>
      <c r="L63" s="696"/>
      <c r="M63" s="280"/>
    </row>
    <row r="64" spans="1:14" x14ac:dyDescent="0.2">
      <c r="A64" s="140"/>
      <c r="B64" s="152" t="s">
        <v>412</v>
      </c>
      <c r="C64" s="152" t="s">
        <v>413</v>
      </c>
      <c r="D64" s="222" t="s">
        <v>3</v>
      </c>
      <c r="E64" s="281" t="s">
        <v>29</v>
      </c>
      <c r="F64" s="152" t="s">
        <v>412</v>
      </c>
      <c r="G64" s="152" t="s">
        <v>413</v>
      </c>
      <c r="H64" s="222" t="s">
        <v>3</v>
      </c>
      <c r="I64" s="281" t="s">
        <v>29</v>
      </c>
      <c r="J64" s="152" t="s">
        <v>412</v>
      </c>
      <c r="K64" s="152" t="s">
        <v>413</v>
      </c>
      <c r="L64" s="222" t="s">
        <v>3</v>
      </c>
      <c r="M64" s="162" t="s">
        <v>29</v>
      </c>
    </row>
    <row r="65" spans="1:14" x14ac:dyDescent="0.2">
      <c r="A65" s="662"/>
      <c r="B65" s="156"/>
      <c r="C65" s="156"/>
      <c r="D65" s="223" t="s">
        <v>4</v>
      </c>
      <c r="E65" s="156" t="s">
        <v>30</v>
      </c>
      <c r="F65" s="161"/>
      <c r="G65" s="161"/>
      <c r="H65" s="222" t="s">
        <v>4</v>
      </c>
      <c r="I65" s="156" t="s">
        <v>30</v>
      </c>
      <c r="J65" s="161"/>
      <c r="K65" s="203"/>
      <c r="L65" s="156" t="s">
        <v>4</v>
      </c>
      <c r="M65" s="156" t="s">
        <v>30</v>
      </c>
    </row>
    <row r="66" spans="1:14" ht="15.75" x14ac:dyDescent="0.2">
      <c r="A66" s="14" t="s">
        <v>23</v>
      </c>
      <c r="B66" s="329">
        <v>1627259.1040000001</v>
      </c>
      <c r="C66" s="329">
        <v>1393380.095</v>
      </c>
      <c r="D66" s="326">
        <f>IF(B66=0, "    ---- ", IF(ABS(ROUND(100/B66*C66-100,1))&lt;999,ROUND(100/B66*C66-100,1),IF(ROUND(100/B66*C66-100,1)&gt;999,999,-999)))</f>
        <v>-14.4</v>
      </c>
      <c r="E66" s="11">
        <f>IFERROR(100/'Skjema total MA'!C66*C66,0)</f>
        <v>44.652708986368864</v>
      </c>
      <c r="F66" s="328">
        <v>2817391.0989999999</v>
      </c>
      <c r="G66" s="328">
        <v>2886526.6429999997</v>
      </c>
      <c r="H66" s="326">
        <f>IF(F66=0, "    ---- ", IF(ABS(ROUND(100/F66*G66-100,1))&lt;999,ROUND(100/F66*G66-100,1),IF(ROUND(100/F66*G66-100,1)&gt;999,999,-999)))</f>
        <v>2.5</v>
      </c>
      <c r="I66" s="24">
        <f>IFERROR(100/'Skjema total MA'!F66*G66,0)</f>
        <v>30.288897405482849</v>
      </c>
      <c r="J66" s="159">
        <f t="shared" ref="J66:K68" si="10">SUM(B66,F66)</f>
        <v>4444650.2029999997</v>
      </c>
      <c r="K66" s="292">
        <f t="shared" si="10"/>
        <v>4279906.7379999999</v>
      </c>
      <c r="L66" s="402">
        <f>IF(J66=0, "    ---- ", IF(ABS(ROUND(100/J66*K66-100,1))&lt;999,ROUND(100/J66*K66-100,1),IF(ROUND(100/J66*K66-100,1)&gt;999,999,-999)))</f>
        <v>-3.7</v>
      </c>
      <c r="M66" s="11">
        <f>IFERROR(100/'Skjema total MA'!I66*K66,0)</f>
        <v>33.832010284295919</v>
      </c>
    </row>
    <row r="67" spans="1:14" x14ac:dyDescent="0.2">
      <c r="A67" s="393" t="s">
        <v>9</v>
      </c>
      <c r="B67" s="44">
        <v>1246638.523</v>
      </c>
      <c r="C67" s="145">
        <v>980036.18599999999</v>
      </c>
      <c r="D67" s="166">
        <f>IF(B67=0, "    ---- ", IF(ABS(ROUND(100/B67*C67-100,1))&lt;999,ROUND(100/B67*C67-100,1),IF(ROUND(100/B67*C67-100,1)&gt;999,999,-999)))</f>
        <v>-21.4</v>
      </c>
      <c r="E67" s="23">
        <f>IFERROR(100/'Skjema total MA'!C67*C67,0)</f>
        <v>40.455086000822945</v>
      </c>
      <c r="F67" s="211"/>
      <c r="G67" s="145"/>
      <c r="H67" s="166"/>
      <c r="I67" s="23"/>
      <c r="J67" s="145">
        <f t="shared" si="10"/>
        <v>1246638.523</v>
      </c>
      <c r="K67" s="44">
        <f t="shared" si="10"/>
        <v>980036.18599999999</v>
      </c>
      <c r="L67" s="231">
        <f>IF(J67=0, "    ---- ", IF(ABS(ROUND(100/J67*K67-100,1))&lt;999,ROUND(100/J67*K67-100,1),IF(ROUND(100/J67*K67-100,1)&gt;999,999,-999)))</f>
        <v>-21.4</v>
      </c>
      <c r="M67" s="27">
        <f>IFERROR(100/'Skjema total MA'!I67*K67,0)</f>
        <v>40.455086000822945</v>
      </c>
    </row>
    <row r="68" spans="1:14" x14ac:dyDescent="0.2">
      <c r="A68" s="21" t="s">
        <v>10</v>
      </c>
      <c r="B68" s="268"/>
      <c r="C68" s="269"/>
      <c r="D68" s="166"/>
      <c r="E68" s="23"/>
      <c r="F68" s="268">
        <v>2549847.8679999998</v>
      </c>
      <c r="G68" s="269">
        <v>2599318.8879999998</v>
      </c>
      <c r="H68" s="166">
        <f>IF(F68=0, "    ---- ", IF(ABS(ROUND(100/F68*G68-100,1))&lt;999,ROUND(100/F68*G68-100,1),IF(ROUND(100/F68*G68-100,1)&gt;999,999,-999)))</f>
        <v>1.9</v>
      </c>
      <c r="I68" s="23">
        <f>IFERROR(100/'Skjema total MA'!F68*G68,0)</f>
        <v>28.381045253422677</v>
      </c>
      <c r="J68" s="145">
        <f t="shared" si="10"/>
        <v>2549847.8679999998</v>
      </c>
      <c r="K68" s="44">
        <f t="shared" si="10"/>
        <v>2599318.8879999998</v>
      </c>
      <c r="L68" s="231">
        <f>IF(J68=0, "    ---- ", IF(ABS(ROUND(100/J68*K68-100,1))&lt;999,ROUND(100/J68*K68-100,1),IF(ROUND(100/J68*K68-100,1)&gt;999,999,-999)))</f>
        <v>1.9</v>
      </c>
      <c r="M68" s="27">
        <f>IFERROR(100/'Skjema total MA'!I68*K68,0)</f>
        <v>28.338330283731562</v>
      </c>
    </row>
    <row r="69" spans="1:14" ht="15.75" x14ac:dyDescent="0.2">
      <c r="A69" s="272" t="s">
        <v>356</v>
      </c>
      <c r="B69" s="295"/>
      <c r="C69" s="295"/>
      <c r="D69" s="166"/>
      <c r="E69" s="23"/>
      <c r="F69" s="295"/>
      <c r="G69" s="295"/>
      <c r="H69" s="166"/>
      <c r="I69" s="23"/>
      <c r="J69" s="295"/>
      <c r="K69" s="295"/>
      <c r="L69" s="166"/>
      <c r="M69" s="23"/>
    </row>
    <row r="70" spans="1:14" x14ac:dyDescent="0.2">
      <c r="A70" s="272" t="s">
        <v>12</v>
      </c>
      <c r="B70" s="270"/>
      <c r="C70" s="271"/>
      <c r="D70" s="166"/>
      <c r="E70" s="23"/>
      <c r="F70" s="270"/>
      <c r="G70" s="271"/>
      <c r="H70" s="166"/>
      <c r="I70" s="23"/>
      <c r="J70" s="270"/>
      <c r="K70" s="271"/>
      <c r="L70" s="166"/>
      <c r="M70" s="23"/>
    </row>
    <row r="71" spans="1:14" x14ac:dyDescent="0.2">
      <c r="A71" s="272" t="s">
        <v>13</v>
      </c>
      <c r="B71" s="212"/>
      <c r="C71" s="266"/>
      <c r="D71" s="166"/>
      <c r="E71" s="23"/>
      <c r="F71" s="212"/>
      <c r="G71" s="266"/>
      <c r="H71" s="166"/>
      <c r="I71" s="23"/>
      <c r="J71" s="212"/>
      <c r="K71" s="266"/>
      <c r="L71" s="166"/>
      <c r="M71" s="23"/>
    </row>
    <row r="72" spans="1:14" ht="15.75" x14ac:dyDescent="0.2">
      <c r="A72" s="272" t="s">
        <v>357</v>
      </c>
      <c r="B72" s="295"/>
      <c r="C72" s="295"/>
      <c r="D72" s="166"/>
      <c r="E72" s="23"/>
      <c r="F72" s="295"/>
      <c r="G72" s="295"/>
      <c r="H72" s="166"/>
      <c r="I72" s="23"/>
      <c r="J72" s="295"/>
      <c r="K72" s="295"/>
      <c r="L72" s="166"/>
      <c r="M72" s="23"/>
    </row>
    <row r="73" spans="1:14" x14ac:dyDescent="0.2">
      <c r="A73" s="272" t="s">
        <v>12</v>
      </c>
      <c r="B73" s="212"/>
      <c r="C73" s="266"/>
      <c r="D73" s="166"/>
      <c r="E73" s="23"/>
      <c r="F73" s="212"/>
      <c r="G73" s="266"/>
      <c r="H73" s="166"/>
      <c r="I73" s="23"/>
      <c r="J73" s="212"/>
      <c r="K73" s="266"/>
      <c r="L73" s="166"/>
      <c r="M73" s="23"/>
    </row>
    <row r="74" spans="1:14" s="3" customFormat="1" x14ac:dyDescent="0.2">
      <c r="A74" s="272" t="s">
        <v>13</v>
      </c>
      <c r="B74" s="212"/>
      <c r="C74" s="266"/>
      <c r="D74" s="166"/>
      <c r="E74" s="23"/>
      <c r="F74" s="212"/>
      <c r="G74" s="266"/>
      <c r="H74" s="166"/>
      <c r="I74" s="23"/>
      <c r="J74" s="212"/>
      <c r="K74" s="266"/>
      <c r="L74" s="166"/>
      <c r="M74" s="23"/>
      <c r="N74" s="148"/>
    </row>
    <row r="75" spans="1:14" s="3" customFormat="1" x14ac:dyDescent="0.2">
      <c r="A75" s="21" t="s">
        <v>326</v>
      </c>
      <c r="B75" s="211">
        <v>45972.197999999997</v>
      </c>
      <c r="C75" s="145">
        <v>60543.421999999999</v>
      </c>
      <c r="D75" s="166">
        <f>IF(B75=0, "    ---- ", IF(ABS(ROUND(100/B75*C75-100,1))&lt;999,ROUND(100/B75*C75-100,1),IF(ROUND(100/B75*C75-100,1)&gt;999,999,-999)))</f>
        <v>31.7</v>
      </c>
      <c r="E75" s="23">
        <f>IFERROR(100/'Skjema total MA'!C75*C75,0)</f>
        <v>40.800276160340736</v>
      </c>
      <c r="F75" s="211">
        <v>267543.23100000003</v>
      </c>
      <c r="G75" s="145">
        <v>287207.755</v>
      </c>
      <c r="H75" s="166">
        <f>IF(F75=0, "    ---- ", IF(ABS(ROUND(100/F75*G75-100,1))&lt;999,ROUND(100/F75*G75-100,1),IF(ROUND(100/F75*G75-100,1)&gt;999,999,-999)))</f>
        <v>7.4</v>
      </c>
      <c r="I75" s="23">
        <f>IFERROR(100/'Skjema total MA'!F75*G75,0)</f>
        <v>77.343898880292244</v>
      </c>
      <c r="J75" s="145">
        <f t="shared" ref="J75:K79" si="11">SUM(B75,F75)</f>
        <v>313515.429</v>
      </c>
      <c r="K75" s="44">
        <f t="shared" si="11"/>
        <v>347751.17700000003</v>
      </c>
      <c r="L75" s="231">
        <f>IF(J75=0, "    ---- ", IF(ABS(ROUND(100/J75*K75-100,1))&lt;999,ROUND(100/J75*K75-100,1),IF(ROUND(100/J75*K75-100,1)&gt;999,999,-999)))</f>
        <v>10.9</v>
      </c>
      <c r="M75" s="27">
        <f>IFERROR(100/'Skjema total MA'!I75*K75,0)</f>
        <v>66.910181691946775</v>
      </c>
      <c r="N75" s="148"/>
    </row>
    <row r="76" spans="1:14" s="3" customFormat="1" x14ac:dyDescent="0.2">
      <c r="A76" s="21" t="s">
        <v>325</v>
      </c>
      <c r="B76" s="211">
        <v>334648.38299999997</v>
      </c>
      <c r="C76" s="145">
        <v>352800.48700000002</v>
      </c>
      <c r="D76" s="166">
        <f>IF(B76=0, "    ---- ", IF(ABS(ROUND(100/B76*C76-100,1))&lt;999,ROUND(100/B76*C76-100,1),IF(ROUND(100/B76*C76-100,1)&gt;999,999,-999)))</f>
        <v>5.4</v>
      </c>
      <c r="E76" s="23">
        <f>IFERROR(100/'Skjema total MA'!C77*C76,0)</f>
        <v>15.040920423861621</v>
      </c>
      <c r="F76" s="211"/>
      <c r="G76" s="145"/>
      <c r="H76" s="166"/>
      <c r="I76" s="23"/>
      <c r="J76" s="145">
        <f t="shared" si="11"/>
        <v>334648.38299999997</v>
      </c>
      <c r="K76" s="44">
        <f t="shared" si="11"/>
        <v>352800.48700000002</v>
      </c>
      <c r="L76" s="231">
        <f>IF(J76=0, "    ---- ", IF(ABS(ROUND(100/J76*K76-100,1))&lt;999,ROUND(100/J76*K76-100,1),IF(ROUND(100/J76*K76-100,1)&gt;999,999,-999)))</f>
        <v>5.4</v>
      </c>
      <c r="M76" s="27">
        <f>IFERROR(100/'Skjema total MA'!I77*K76,0)</f>
        <v>3.0674988199264166</v>
      </c>
      <c r="N76" s="148"/>
    </row>
    <row r="77" spans="1:14" ht="15.75" x14ac:dyDescent="0.2">
      <c r="A77" s="21" t="s">
        <v>358</v>
      </c>
      <c r="B77" s="211">
        <v>1184983.7749999999</v>
      </c>
      <c r="C77" s="211">
        <v>923578.85499999998</v>
      </c>
      <c r="D77" s="166">
        <f>IF(B77=0, "    ---- ", IF(ABS(ROUND(100/B77*C77-100,1))&lt;999,ROUND(100/B77*C77-100,1),IF(ROUND(100/B77*C77-100,1)&gt;999,999,-999)))</f>
        <v>-22.1</v>
      </c>
      <c r="E77" s="23">
        <f>IFERROR(100/'Skjema total MA'!C77*C77,0)</f>
        <v>39.374877799463555</v>
      </c>
      <c r="F77" s="211">
        <v>2549847.8679999998</v>
      </c>
      <c r="G77" s="145">
        <v>2599318.8879999998</v>
      </c>
      <c r="H77" s="166">
        <f>IF(F77=0, "    ---- ", IF(ABS(ROUND(100/F77*G77-100,1))&lt;999,ROUND(100/F77*G77-100,1),IF(ROUND(100/F77*G77-100,1)&gt;999,999,-999)))</f>
        <v>1.9</v>
      </c>
      <c r="I77" s="23">
        <f>IFERROR(100/'Skjema total MA'!F77*G77,0)</f>
        <v>28.390361959889184</v>
      </c>
      <c r="J77" s="145">
        <f t="shared" si="11"/>
        <v>3734831.6429999997</v>
      </c>
      <c r="K77" s="44">
        <f t="shared" si="11"/>
        <v>3522897.7429999998</v>
      </c>
      <c r="L77" s="231">
        <f>IF(J77=0, "    ---- ", IF(ABS(ROUND(100/J77*K77-100,1))&lt;999,ROUND(100/J77*K77-100,1),IF(ROUND(100/J77*K77-100,1)&gt;999,999,-999)))</f>
        <v>-5.7</v>
      </c>
      <c r="M77" s="27">
        <f>IFERROR(100/'Skjema total MA'!I77*K77,0)</f>
        <v>30.63058319807233</v>
      </c>
    </row>
    <row r="78" spans="1:14" x14ac:dyDescent="0.2">
      <c r="A78" s="21" t="s">
        <v>9</v>
      </c>
      <c r="B78" s="211">
        <v>1184983.7749999999</v>
      </c>
      <c r="C78" s="145">
        <v>923578.85499999998</v>
      </c>
      <c r="D78" s="166">
        <f>IF(B78=0, "    ---- ", IF(ABS(ROUND(100/B78*C78-100,1))&lt;999,ROUND(100/B78*C78-100,1),IF(ROUND(100/B78*C78-100,1)&gt;999,999,-999)))</f>
        <v>-22.1</v>
      </c>
      <c r="E78" s="23">
        <f>IFERROR(100/'Skjema total MA'!C78*C78,0)</f>
        <v>39.594049417650602</v>
      </c>
      <c r="F78" s="211"/>
      <c r="G78" s="145"/>
      <c r="H78" s="166"/>
      <c r="I78" s="23"/>
      <c r="J78" s="145">
        <f t="shared" si="11"/>
        <v>1184983.7749999999</v>
      </c>
      <c r="K78" s="44">
        <f t="shared" si="11"/>
        <v>923578.85499999998</v>
      </c>
      <c r="L78" s="231">
        <f>IF(J78=0, "    ---- ", IF(ABS(ROUND(100/J78*K78-100,1))&lt;999,ROUND(100/J78*K78-100,1),IF(ROUND(100/J78*K78-100,1)&gt;999,999,-999)))</f>
        <v>-22.1</v>
      </c>
      <c r="M78" s="27">
        <f>IFERROR(100/'Skjema total MA'!I78*K78,0)</f>
        <v>39.594049417650602</v>
      </c>
    </row>
    <row r="79" spans="1:14" x14ac:dyDescent="0.2">
      <c r="A79" s="38" t="s">
        <v>398</v>
      </c>
      <c r="B79" s="268"/>
      <c r="C79" s="269"/>
      <c r="D79" s="166"/>
      <c r="E79" s="23"/>
      <c r="F79" s="268">
        <v>2549847.8679999998</v>
      </c>
      <c r="G79" s="269">
        <v>2599318.8879999998</v>
      </c>
      <c r="H79" s="166">
        <f>IF(F79=0, "    ---- ", IF(ABS(ROUND(100/F79*G79-100,1))&lt;999,ROUND(100/F79*G79-100,1),IF(ROUND(100/F79*G79-100,1)&gt;999,999,-999)))</f>
        <v>1.9</v>
      </c>
      <c r="I79" s="23">
        <f>IFERROR(100/'Skjema total MA'!F79*G79,0)</f>
        <v>28.390361959889184</v>
      </c>
      <c r="J79" s="145">
        <f t="shared" si="11"/>
        <v>2549847.8679999998</v>
      </c>
      <c r="K79" s="44">
        <f t="shared" si="11"/>
        <v>2599318.8879999998</v>
      </c>
      <c r="L79" s="231">
        <f>IF(J79=0, "    ---- ", IF(ABS(ROUND(100/J79*K79-100,1))&lt;999,ROUND(100/J79*K79-100,1),IF(ROUND(100/J79*K79-100,1)&gt;999,999,-999)))</f>
        <v>1.9</v>
      </c>
      <c r="M79" s="27">
        <f>IFERROR(100/'Skjema total MA'!I79*K79,0)</f>
        <v>28.350157336699599</v>
      </c>
    </row>
    <row r="80" spans="1:14" ht="15.75" x14ac:dyDescent="0.2">
      <c r="A80" s="272" t="s">
        <v>356</v>
      </c>
      <c r="B80" s="295"/>
      <c r="C80" s="295"/>
      <c r="D80" s="166"/>
      <c r="E80" s="23"/>
      <c r="F80" s="295"/>
      <c r="G80" s="295"/>
      <c r="H80" s="166"/>
      <c r="I80" s="23"/>
      <c r="J80" s="295"/>
      <c r="K80" s="295"/>
      <c r="L80" s="166"/>
      <c r="M80" s="23"/>
    </row>
    <row r="81" spans="1:13" x14ac:dyDescent="0.2">
      <c r="A81" s="272" t="s">
        <v>12</v>
      </c>
      <c r="B81" s="295"/>
      <c r="C81" s="295"/>
      <c r="D81" s="166"/>
      <c r="E81" s="23"/>
      <c r="F81" s="270"/>
      <c r="G81" s="271"/>
      <c r="H81" s="166"/>
      <c r="I81" s="23"/>
      <c r="J81" s="270"/>
      <c r="K81" s="271"/>
      <c r="L81" s="166"/>
      <c r="M81" s="23"/>
    </row>
    <row r="82" spans="1:13" x14ac:dyDescent="0.2">
      <c r="A82" s="272" t="s">
        <v>13</v>
      </c>
      <c r="B82" s="295"/>
      <c r="C82" s="295"/>
      <c r="D82" s="166"/>
      <c r="E82" s="23"/>
      <c r="F82" s="212"/>
      <c r="G82" s="266"/>
      <c r="H82" s="166"/>
      <c r="I82" s="23"/>
      <c r="J82" s="212"/>
      <c r="K82" s="266"/>
      <c r="L82" s="166"/>
      <c r="M82" s="23"/>
    </row>
    <row r="83" spans="1:13" ht="15.75" x14ac:dyDescent="0.2">
      <c r="A83" s="272" t="s">
        <v>357</v>
      </c>
      <c r="B83" s="295"/>
      <c r="C83" s="295"/>
      <c r="D83" s="166"/>
      <c r="E83" s="23"/>
      <c r="F83" s="295"/>
      <c r="G83" s="295"/>
      <c r="H83" s="166"/>
      <c r="I83" s="23"/>
      <c r="J83" s="295"/>
      <c r="K83" s="295"/>
      <c r="L83" s="166"/>
      <c r="M83" s="23"/>
    </row>
    <row r="84" spans="1:13" x14ac:dyDescent="0.2">
      <c r="A84" s="272" t="s">
        <v>12</v>
      </c>
      <c r="B84" s="212"/>
      <c r="C84" s="266"/>
      <c r="D84" s="166"/>
      <c r="E84" s="23"/>
      <c r="F84" s="212"/>
      <c r="G84" s="266"/>
      <c r="H84" s="166"/>
      <c r="I84" s="23"/>
      <c r="J84" s="212"/>
      <c r="K84" s="266"/>
      <c r="L84" s="166"/>
      <c r="M84" s="23"/>
    </row>
    <row r="85" spans="1:13" x14ac:dyDescent="0.2">
      <c r="A85" s="272" t="s">
        <v>13</v>
      </c>
      <c r="B85" s="212"/>
      <c r="C85" s="266"/>
      <c r="D85" s="166"/>
      <c r="E85" s="23"/>
      <c r="F85" s="212"/>
      <c r="G85" s="266"/>
      <c r="H85" s="166"/>
      <c r="I85" s="23"/>
      <c r="J85" s="212"/>
      <c r="K85" s="266"/>
      <c r="L85" s="166"/>
      <c r="M85" s="23"/>
    </row>
    <row r="86" spans="1:13" ht="15.75" x14ac:dyDescent="0.2">
      <c r="A86" s="21" t="s">
        <v>359</v>
      </c>
      <c r="B86" s="211">
        <v>61654.748</v>
      </c>
      <c r="C86" s="145">
        <v>56457.330999999998</v>
      </c>
      <c r="D86" s="166">
        <f>IF(B86=0, "    ---- ", IF(ABS(ROUND(100/B86*C86-100,1))&lt;999,ROUND(100/B86*C86-100,1),IF(ROUND(100/B86*C86-100,1)&gt;999,999,-999)))</f>
        <v>-8.4</v>
      </c>
      <c r="E86" s="23">
        <f>IFERROR(100/'Skjema total MA'!C86*C86,0)</f>
        <v>62.22564931362998</v>
      </c>
      <c r="F86" s="211"/>
      <c r="G86" s="145"/>
      <c r="H86" s="166"/>
      <c r="I86" s="23"/>
      <c r="J86" s="145">
        <f t="shared" ref="J86:K89" si="12">SUM(B86,F86)</f>
        <v>61654.748</v>
      </c>
      <c r="K86" s="44">
        <f t="shared" si="12"/>
        <v>56457.330999999998</v>
      </c>
      <c r="L86" s="231">
        <f>IF(J86=0, "    ---- ", IF(ABS(ROUND(100/J86*K86-100,1))&lt;999,ROUND(100/J86*K86-100,1),IF(ROUND(100/J86*K86-100,1)&gt;999,999,-999)))</f>
        <v>-8.4</v>
      </c>
      <c r="M86" s="27">
        <f>IFERROR(100/'Skjema total MA'!I86*K86,0)</f>
        <v>60.230274647838321</v>
      </c>
    </row>
    <row r="87" spans="1:13" ht="15.75" x14ac:dyDescent="0.2">
      <c r="A87" s="13" t="s">
        <v>341</v>
      </c>
      <c r="B87" s="329">
        <v>165421770.93100002</v>
      </c>
      <c r="C87" s="329">
        <v>167482590.625</v>
      </c>
      <c r="D87" s="171">
        <f>IF(B87=0, "    ---- ", IF(ABS(ROUND(100/B87*C87-100,1))&lt;999,ROUND(100/B87*C87-100,1),IF(ROUND(100/B87*C87-100,1)&gt;999,999,-999)))</f>
        <v>1.2</v>
      </c>
      <c r="E87" s="24">
        <f>IFERROR(100/'Skjema total MA'!C87*C87,0)</f>
        <v>41.978789108893082</v>
      </c>
      <c r="F87" s="328">
        <v>93862584.553000003</v>
      </c>
      <c r="G87" s="328">
        <v>128614410.741</v>
      </c>
      <c r="H87" s="171">
        <f>IF(F87=0, "    ---- ", IF(ABS(ROUND(100/F87*G87-100,1))&lt;999,ROUND(100/F87*G87-100,1),IF(ROUND(100/F87*G87-100,1)&gt;999,999,-999)))</f>
        <v>37</v>
      </c>
      <c r="I87" s="24">
        <f>IFERROR(100/'Skjema total MA'!F87*G87,0)</f>
        <v>32.678953407281568</v>
      </c>
      <c r="J87" s="159">
        <f t="shared" si="12"/>
        <v>259284355.48400003</v>
      </c>
      <c r="K87" s="213">
        <f t="shared" si="12"/>
        <v>296097001.366</v>
      </c>
      <c r="L87" s="402">
        <f>IF(J87=0, "    ---- ", IF(ABS(ROUND(100/J87*K87-100,1))&lt;999,ROUND(100/J87*K87-100,1),IF(ROUND(100/J87*K87-100,1)&gt;999,999,-999)))</f>
        <v>14.2</v>
      </c>
      <c r="M87" s="11">
        <f>IFERROR(100/'Skjema total MA'!I87*K87,0)</f>
        <v>37.360553726193714</v>
      </c>
    </row>
    <row r="88" spans="1:13" x14ac:dyDescent="0.2">
      <c r="A88" s="21" t="s">
        <v>9</v>
      </c>
      <c r="B88" s="211">
        <v>159895163.19319999</v>
      </c>
      <c r="C88" s="145">
        <v>161060692.69100001</v>
      </c>
      <c r="D88" s="166">
        <f>IF(B88=0, "    ---- ", IF(ABS(ROUND(100/B88*C88-100,1))&lt;999,ROUND(100/B88*C88-100,1),IF(ROUND(100/B88*C88-100,1)&gt;999,999,-999)))</f>
        <v>0.7</v>
      </c>
      <c r="E88" s="23">
        <f>IFERROR(100/'Skjema total MA'!C88*C88,0)</f>
        <v>41.668321212310715</v>
      </c>
      <c r="F88" s="211"/>
      <c r="G88" s="145"/>
      <c r="H88" s="166"/>
      <c r="I88" s="23"/>
      <c r="J88" s="145">
        <f t="shared" si="12"/>
        <v>159895163.19319999</v>
      </c>
      <c r="K88" s="44">
        <f t="shared" si="12"/>
        <v>161060692.69100001</v>
      </c>
      <c r="L88" s="231">
        <f>IF(J88=0, "    ---- ", IF(ABS(ROUND(100/J88*K88-100,1))&lt;999,ROUND(100/J88*K88-100,1),IF(ROUND(100/J88*K88-100,1)&gt;999,999,-999)))</f>
        <v>0.7</v>
      </c>
      <c r="M88" s="27">
        <f>IFERROR(100/'Skjema total MA'!I88*K88,0)</f>
        <v>41.668321212310715</v>
      </c>
    </row>
    <row r="89" spans="1:13" x14ac:dyDescent="0.2">
      <c r="A89" s="21" t="s">
        <v>10</v>
      </c>
      <c r="B89" s="211">
        <v>49050.618799999997</v>
      </c>
      <c r="C89" s="145">
        <v>48900.970999999998</v>
      </c>
      <c r="D89" s="166">
        <f>IF(B89=0, "    ---- ", IF(ABS(ROUND(100/B89*C89-100,1))&lt;999,ROUND(100/B89*C89-100,1),IF(ROUND(100/B89*C89-100,1)&gt;999,999,-999)))</f>
        <v>-0.3</v>
      </c>
      <c r="E89" s="23">
        <f>IFERROR(100/'Skjema total MA'!C89*C89,0)</f>
        <v>1.6000718198962638</v>
      </c>
      <c r="F89" s="211">
        <v>93047160.112000003</v>
      </c>
      <c r="G89" s="145">
        <v>126434193.712</v>
      </c>
      <c r="H89" s="166">
        <f>IF(F89=0, "    ---- ", IF(ABS(ROUND(100/F89*G89-100,1))&lt;999,ROUND(100/F89*G89-100,1),IF(ROUND(100/F89*G89-100,1)&gt;999,999,-999)))</f>
        <v>35.9</v>
      </c>
      <c r="I89" s="23">
        <f>IFERROR(100/'Skjema total MA'!F89*G89,0)</f>
        <v>32.420850581024638</v>
      </c>
      <c r="J89" s="145">
        <f t="shared" si="12"/>
        <v>93096210.730800003</v>
      </c>
      <c r="K89" s="44">
        <f t="shared" si="12"/>
        <v>126483094.683</v>
      </c>
      <c r="L89" s="231">
        <f>IF(J89=0, "    ---- ", IF(ABS(ROUND(100/J89*K89-100,1))&lt;999,ROUND(100/J89*K89-100,1),IF(ROUND(100/J89*K89-100,1)&gt;999,999,-999)))</f>
        <v>35.9</v>
      </c>
      <c r="M89" s="27">
        <f>IFERROR(100/'Skjema total MA'!I89*K89,0)</f>
        <v>32.181192945413947</v>
      </c>
    </row>
    <row r="90" spans="1:13" ht="15.75" x14ac:dyDescent="0.2">
      <c r="A90" s="272" t="s">
        <v>356</v>
      </c>
      <c r="B90" s="295"/>
      <c r="C90" s="295"/>
      <c r="D90" s="166"/>
      <c r="E90" s="23"/>
      <c r="F90" s="295"/>
      <c r="G90" s="295"/>
      <c r="H90" s="166"/>
      <c r="I90" s="23"/>
      <c r="J90" s="295"/>
      <c r="K90" s="295"/>
      <c r="L90" s="166"/>
      <c r="M90" s="23"/>
    </row>
    <row r="91" spans="1:13" x14ac:dyDescent="0.2">
      <c r="A91" s="272" t="s">
        <v>12</v>
      </c>
      <c r="B91" s="295"/>
      <c r="C91" s="295"/>
      <c r="D91" s="166"/>
      <c r="E91" s="23"/>
      <c r="F91" s="270"/>
      <c r="G91" s="271"/>
      <c r="H91" s="166"/>
      <c r="I91" s="23"/>
      <c r="J91" s="270"/>
      <c r="K91" s="271"/>
      <c r="L91" s="166"/>
      <c r="M91" s="23"/>
    </row>
    <row r="92" spans="1:13" x14ac:dyDescent="0.2">
      <c r="A92" s="272" t="s">
        <v>13</v>
      </c>
      <c r="B92" s="295"/>
      <c r="C92" s="295"/>
      <c r="D92" s="166"/>
      <c r="E92" s="23"/>
      <c r="F92" s="212"/>
      <c r="G92" s="266"/>
      <c r="H92" s="166"/>
      <c r="I92" s="23"/>
      <c r="J92" s="212"/>
      <c r="K92" s="266"/>
      <c r="L92" s="166"/>
      <c r="M92" s="23"/>
    </row>
    <row r="93" spans="1:13" ht="15.75" x14ac:dyDescent="0.2">
      <c r="A93" s="272" t="s">
        <v>357</v>
      </c>
      <c r="B93" s="295"/>
      <c r="C93" s="295"/>
      <c r="D93" s="166"/>
      <c r="E93" s="23"/>
      <c r="F93" s="295"/>
      <c r="G93" s="295"/>
      <c r="H93" s="166"/>
      <c r="I93" s="23"/>
      <c r="J93" s="295"/>
      <c r="K93" s="295"/>
      <c r="L93" s="166"/>
      <c r="M93" s="23"/>
    </row>
    <row r="94" spans="1:13" x14ac:dyDescent="0.2">
      <c r="A94" s="272" t="s">
        <v>12</v>
      </c>
      <c r="B94" s="212"/>
      <c r="C94" s="266"/>
      <c r="D94" s="166"/>
      <c r="E94" s="23"/>
      <c r="F94" s="212"/>
      <c r="G94" s="266"/>
      <c r="H94" s="166"/>
      <c r="I94" s="23"/>
      <c r="J94" s="212"/>
      <c r="K94" s="266"/>
      <c r="L94" s="166"/>
      <c r="M94" s="23"/>
    </row>
    <row r="95" spans="1:13" x14ac:dyDescent="0.2">
      <c r="A95" s="272" t="s">
        <v>13</v>
      </c>
      <c r="B95" s="212"/>
      <c r="C95" s="266"/>
      <c r="D95" s="166"/>
      <c r="E95" s="23"/>
      <c r="F95" s="212"/>
      <c r="G95" s="266"/>
      <c r="H95" s="166"/>
      <c r="I95" s="23"/>
      <c r="J95" s="212"/>
      <c r="K95" s="266"/>
      <c r="L95" s="166"/>
      <c r="M95" s="23"/>
    </row>
    <row r="96" spans="1:13" x14ac:dyDescent="0.2">
      <c r="A96" s="21" t="s">
        <v>324</v>
      </c>
      <c r="B96" s="211">
        <v>284708.12400000001</v>
      </c>
      <c r="C96" s="145">
        <v>553646.44400000002</v>
      </c>
      <c r="D96" s="166">
        <f t="shared" ref="D96:D100" si="13">IF(B96=0, "    ---- ", IF(ABS(ROUND(100/B96*C96-100,1))&lt;999,ROUND(100/B96*C96-100,1),IF(ROUND(100/B96*C96-100,1)&gt;999,999,-999)))</f>
        <v>94.5</v>
      </c>
      <c r="E96" s="23">
        <f>IFERROR(100/'Skjema total MA'!C96*C96,0)</f>
        <v>24.405332684432015</v>
      </c>
      <c r="F96" s="211">
        <v>815424.44099999999</v>
      </c>
      <c r="G96" s="145">
        <v>2180217.0290000001</v>
      </c>
      <c r="H96" s="166">
        <f t="shared" ref="H96:H101" si="14">IF(F96=0, "    ---- ", IF(ABS(ROUND(100/F96*G96-100,1))&lt;999,ROUND(100/F96*G96-100,1),IF(ROUND(100/F96*G96-100,1)&gt;999,999,-999)))</f>
        <v>167.4</v>
      </c>
      <c r="I96" s="23">
        <f>IFERROR(100/'Skjema total MA'!F96*G96,0)</f>
        <v>60.704495944950473</v>
      </c>
      <c r="J96" s="145">
        <f t="shared" ref="J96:K101" si="15">SUM(B96,F96)</f>
        <v>1100132.5649999999</v>
      </c>
      <c r="K96" s="44">
        <f t="shared" si="15"/>
        <v>2733863.4730000002</v>
      </c>
      <c r="L96" s="231">
        <f t="shared" ref="L96:L101" si="16">IF(J96=0, "    ---- ", IF(ABS(ROUND(100/J96*K96-100,1))&lt;999,ROUND(100/J96*K96-100,1),IF(ROUND(100/J96*K96-100,1)&gt;999,999,-999)))</f>
        <v>148.5</v>
      </c>
      <c r="M96" s="27">
        <f>IFERROR(100/'Skjema total MA'!I96*K96,0)</f>
        <v>46.652388596685945</v>
      </c>
    </row>
    <row r="97" spans="1:15" x14ac:dyDescent="0.2">
      <c r="A97" s="21" t="s">
        <v>323</v>
      </c>
      <c r="B97" s="211">
        <v>5192848.9950000001</v>
      </c>
      <c r="C97" s="145">
        <v>5819350.5190000003</v>
      </c>
      <c r="D97" s="166">
        <f t="shared" si="13"/>
        <v>12.1</v>
      </c>
      <c r="E97" s="23">
        <f>IFERROR(100/'Skjema total MA'!C98*C97,0)</f>
        <v>1.5109697209140678</v>
      </c>
      <c r="F97" s="211"/>
      <c r="G97" s="145"/>
      <c r="H97" s="166"/>
      <c r="I97" s="23"/>
      <c r="J97" s="145">
        <f t="shared" si="15"/>
        <v>5192848.9950000001</v>
      </c>
      <c r="K97" s="44">
        <f t="shared" si="15"/>
        <v>5819350.5190000003</v>
      </c>
      <c r="L97" s="231">
        <f t="shared" si="16"/>
        <v>12.1</v>
      </c>
      <c r="M97" s="27">
        <f>IFERROR(100/'Skjema total MA'!I98*K97,0)</f>
        <v>0.7518154489394937</v>
      </c>
    </row>
    <row r="98" spans="1:15" ht="15.75" x14ac:dyDescent="0.2">
      <c r="A98" s="21" t="s">
        <v>358</v>
      </c>
      <c r="B98" s="211">
        <v>156670920.62100002</v>
      </c>
      <c r="C98" s="211">
        <v>157846369.146</v>
      </c>
      <c r="D98" s="166">
        <f t="shared" si="13"/>
        <v>0.8</v>
      </c>
      <c r="E98" s="23">
        <f>IFERROR(100/'Skjema total MA'!C98*C98,0)</f>
        <v>40.984141367173507</v>
      </c>
      <c r="F98" s="268">
        <v>93047160.112000003</v>
      </c>
      <c r="G98" s="268">
        <v>126434193.712</v>
      </c>
      <c r="H98" s="166">
        <f t="shared" si="14"/>
        <v>35.9</v>
      </c>
      <c r="I98" s="23">
        <f>IFERROR(100/'Skjema total MA'!F98*G98,0)</f>
        <v>32.51075035217724</v>
      </c>
      <c r="J98" s="145">
        <f t="shared" si="15"/>
        <v>249718080.73300004</v>
      </c>
      <c r="K98" s="44">
        <f t="shared" si="15"/>
        <v>284280562.85799998</v>
      </c>
      <c r="L98" s="231">
        <f t="shared" si="16"/>
        <v>13.8</v>
      </c>
      <c r="M98" s="27">
        <f>IFERROR(100/'Skjema total MA'!I98*K98,0)</f>
        <v>36.726868108743183</v>
      </c>
    </row>
    <row r="99" spans="1:15" x14ac:dyDescent="0.2">
      <c r="A99" s="21" t="s">
        <v>9</v>
      </c>
      <c r="B99" s="268">
        <v>156621870.00220001</v>
      </c>
      <c r="C99" s="269">
        <v>157797468.17500001</v>
      </c>
      <c r="D99" s="166">
        <f t="shared" si="13"/>
        <v>0.8</v>
      </c>
      <c r="E99" s="23">
        <f>IFERROR(100/'Skjema total MA'!C99*C99,0)</f>
        <v>41.29916258838383</v>
      </c>
      <c r="F99" s="211"/>
      <c r="G99" s="145"/>
      <c r="H99" s="166"/>
      <c r="I99" s="23"/>
      <c r="J99" s="145">
        <f t="shared" si="15"/>
        <v>156621870.00220001</v>
      </c>
      <c r="K99" s="44">
        <f t="shared" si="15"/>
        <v>157797468.17500001</v>
      </c>
      <c r="L99" s="231">
        <f t="shared" si="16"/>
        <v>0.8</v>
      </c>
      <c r="M99" s="27">
        <f>IFERROR(100/'Skjema total MA'!I99*K99,0)</f>
        <v>41.29916258838383</v>
      </c>
    </row>
    <row r="100" spans="1:15" ht="15.75" x14ac:dyDescent="0.2">
      <c r="A100" s="38" t="s">
        <v>399</v>
      </c>
      <c r="B100" s="268">
        <v>49050.618799999997</v>
      </c>
      <c r="C100" s="269">
        <v>48900.970999999998</v>
      </c>
      <c r="D100" s="166">
        <f t="shared" si="13"/>
        <v>-0.3</v>
      </c>
      <c r="E100" s="23">
        <f>IFERROR(100/'Skjema total MA'!C100*C100,0)</f>
        <v>1.6000718198962638</v>
      </c>
      <c r="F100" s="211">
        <v>93047160.112000003</v>
      </c>
      <c r="G100" s="211">
        <v>126434193.712</v>
      </c>
      <c r="H100" s="166">
        <f t="shared" si="14"/>
        <v>35.9</v>
      </c>
      <c r="I100" s="23">
        <f>IFERROR(100/'Skjema total MA'!F100*G100,0)</f>
        <v>32.51075035217724</v>
      </c>
      <c r="J100" s="145">
        <f t="shared" si="15"/>
        <v>93096210.730800003</v>
      </c>
      <c r="K100" s="44">
        <f t="shared" si="15"/>
        <v>126483094.683</v>
      </c>
      <c r="L100" s="231">
        <f t="shared" si="16"/>
        <v>35.9</v>
      </c>
      <c r="M100" s="27">
        <f>IFERROR(100/'Skjema total MA'!I100*K100,0)</f>
        <v>32.269732381510991</v>
      </c>
    </row>
    <row r="101" spans="1:15" ht="15.75" x14ac:dyDescent="0.2">
      <c r="A101" s="38" t="s">
        <v>400</v>
      </c>
      <c r="B101" s="268"/>
      <c r="C101" s="268"/>
      <c r="D101" s="166"/>
      <c r="E101" s="23"/>
      <c r="F101" s="268"/>
      <c r="G101" s="268">
        <v>420900</v>
      </c>
      <c r="H101" s="166" t="str">
        <f t="shared" si="14"/>
        <v xml:space="preserve">    ---- </v>
      </c>
      <c r="I101" s="23">
        <f>IFERROR(100/'Skjema total MA'!G102*G101,0)</f>
        <v>0</v>
      </c>
      <c r="J101" s="145"/>
      <c r="K101" s="44">
        <f t="shared" si="15"/>
        <v>420900</v>
      </c>
      <c r="L101" s="231" t="str">
        <f t="shared" si="16"/>
        <v xml:space="preserve">    ---- </v>
      </c>
      <c r="M101" s="27">
        <f>IFERROR(100/'Skjema total MA'!I102*K101,0)</f>
        <v>0</v>
      </c>
    </row>
    <row r="102" spans="1:15" ht="15.75" x14ac:dyDescent="0.2">
      <c r="A102" s="272" t="s">
        <v>356</v>
      </c>
      <c r="B102" s="295"/>
      <c r="C102" s="295"/>
      <c r="D102" s="166"/>
      <c r="E102" s="23"/>
      <c r="F102" s="295"/>
      <c r="G102" s="295"/>
      <c r="H102" s="166"/>
      <c r="I102" s="23"/>
      <c r="J102" s="295"/>
      <c r="K102" s="295"/>
      <c r="L102" s="166"/>
      <c r="M102" s="23"/>
    </row>
    <row r="103" spans="1:15" x14ac:dyDescent="0.2">
      <c r="A103" s="272" t="s">
        <v>12</v>
      </c>
      <c r="B103" s="295"/>
      <c r="C103" s="295"/>
      <c r="D103" s="166"/>
      <c r="E103" s="23"/>
      <c r="F103" s="270"/>
      <c r="G103" s="271"/>
      <c r="H103" s="166"/>
      <c r="I103" s="23"/>
      <c r="J103" s="270"/>
      <c r="K103" s="271"/>
      <c r="L103" s="166"/>
      <c r="M103" s="23"/>
    </row>
    <row r="104" spans="1:15" x14ac:dyDescent="0.2">
      <c r="A104" s="272" t="s">
        <v>13</v>
      </c>
      <c r="B104" s="295"/>
      <c r="C104" s="295"/>
      <c r="D104" s="166"/>
      <c r="E104" s="23"/>
      <c r="F104" s="212"/>
      <c r="G104" s="266"/>
      <c r="H104" s="166"/>
      <c r="I104" s="23"/>
      <c r="J104" s="212"/>
      <c r="K104" s="266"/>
      <c r="L104" s="166"/>
      <c r="M104" s="23"/>
    </row>
    <row r="105" spans="1:15" ht="15.75" x14ac:dyDescent="0.2">
      <c r="A105" s="272" t="s">
        <v>357</v>
      </c>
      <c r="B105" s="295"/>
      <c r="C105" s="295"/>
      <c r="D105" s="166"/>
      <c r="E105" s="23"/>
      <c r="F105" s="295"/>
      <c r="G105" s="295"/>
      <c r="H105" s="166"/>
      <c r="I105" s="23"/>
      <c r="J105" s="295"/>
      <c r="K105" s="295"/>
      <c r="L105" s="166"/>
      <c r="M105" s="23"/>
    </row>
    <row r="106" spans="1:15" x14ac:dyDescent="0.2">
      <c r="A106" s="272" t="s">
        <v>12</v>
      </c>
      <c r="B106" s="212"/>
      <c r="C106" s="266"/>
      <c r="D106" s="166"/>
      <c r="E106" s="23"/>
      <c r="F106" s="212"/>
      <c r="G106" s="266"/>
      <c r="H106" s="166"/>
      <c r="I106" s="23"/>
      <c r="J106" s="212"/>
      <c r="K106" s="266"/>
      <c r="L106" s="166"/>
      <c r="M106" s="23"/>
    </row>
    <row r="107" spans="1:15" x14ac:dyDescent="0.2">
      <c r="A107" s="272" t="s">
        <v>13</v>
      </c>
      <c r="B107" s="212"/>
      <c r="C107" s="266"/>
      <c r="D107" s="166"/>
      <c r="E107" s="23"/>
      <c r="F107" s="212"/>
      <c r="G107" s="266"/>
      <c r="H107" s="166"/>
      <c r="I107" s="23"/>
      <c r="J107" s="212"/>
      <c r="K107" s="266"/>
      <c r="L107" s="166"/>
      <c r="M107" s="23"/>
    </row>
    <row r="108" spans="1:15" ht="15.75" x14ac:dyDescent="0.2">
      <c r="A108" s="21" t="s">
        <v>359</v>
      </c>
      <c r="B108" s="211">
        <v>3273293.1910000001</v>
      </c>
      <c r="C108" s="145">
        <v>3263224.5159999998</v>
      </c>
      <c r="D108" s="166">
        <f t="shared" ref="D108:D112" si="17">IF(B108=0, "    ---- ", IF(ABS(ROUND(100/B108*C108-100,1))&lt;999,ROUND(100/B108*C108-100,1),IF(ROUND(100/B108*C108-100,1)&gt;999,999,-999)))</f>
        <v>-0.3</v>
      </c>
      <c r="E108" s="23">
        <f>IFERROR(100/'Skjema total MA'!C108*C108,0)</f>
        <v>73.390713999038212</v>
      </c>
      <c r="F108" s="211"/>
      <c r="G108" s="145"/>
      <c r="H108" s="166"/>
      <c r="I108" s="23"/>
      <c r="J108" s="145">
        <f t="shared" ref="J108:K112" si="18">SUM(B108,F108)</f>
        <v>3273293.1910000001</v>
      </c>
      <c r="K108" s="44">
        <f t="shared" si="18"/>
        <v>3263224.5159999998</v>
      </c>
      <c r="L108" s="231">
        <f t="shared" ref="L108:L112" si="19">IF(J108=0, "    ---- ", IF(ABS(ROUND(100/J108*K108-100,1))&lt;999,ROUND(100/J108*K108-100,1),IF(ROUND(100/J108*K108-100,1)&gt;999,999,-999)))</f>
        <v>-0.3</v>
      </c>
      <c r="M108" s="27">
        <f>IFERROR(100/'Skjema total MA'!I108*K108,0)</f>
        <v>59.065535685925475</v>
      </c>
    </row>
    <row r="109" spans="1:15" ht="15.75" x14ac:dyDescent="0.2">
      <c r="A109" s="21" t="s">
        <v>360</v>
      </c>
      <c r="B109" s="211">
        <v>137209616.09900001</v>
      </c>
      <c r="C109" s="211">
        <v>139568740.77200001</v>
      </c>
      <c r="D109" s="166">
        <f t="shared" si="17"/>
        <v>1.7</v>
      </c>
      <c r="E109" s="23">
        <f>IFERROR(100/'Skjema total MA'!C109*C109,0)</f>
        <v>42.27544265070344</v>
      </c>
      <c r="F109" s="211">
        <v>14521013.328</v>
      </c>
      <c r="G109" s="211">
        <v>18464340.182</v>
      </c>
      <c r="H109" s="166">
        <f t="shared" ref="H109:H112" si="20">IF(F109=0, "    ---- ", IF(ABS(ROUND(100/F109*G109-100,1))&lt;999,ROUND(100/F109*G109-100,1),IF(ROUND(100/F109*G109-100,1)&gt;999,999,-999)))</f>
        <v>27.2</v>
      </c>
      <c r="I109" s="23">
        <f>IFERROR(100/'Skjema total MA'!F109*G109,0)</f>
        <v>94.950252840025314</v>
      </c>
      <c r="J109" s="145">
        <f t="shared" si="18"/>
        <v>151730629.42700002</v>
      </c>
      <c r="K109" s="44">
        <f t="shared" si="18"/>
        <v>158033080.95400003</v>
      </c>
      <c r="L109" s="231">
        <f t="shared" si="19"/>
        <v>4.2</v>
      </c>
      <c r="M109" s="27">
        <f>IFERROR(100/'Skjema total MA'!I109*K109,0)</f>
        <v>45.205556243451184</v>
      </c>
    </row>
    <row r="110" spans="1:15" ht="15.75" x14ac:dyDescent="0.2">
      <c r="A110" s="38" t="s">
        <v>416</v>
      </c>
      <c r="B110" s="211">
        <v>0</v>
      </c>
      <c r="C110" s="211">
        <v>314973</v>
      </c>
      <c r="D110" s="166" t="str">
        <f t="shared" si="17"/>
        <v xml:space="preserve">    ---- </v>
      </c>
      <c r="E110" s="23">
        <f>IFERROR(100/'Skjema total MA'!C110*C110,0)</f>
        <v>19.745298903095126</v>
      </c>
      <c r="F110" s="211">
        <v>28753171.041999999</v>
      </c>
      <c r="G110" s="211">
        <v>39136566</v>
      </c>
      <c r="H110" s="166">
        <f t="shared" si="20"/>
        <v>36.1</v>
      </c>
      <c r="I110" s="23">
        <f>IFERROR(100/'Skjema total MA'!F110*G110,0)</f>
        <v>28.933140323556817</v>
      </c>
      <c r="J110" s="145">
        <f t="shared" si="18"/>
        <v>28753171.041999999</v>
      </c>
      <c r="K110" s="44">
        <f t="shared" si="18"/>
        <v>39451539</v>
      </c>
      <c r="L110" s="231">
        <f t="shared" si="19"/>
        <v>37.200000000000003</v>
      </c>
      <c r="M110" s="27">
        <f>IFERROR(100/'Skjema total MA'!I110*K110,0)</f>
        <v>28.826051459153675</v>
      </c>
      <c r="O110" s="3"/>
    </row>
    <row r="111" spans="1:15" ht="15.75" x14ac:dyDescent="0.2">
      <c r="A111" s="21" t="s">
        <v>362</v>
      </c>
      <c r="B111" s="211">
        <v>98024.898000000001</v>
      </c>
      <c r="C111" s="211">
        <v>175377.3</v>
      </c>
      <c r="D111" s="166">
        <f t="shared" si="17"/>
        <v>78.900000000000006</v>
      </c>
      <c r="E111" s="23">
        <f>IFERROR(100/'Skjema total MA'!C111*C111,0)</f>
        <v>32.338817442690853</v>
      </c>
      <c r="F111" s="211"/>
      <c r="G111" s="211"/>
      <c r="H111" s="166"/>
      <c r="I111" s="23"/>
      <c r="J111" s="145">
        <f t="shared" si="18"/>
        <v>98024.898000000001</v>
      </c>
      <c r="K111" s="44">
        <f t="shared" si="18"/>
        <v>175377.3</v>
      </c>
      <c r="L111" s="231">
        <f t="shared" si="19"/>
        <v>78.900000000000006</v>
      </c>
      <c r="M111" s="27">
        <f>IFERROR(100/'Skjema total MA'!I111*K111,0)</f>
        <v>32.338817442690853</v>
      </c>
    </row>
    <row r="112" spans="1:15" ht="15.75" x14ac:dyDescent="0.2">
      <c r="A112" s="13" t="s">
        <v>342</v>
      </c>
      <c r="B112" s="284">
        <v>316206.701</v>
      </c>
      <c r="C112" s="159">
        <v>58863.911999999997</v>
      </c>
      <c r="D112" s="171">
        <f t="shared" si="17"/>
        <v>-81.400000000000006</v>
      </c>
      <c r="E112" s="24">
        <f>IFERROR(100/'Skjema total MA'!C112*C112,0)</f>
        <v>8.8009557722240306</v>
      </c>
      <c r="F112" s="284">
        <v>4293315.9129999997</v>
      </c>
      <c r="G112" s="159">
        <v>1183452.9030000002</v>
      </c>
      <c r="H112" s="171">
        <f t="shared" si="20"/>
        <v>-72.400000000000006</v>
      </c>
      <c r="I112" s="24">
        <f>IFERROR(100/'Skjema total MA'!F112*G112,0)</f>
        <v>12.280946798327763</v>
      </c>
      <c r="J112" s="159">
        <f t="shared" si="18"/>
        <v>4609522.6140000001</v>
      </c>
      <c r="K112" s="213">
        <f t="shared" si="18"/>
        <v>1242316.8150000002</v>
      </c>
      <c r="L112" s="402">
        <f t="shared" si="19"/>
        <v>-73</v>
      </c>
      <c r="M112" s="11">
        <f>IFERROR(100/'Skjema total MA'!I112*K112,0)</f>
        <v>12.055088809109511</v>
      </c>
    </row>
    <row r="113" spans="1:14" x14ac:dyDescent="0.2">
      <c r="A113" s="21" t="s">
        <v>9</v>
      </c>
      <c r="B113" s="211">
        <v>-147.79400000000001</v>
      </c>
      <c r="C113" s="145">
        <v>1524.702</v>
      </c>
      <c r="D113" s="166">
        <f t="shared" ref="D113:D126" si="21">IF(B113=0, "    ---- ", IF(ABS(ROUND(100/B113*C113-100,1))&lt;999,ROUND(100/B113*C113-100,1),IF(ROUND(100/B113*C113-100,1)&gt;999,999,-999)))</f>
        <v>-999</v>
      </c>
      <c r="E113" s="23">
        <f>IFERROR(100/'Skjema total MA'!C113*C113,0)</f>
        <v>0.25093755720711397</v>
      </c>
      <c r="F113" s="211">
        <v>3509.7950000000001</v>
      </c>
      <c r="G113" s="145">
        <v>10108.107</v>
      </c>
      <c r="H113" s="166">
        <f t="shared" ref="H113:H126" si="22">IF(F113=0, "    ---- ", IF(ABS(ROUND(100/F113*G113-100,1))&lt;999,ROUND(100/F113*G113-100,1),IF(ROUND(100/F113*G113-100,1)&gt;999,999,-999)))</f>
        <v>188</v>
      </c>
      <c r="I113" s="23">
        <f>IFERROR(100/'Skjema total MA'!F113*G113,0)</f>
        <v>100</v>
      </c>
      <c r="J113" s="145">
        <f t="shared" ref="J113:K126" si="23">SUM(B113,F113)</f>
        <v>3362.0010000000002</v>
      </c>
      <c r="K113" s="44">
        <f t="shared" si="23"/>
        <v>11632.808999999999</v>
      </c>
      <c r="L113" s="231">
        <f t="shared" ref="L113:L126" si="24">IF(J113=0, "    ---- ", IF(ABS(ROUND(100/J113*K113-100,1))&lt;999,ROUND(100/J113*K113-100,1),IF(ROUND(100/J113*K113-100,1)&gt;999,999,-999)))</f>
        <v>246</v>
      </c>
      <c r="M113" s="27">
        <f>IFERROR(100/'Skjema total MA'!I113*K113,0)</f>
        <v>1.883214470498116</v>
      </c>
    </row>
    <row r="114" spans="1:14" x14ac:dyDescent="0.2">
      <c r="A114" s="21" t="s">
        <v>10</v>
      </c>
      <c r="B114" s="211"/>
      <c r="C114" s="145"/>
      <c r="D114" s="166"/>
      <c r="E114" s="23"/>
      <c r="F114" s="211">
        <v>4221803.5829999996</v>
      </c>
      <c r="G114" s="145">
        <v>1173344.7960000001</v>
      </c>
      <c r="H114" s="166">
        <f t="shared" si="22"/>
        <v>-72.2</v>
      </c>
      <c r="I114" s="23">
        <f>IFERROR(100/'Skjema total MA'!F114*G114,0)</f>
        <v>12.188838146718808</v>
      </c>
      <c r="J114" s="145">
        <f t="shared" si="23"/>
        <v>4221803.5829999996</v>
      </c>
      <c r="K114" s="44">
        <f t="shared" si="23"/>
        <v>1173344.7960000001</v>
      </c>
      <c r="L114" s="231">
        <f t="shared" si="24"/>
        <v>-72.2</v>
      </c>
      <c r="M114" s="27">
        <f>IFERROR(100/'Skjema total MA'!I114*K114,0)</f>
        <v>12.18858216834691</v>
      </c>
    </row>
    <row r="115" spans="1:14" x14ac:dyDescent="0.2">
      <c r="A115" s="21" t="s">
        <v>26</v>
      </c>
      <c r="B115" s="211">
        <v>316354.495</v>
      </c>
      <c r="C115" s="145">
        <v>57339.21</v>
      </c>
      <c r="D115" s="166">
        <f t="shared" si="21"/>
        <v>-81.900000000000006</v>
      </c>
      <c r="E115" s="23">
        <f>IFERROR(100/'Skjema total MA'!C115*C115,0)</f>
        <v>93.950763830077932</v>
      </c>
      <c r="F115" s="211">
        <v>68002.535000000003</v>
      </c>
      <c r="G115" s="145">
        <v>0</v>
      </c>
      <c r="H115" s="166">
        <f t="shared" si="22"/>
        <v>-100</v>
      </c>
      <c r="I115" s="23">
        <f>IFERROR(100/'Skjema total MA'!F115*G115,0)</f>
        <v>0</v>
      </c>
      <c r="J115" s="145">
        <f t="shared" si="23"/>
        <v>384357.03</v>
      </c>
      <c r="K115" s="44">
        <f t="shared" si="23"/>
        <v>57339.21</v>
      </c>
      <c r="L115" s="231">
        <f t="shared" si="24"/>
        <v>-85.1</v>
      </c>
      <c r="M115" s="27">
        <f>IFERROR(100/'Skjema total MA'!I115*K115,0)</f>
        <v>93.950763830077932</v>
      </c>
    </row>
    <row r="116" spans="1:14" x14ac:dyDescent="0.2">
      <c r="A116" s="272" t="s">
        <v>15</v>
      </c>
      <c r="B116" s="258"/>
      <c r="C116" s="258"/>
      <c r="D116" s="166"/>
      <c r="E116" s="23"/>
      <c r="F116" s="665"/>
      <c r="G116" s="258"/>
      <c r="H116" s="166"/>
      <c r="I116" s="23"/>
      <c r="J116" s="667"/>
      <c r="K116" s="267"/>
      <c r="L116" s="166"/>
      <c r="M116" s="23"/>
    </row>
    <row r="117" spans="1:14" ht="15.75" x14ac:dyDescent="0.2">
      <c r="A117" s="21" t="s">
        <v>363</v>
      </c>
      <c r="B117" s="211">
        <v>1105.327</v>
      </c>
      <c r="C117" s="211">
        <v>241.67599999999999</v>
      </c>
      <c r="D117" s="166">
        <f t="shared" si="21"/>
        <v>-78.099999999999994</v>
      </c>
      <c r="E117" s="23">
        <f>IFERROR(100/'Skjema total MA'!C117*C117,0)</f>
        <v>0.56023369301138803</v>
      </c>
      <c r="F117" s="211">
        <v>3509.7950000000001</v>
      </c>
      <c r="G117" s="211">
        <v>10108.107</v>
      </c>
      <c r="H117" s="166">
        <f t="shared" si="22"/>
        <v>188</v>
      </c>
      <c r="I117" s="23">
        <f>IFERROR(100/'Skjema total MA'!F117*G117,0)</f>
        <v>100</v>
      </c>
      <c r="J117" s="145">
        <f t="shared" si="23"/>
        <v>4615.1220000000003</v>
      </c>
      <c r="K117" s="44">
        <f t="shared" si="23"/>
        <v>10349.782999999999</v>
      </c>
      <c r="L117" s="231">
        <f t="shared" si="24"/>
        <v>124.3</v>
      </c>
      <c r="M117" s="27">
        <f>IFERROR(100/'Skjema total MA'!I117*K117,0)</f>
        <v>19.437477551684193</v>
      </c>
    </row>
    <row r="118" spans="1:14" ht="15.75" x14ac:dyDescent="0.2">
      <c r="A118" s="21" t="s">
        <v>364</v>
      </c>
      <c r="B118" s="211"/>
      <c r="C118" s="211"/>
      <c r="D118" s="166"/>
      <c r="E118" s="23"/>
      <c r="F118" s="211">
        <v>299527.14399999997</v>
      </c>
      <c r="G118" s="211">
        <v>167367.742</v>
      </c>
      <c r="H118" s="166">
        <f t="shared" si="22"/>
        <v>-44.1</v>
      </c>
      <c r="I118" s="23">
        <f>IFERROR(100/'Skjema total MA'!F118*G118,0)</f>
        <v>17.943580673852573</v>
      </c>
      <c r="J118" s="145">
        <f t="shared" si="23"/>
        <v>299527.14399999997</v>
      </c>
      <c r="K118" s="44">
        <f t="shared" si="23"/>
        <v>167367.742</v>
      </c>
      <c r="L118" s="231">
        <f t="shared" si="24"/>
        <v>-44.1</v>
      </c>
      <c r="M118" s="27">
        <f>IFERROR(100/'Skjema total MA'!I118*K118,0)</f>
        <v>17.943580673852573</v>
      </c>
    </row>
    <row r="119" spans="1:14" ht="15.75" x14ac:dyDescent="0.2">
      <c r="A119" s="21" t="s">
        <v>362</v>
      </c>
      <c r="B119" s="211"/>
      <c r="C119" s="211"/>
      <c r="D119" s="166"/>
      <c r="E119" s="23"/>
      <c r="F119" s="211"/>
      <c r="G119" s="211"/>
      <c r="H119" s="166"/>
      <c r="I119" s="23"/>
      <c r="J119" s="145"/>
      <c r="K119" s="44"/>
      <c r="L119" s="231"/>
      <c r="M119" s="27"/>
    </row>
    <row r="120" spans="1:14" ht="15.75" x14ac:dyDescent="0.2">
      <c r="A120" s="13" t="s">
        <v>343</v>
      </c>
      <c r="B120" s="284">
        <v>56514.481999999996</v>
      </c>
      <c r="C120" s="159">
        <v>51516.316999999995</v>
      </c>
      <c r="D120" s="171">
        <f t="shared" si="21"/>
        <v>-8.8000000000000007</v>
      </c>
      <c r="E120" s="24">
        <f>IFERROR(100/'Skjema total MA'!C120*C120,0)</f>
        <v>39.35811036725633</v>
      </c>
      <c r="F120" s="284">
        <v>1599789.3049999999</v>
      </c>
      <c r="G120" s="159">
        <v>2650407.3139999998</v>
      </c>
      <c r="H120" s="171">
        <f t="shared" si="22"/>
        <v>65.7</v>
      </c>
      <c r="I120" s="24">
        <f>IFERROR(100/'Skjema total MA'!F120*G120,0)</f>
        <v>21.913337947894036</v>
      </c>
      <c r="J120" s="159">
        <f t="shared" si="23"/>
        <v>1656303.787</v>
      </c>
      <c r="K120" s="213">
        <f t="shared" si="23"/>
        <v>2701923.6309999996</v>
      </c>
      <c r="L120" s="402">
        <f t="shared" si="24"/>
        <v>63.1</v>
      </c>
      <c r="M120" s="11">
        <f>IFERROR(100/'Skjema total MA'!I120*K120,0)</f>
        <v>22.100103646467577</v>
      </c>
    </row>
    <row r="121" spans="1:14" x14ac:dyDescent="0.2">
      <c r="A121" s="21" t="s">
        <v>9</v>
      </c>
      <c r="B121" s="211">
        <v>7052.8059999999996</v>
      </c>
      <c r="C121" s="145">
        <v>12929.540999999999</v>
      </c>
      <c r="D121" s="166">
        <f t="shared" si="21"/>
        <v>83.3</v>
      </c>
      <c r="E121" s="23">
        <f>IFERROR(100/'Skjema total MA'!C121*C121,0)</f>
        <v>16.437944933143509</v>
      </c>
      <c r="F121" s="211"/>
      <c r="G121" s="145"/>
      <c r="H121" s="166"/>
      <c r="I121" s="23"/>
      <c r="J121" s="145">
        <f t="shared" si="23"/>
        <v>7052.8059999999996</v>
      </c>
      <c r="K121" s="44">
        <f t="shared" si="23"/>
        <v>12929.540999999999</v>
      </c>
      <c r="L121" s="231">
        <f t="shared" si="24"/>
        <v>83.3</v>
      </c>
      <c r="M121" s="27">
        <f>IFERROR(100/'Skjema total MA'!I121*K121,0)</f>
        <v>16.437944933143509</v>
      </c>
    </row>
    <row r="122" spans="1:14" x14ac:dyDescent="0.2">
      <c r="A122" s="21" t="s">
        <v>10</v>
      </c>
      <c r="B122" s="211"/>
      <c r="C122" s="145"/>
      <c r="D122" s="166"/>
      <c r="E122" s="23"/>
      <c r="F122" s="211">
        <v>1599789.3049999999</v>
      </c>
      <c r="G122" s="145">
        <v>2650407.3139999998</v>
      </c>
      <c r="H122" s="166">
        <f t="shared" si="22"/>
        <v>65.7</v>
      </c>
      <c r="I122" s="23">
        <f>IFERROR(100/'Skjema total MA'!F122*G122,0)</f>
        <v>21.913337947894036</v>
      </c>
      <c r="J122" s="145">
        <f t="shared" si="23"/>
        <v>1599789.3049999999</v>
      </c>
      <c r="K122" s="44">
        <f t="shared" si="23"/>
        <v>2650407.3139999998</v>
      </c>
      <c r="L122" s="231">
        <f t="shared" si="24"/>
        <v>65.7</v>
      </c>
      <c r="M122" s="27">
        <f>IFERROR(100/'Skjema total MA'!I122*K122,0)</f>
        <v>21.894191302930611</v>
      </c>
    </row>
    <row r="123" spans="1:14" x14ac:dyDescent="0.2">
      <c r="A123" s="21" t="s">
        <v>26</v>
      </c>
      <c r="B123" s="211">
        <v>49461.675999999999</v>
      </c>
      <c r="C123" s="145">
        <v>38586.775999999998</v>
      </c>
      <c r="D123" s="166">
        <f t="shared" si="21"/>
        <v>-22</v>
      </c>
      <c r="E123" s="23">
        <f>IFERROR(100/'Skjema total MA'!C123*C123,0)</f>
        <v>92.628796885235388</v>
      </c>
      <c r="F123" s="211"/>
      <c r="G123" s="145"/>
      <c r="H123" s="166"/>
      <c r="I123" s="23"/>
      <c r="J123" s="145">
        <f t="shared" si="23"/>
        <v>49461.675999999999</v>
      </c>
      <c r="K123" s="44">
        <f t="shared" si="23"/>
        <v>38586.775999999998</v>
      </c>
      <c r="L123" s="231">
        <f t="shared" si="24"/>
        <v>-22</v>
      </c>
      <c r="M123" s="27">
        <f>IFERROR(100/'Skjema total MA'!I123*K123,0)</f>
        <v>92.628796885235388</v>
      </c>
    </row>
    <row r="124" spans="1:14" x14ac:dyDescent="0.2">
      <c r="A124" s="272" t="s">
        <v>14</v>
      </c>
      <c r="B124" s="258"/>
      <c r="C124" s="258"/>
      <c r="D124" s="166"/>
      <c r="E124" s="23"/>
      <c r="F124" s="665"/>
      <c r="G124" s="258"/>
      <c r="H124" s="166"/>
      <c r="I124" s="23"/>
      <c r="J124" s="667"/>
      <c r="K124" s="267"/>
      <c r="L124" s="166"/>
      <c r="M124" s="23"/>
    </row>
    <row r="125" spans="1:14" ht="15.75" x14ac:dyDescent="0.2">
      <c r="A125" s="21" t="s">
        <v>369</v>
      </c>
      <c r="B125" s="211">
        <v>1020.462</v>
      </c>
      <c r="C125" s="211">
        <v>1350.136</v>
      </c>
      <c r="D125" s="166">
        <f t="shared" si="21"/>
        <v>32.299999999999997</v>
      </c>
      <c r="E125" s="23">
        <f>IFERROR(100/'Skjema total MA'!C125*C125,0)</f>
        <v>13.120074879900242</v>
      </c>
      <c r="F125" s="211">
        <v>2174.5</v>
      </c>
      <c r="G125" s="211">
        <v>8860.5679999999993</v>
      </c>
      <c r="H125" s="166">
        <f t="shared" si="22"/>
        <v>307.5</v>
      </c>
      <c r="I125" s="23">
        <f>IFERROR(100/'Skjema total MA'!F125*G125,0)</f>
        <v>100</v>
      </c>
      <c r="J125" s="145">
        <f t="shared" si="23"/>
        <v>3194.962</v>
      </c>
      <c r="K125" s="44">
        <f t="shared" si="23"/>
        <v>10210.704</v>
      </c>
      <c r="L125" s="231">
        <f t="shared" si="24"/>
        <v>219.6</v>
      </c>
      <c r="M125" s="27">
        <f>IFERROR(100/'Skjema total MA'!I125*K125,0)</f>
        <v>53.316317845688879</v>
      </c>
    </row>
    <row r="126" spans="1:14" ht="15.75" x14ac:dyDescent="0.2">
      <c r="A126" s="21" t="s">
        <v>361</v>
      </c>
      <c r="B126" s="211">
        <v>16.527999999999999</v>
      </c>
      <c r="C126" s="211">
        <v>174.10499999999999</v>
      </c>
      <c r="D126" s="166">
        <f t="shared" si="21"/>
        <v>953.4</v>
      </c>
      <c r="E126" s="23">
        <f>IFERROR(100/'Skjema total MA'!C126*C126,0)</f>
        <v>99.999999999999986</v>
      </c>
      <c r="F126" s="211">
        <v>260269.35699999999</v>
      </c>
      <c r="G126" s="211">
        <v>1150784.18</v>
      </c>
      <c r="H126" s="166">
        <f t="shared" si="22"/>
        <v>342.2</v>
      </c>
      <c r="I126" s="23">
        <f>IFERROR(100/'Skjema total MA'!F126*G126,0)</f>
        <v>42.147314248408641</v>
      </c>
      <c r="J126" s="145">
        <f t="shared" si="23"/>
        <v>260285.88499999998</v>
      </c>
      <c r="K126" s="44">
        <f t="shared" si="23"/>
        <v>1150958.2849999999</v>
      </c>
      <c r="L126" s="231">
        <f t="shared" si="24"/>
        <v>342.2</v>
      </c>
      <c r="M126" s="27">
        <f>IFERROR(100/'Skjema total MA'!I126*K126,0)</f>
        <v>42.151003031335037</v>
      </c>
    </row>
    <row r="127" spans="1:14" ht="15.75" x14ac:dyDescent="0.2">
      <c r="A127" s="10" t="s">
        <v>362</v>
      </c>
      <c r="B127" s="45"/>
      <c r="C127" s="45"/>
      <c r="D127" s="167"/>
      <c r="E127" s="22"/>
      <c r="F127" s="666"/>
      <c r="G127" s="45"/>
      <c r="H127" s="167"/>
      <c r="I127" s="22"/>
      <c r="J127" s="668"/>
      <c r="K127" s="45"/>
      <c r="L127" s="232"/>
      <c r="M127" s="22"/>
    </row>
    <row r="128" spans="1:14" x14ac:dyDescent="0.2">
      <c r="A128" s="155"/>
      <c r="L128" s="26"/>
      <c r="M128" s="26"/>
      <c r="N128" s="26"/>
    </row>
    <row r="129" spans="1:14" x14ac:dyDescent="0.2">
      <c r="L129" s="26"/>
      <c r="M129" s="26"/>
      <c r="N129" s="26"/>
    </row>
    <row r="130" spans="1:14" ht="15.75" x14ac:dyDescent="0.25">
      <c r="A130" s="165" t="s">
        <v>27</v>
      </c>
    </row>
    <row r="131" spans="1:14" ht="15.75" x14ac:dyDescent="0.25">
      <c r="B131" s="694"/>
      <c r="C131" s="694"/>
      <c r="D131" s="694"/>
      <c r="E131" s="275"/>
      <c r="F131" s="694"/>
      <c r="G131" s="694"/>
      <c r="H131" s="694"/>
      <c r="I131" s="275"/>
      <c r="J131" s="694"/>
      <c r="K131" s="694"/>
      <c r="L131" s="694"/>
      <c r="M131" s="275"/>
    </row>
    <row r="132" spans="1:14" s="3" customFormat="1" x14ac:dyDescent="0.2">
      <c r="A132" s="144"/>
      <c r="B132" s="695" t="s">
        <v>0</v>
      </c>
      <c r="C132" s="696"/>
      <c r="D132" s="696"/>
      <c r="E132" s="277"/>
      <c r="F132" s="695" t="s">
        <v>1</v>
      </c>
      <c r="G132" s="696"/>
      <c r="H132" s="696"/>
      <c r="I132" s="280"/>
      <c r="J132" s="695" t="s">
        <v>2</v>
      </c>
      <c r="K132" s="696"/>
      <c r="L132" s="696"/>
      <c r="M132" s="280"/>
      <c r="N132" s="148"/>
    </row>
    <row r="133" spans="1:14" s="3" customFormat="1" x14ac:dyDescent="0.2">
      <c r="A133" s="140"/>
      <c r="B133" s="152" t="s">
        <v>412</v>
      </c>
      <c r="C133" s="152" t="s">
        <v>413</v>
      </c>
      <c r="D133" s="222" t="s">
        <v>3</v>
      </c>
      <c r="E133" s="281" t="s">
        <v>29</v>
      </c>
      <c r="F133" s="152" t="s">
        <v>412</v>
      </c>
      <c r="G133" s="152" t="s">
        <v>413</v>
      </c>
      <c r="H133" s="203" t="s">
        <v>3</v>
      </c>
      <c r="I133" s="162" t="s">
        <v>29</v>
      </c>
      <c r="J133" s="152" t="s">
        <v>412</v>
      </c>
      <c r="K133" s="152" t="s">
        <v>413</v>
      </c>
      <c r="L133" s="223" t="s">
        <v>3</v>
      </c>
      <c r="M133" s="162" t="s">
        <v>29</v>
      </c>
      <c r="N133" s="148"/>
    </row>
    <row r="134" spans="1:14" s="3" customFormat="1" x14ac:dyDescent="0.2">
      <c r="A134" s="662"/>
      <c r="B134" s="156"/>
      <c r="C134" s="156"/>
      <c r="D134" s="223" t="s">
        <v>4</v>
      </c>
      <c r="E134" s="156" t="s">
        <v>30</v>
      </c>
      <c r="F134" s="161"/>
      <c r="G134" s="161"/>
      <c r="H134" s="203" t="s">
        <v>4</v>
      </c>
      <c r="I134" s="156" t="s">
        <v>30</v>
      </c>
      <c r="J134" s="156"/>
      <c r="K134" s="156"/>
      <c r="L134" s="150" t="s">
        <v>4</v>
      </c>
      <c r="M134" s="156" t="s">
        <v>30</v>
      </c>
      <c r="N134" s="148"/>
    </row>
    <row r="135" spans="1:14" s="3" customFormat="1" ht="15.75" x14ac:dyDescent="0.2">
      <c r="A135" s="14" t="s">
        <v>365</v>
      </c>
      <c r="B135" s="213">
        <v>110356.215</v>
      </c>
      <c r="C135" s="285">
        <v>96339.324999999997</v>
      </c>
      <c r="D135" s="326">
        <f>IF(B135=0, "    ---- ", IF(ABS(ROUND(100/B135*C135-100,1))&lt;999,ROUND(100/B135*C135-100,1),IF(ROUND(100/B135*C135-100,1)&gt;999,999,-999)))</f>
        <v>-12.7</v>
      </c>
      <c r="E135" s="11">
        <f>IFERROR(100/'Skjema total MA'!C135*C135,0)</f>
        <v>1.2134730526809048</v>
      </c>
      <c r="F135" s="292"/>
      <c r="G135" s="293"/>
      <c r="H135" s="405"/>
      <c r="I135" s="24"/>
      <c r="J135" s="294">
        <f t="shared" ref="J135:K137" si="25">SUM(B135,F135)</f>
        <v>110356.215</v>
      </c>
      <c r="K135" s="294">
        <f t="shared" si="25"/>
        <v>96339.324999999997</v>
      </c>
      <c r="L135" s="401">
        <f>IF(J135=0, "    ---- ", IF(ABS(ROUND(100/J135*K135-100,1))&lt;999,ROUND(100/J135*K135-100,1),IF(ROUND(100/J135*K135-100,1)&gt;999,999,-999)))</f>
        <v>-12.7</v>
      </c>
      <c r="M135" s="11">
        <f>IFERROR(100/'Skjema total MA'!I135*K135,0)</f>
        <v>1.2113722254574313</v>
      </c>
      <c r="N135" s="148"/>
    </row>
    <row r="136" spans="1:14" s="3" customFormat="1" ht="15.75" x14ac:dyDescent="0.2">
      <c r="A136" s="13" t="s">
        <v>370</v>
      </c>
      <c r="B136" s="213">
        <v>2902711.219</v>
      </c>
      <c r="C136" s="285">
        <v>10706459.874</v>
      </c>
      <c r="D136" s="171">
        <f>IF(B136=0, "    ---- ", IF(ABS(ROUND(100/B136*C136-100,1))&lt;999,ROUND(100/B136*C136-100,1),IF(ROUND(100/B136*C136-100,1)&gt;999,999,-999)))</f>
        <v>268.8</v>
      </c>
      <c r="E136" s="11">
        <f>IFERROR(100/'Skjema total MA'!C136*C136,0)</f>
        <v>1.7050801801775082</v>
      </c>
      <c r="F136" s="213"/>
      <c r="G136" s="285"/>
      <c r="H136" s="406"/>
      <c r="I136" s="24"/>
      <c r="J136" s="284">
        <f t="shared" si="25"/>
        <v>2902711.219</v>
      </c>
      <c r="K136" s="284">
        <f t="shared" si="25"/>
        <v>10706459.874</v>
      </c>
      <c r="L136" s="402">
        <f>IF(J136=0, "    ---- ", IF(ABS(ROUND(100/J136*K136-100,1))&lt;999,ROUND(100/J136*K136-100,1),IF(ROUND(100/J136*K136-100,1)&gt;999,999,-999)))</f>
        <v>268.8</v>
      </c>
      <c r="M136" s="11">
        <f>IFERROR(100/'Skjema total MA'!I136*K136,0)</f>
        <v>1.6994680806025069</v>
      </c>
      <c r="N136" s="148"/>
    </row>
    <row r="137" spans="1:14" s="3" customFormat="1" ht="15.75" x14ac:dyDescent="0.2">
      <c r="A137" s="13" t="s">
        <v>367</v>
      </c>
      <c r="B137" s="213">
        <v>0</v>
      </c>
      <c r="C137" s="285">
        <v>7005645.1660000002</v>
      </c>
      <c r="D137" s="171" t="str">
        <f>IF(B137=0, "    ---- ", IF(ABS(ROUND(100/B137*C137-100,1))&lt;999,ROUND(100/B137*C137-100,1),IF(ROUND(100/B137*C137-100,1)&gt;999,999,-999)))</f>
        <v xml:space="preserve">    ---- </v>
      </c>
      <c r="E137" s="11">
        <f>IFERROR(100/'Skjema total MA'!C137*C137,0)</f>
        <v>100</v>
      </c>
      <c r="F137" s="213"/>
      <c r="G137" s="285"/>
      <c r="H137" s="406"/>
      <c r="I137" s="24"/>
      <c r="J137" s="284">
        <f t="shared" si="25"/>
        <v>0</v>
      </c>
      <c r="K137" s="284">
        <f t="shared" si="25"/>
        <v>7005645.1660000002</v>
      </c>
      <c r="L137" s="402" t="str">
        <f>IF(J137=0, "    ---- ", IF(ABS(ROUND(100/J137*K137-100,1))&lt;999,ROUND(100/J137*K137-100,1),IF(ROUND(100/J137*K137-100,1)&gt;999,999,-999)))</f>
        <v xml:space="preserve">    ---- </v>
      </c>
      <c r="M137" s="11">
        <f>IFERROR(100/'Skjema total MA'!I137*K137,0)</f>
        <v>100</v>
      </c>
      <c r="N137" s="148"/>
    </row>
    <row r="138" spans="1:14" s="3" customFormat="1" ht="15.75" x14ac:dyDescent="0.2">
      <c r="A138" s="41" t="s">
        <v>368</v>
      </c>
      <c r="B138" s="253"/>
      <c r="C138" s="291"/>
      <c r="D138" s="169"/>
      <c r="E138" s="9"/>
      <c r="F138" s="253"/>
      <c r="G138" s="291"/>
      <c r="H138" s="407"/>
      <c r="I138" s="36"/>
      <c r="J138" s="290"/>
      <c r="K138" s="290"/>
      <c r="L138" s="403"/>
      <c r="M138" s="36"/>
      <c r="N138" s="148"/>
    </row>
    <row r="139" spans="1:14" s="3" customFormat="1"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68"/>
      <c r="B141" s="33"/>
      <c r="C141" s="33"/>
      <c r="D141" s="159"/>
      <c r="E141" s="159"/>
      <c r="F141" s="33"/>
      <c r="G141" s="33"/>
      <c r="H141" s="159"/>
      <c r="I141" s="159"/>
      <c r="J141" s="33"/>
      <c r="K141" s="33"/>
      <c r="L141" s="159"/>
      <c r="M141" s="159"/>
      <c r="N141" s="148"/>
    </row>
    <row r="142" spans="1:14" x14ac:dyDescent="0.2">
      <c r="A142" s="146"/>
      <c r="B142" s="146"/>
      <c r="C142" s="146"/>
      <c r="D142" s="146"/>
      <c r="E142" s="146"/>
      <c r="F142" s="146"/>
      <c r="G142" s="146"/>
      <c r="H142" s="146"/>
      <c r="I142" s="146"/>
      <c r="J142" s="146"/>
      <c r="K142" s="146"/>
      <c r="L142" s="146"/>
      <c r="M142" s="146"/>
      <c r="N142" s="146"/>
    </row>
    <row r="143" spans="1:14" ht="15.75" x14ac:dyDescent="0.25">
      <c r="B143" s="142"/>
      <c r="C143" s="142"/>
      <c r="D143" s="142"/>
      <c r="E143" s="142"/>
      <c r="F143" s="142"/>
      <c r="G143" s="142"/>
      <c r="H143" s="142"/>
      <c r="I143" s="142"/>
      <c r="J143" s="142"/>
      <c r="K143" s="142"/>
      <c r="L143" s="142"/>
      <c r="M143" s="142"/>
      <c r="N143" s="142"/>
    </row>
    <row r="144" spans="1:14" ht="15.75" x14ac:dyDescent="0.25">
      <c r="B144" s="157"/>
      <c r="C144" s="157"/>
      <c r="D144" s="157"/>
      <c r="E144" s="157"/>
      <c r="F144" s="157"/>
      <c r="G144" s="157"/>
      <c r="H144" s="157"/>
      <c r="I144" s="157"/>
      <c r="J144" s="157"/>
      <c r="K144" s="157"/>
      <c r="L144" s="157"/>
      <c r="M144" s="157"/>
      <c r="N144" s="157"/>
    </row>
    <row r="145" spans="2:14" ht="15.75" x14ac:dyDescent="0.25">
      <c r="B145" s="157"/>
      <c r="C145" s="157"/>
      <c r="D145" s="157"/>
      <c r="E145" s="157"/>
      <c r="F145" s="157"/>
      <c r="G145" s="157"/>
      <c r="H145" s="157"/>
      <c r="I145" s="157"/>
      <c r="J145" s="157"/>
      <c r="K145" s="157"/>
      <c r="L145" s="157"/>
      <c r="M145" s="157"/>
      <c r="N145" s="157"/>
    </row>
  </sheetData>
  <mergeCells count="31">
    <mergeCell ref="B132:D132"/>
    <mergeCell ref="F132:H132"/>
    <mergeCell ref="J132:L132"/>
    <mergeCell ref="B63:D63"/>
    <mergeCell ref="F63:H63"/>
    <mergeCell ref="J63:L63"/>
    <mergeCell ref="B131:D131"/>
    <mergeCell ref="F131:H131"/>
    <mergeCell ref="J131:L131"/>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6">
    <cfRule type="expression" dxfId="312" priority="76">
      <formula>kvartal &lt; 4</formula>
    </cfRule>
  </conditionalFormatting>
  <conditionalFormatting sqref="C116">
    <cfRule type="expression" dxfId="311" priority="75">
      <formula>kvartal &lt; 4</formula>
    </cfRule>
  </conditionalFormatting>
  <conditionalFormatting sqref="B124">
    <cfRule type="expression" dxfId="310" priority="74">
      <formula>kvartal &lt; 4</formula>
    </cfRule>
  </conditionalFormatting>
  <conditionalFormatting sqref="C124">
    <cfRule type="expression" dxfId="309" priority="73">
      <formula>kvartal &lt; 4</formula>
    </cfRule>
  </conditionalFormatting>
  <conditionalFormatting sqref="F116">
    <cfRule type="expression" dxfId="308" priority="58">
      <formula>kvartal &lt; 4</formula>
    </cfRule>
  </conditionalFormatting>
  <conditionalFormatting sqref="G116">
    <cfRule type="expression" dxfId="307" priority="57">
      <formula>kvartal &lt; 4</formula>
    </cfRule>
  </conditionalFormatting>
  <conditionalFormatting sqref="F124:G124">
    <cfRule type="expression" dxfId="306" priority="56">
      <formula>kvartal &lt; 4</formula>
    </cfRule>
  </conditionalFormatting>
  <conditionalFormatting sqref="J116:K116">
    <cfRule type="expression" dxfId="305" priority="32">
      <formula>kvartal &lt; 4</formula>
    </cfRule>
  </conditionalFormatting>
  <conditionalFormatting sqref="J124:K124">
    <cfRule type="expression" dxfId="304" priority="31">
      <formula>kvartal &lt; 4</formula>
    </cfRule>
  </conditionalFormatting>
  <conditionalFormatting sqref="A50:A52">
    <cfRule type="expression" dxfId="303" priority="12">
      <formula>kvartal &lt; 4</formula>
    </cfRule>
  </conditionalFormatting>
  <conditionalFormatting sqref="A69:A74">
    <cfRule type="expression" dxfId="302" priority="10">
      <formula>kvartal &lt; 4</formula>
    </cfRule>
  </conditionalFormatting>
  <conditionalFormatting sqref="A80:A85">
    <cfRule type="expression" dxfId="301" priority="9">
      <formula>kvartal &lt; 4</formula>
    </cfRule>
  </conditionalFormatting>
  <conditionalFormatting sqref="A90:A95">
    <cfRule type="expression" dxfId="300" priority="6">
      <formula>kvartal &lt; 4</formula>
    </cfRule>
  </conditionalFormatting>
  <conditionalFormatting sqref="A102:A107">
    <cfRule type="expression" dxfId="299" priority="5">
      <formula>kvartal &lt; 4</formula>
    </cfRule>
  </conditionalFormatting>
  <conditionalFormatting sqref="A116">
    <cfRule type="expression" dxfId="298" priority="4">
      <formula>kvartal &lt; 4</formula>
    </cfRule>
  </conditionalFormatting>
  <conditionalFormatting sqref="A124">
    <cfRule type="expression" dxfId="297" priority="3">
      <formula>kvartal &lt; 4</formula>
    </cfRule>
  </conditionalFormatting>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31"/>
  <dimension ref="A1:N145"/>
  <sheetViews>
    <sheetView showGridLines="0" zoomScaleNormal="100" workbookViewId="0">
      <selection activeCell="A111" sqref="A111"/>
    </sheetView>
  </sheetViews>
  <sheetFormatPr baseColWidth="10" defaultColWidth="11.42578125" defaultRowHeight="12.75" x14ac:dyDescent="0.2"/>
  <cols>
    <col min="1" max="1" width="41.57031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134</v>
      </c>
      <c r="B1" s="663"/>
      <c r="C1" s="225" t="s">
        <v>131</v>
      </c>
      <c r="D1" s="26"/>
      <c r="E1" s="26"/>
      <c r="F1" s="26"/>
      <c r="G1" s="26"/>
      <c r="H1" s="26"/>
      <c r="I1" s="26"/>
      <c r="J1" s="26"/>
      <c r="K1" s="26"/>
      <c r="L1" s="26"/>
      <c r="M1" s="26"/>
    </row>
    <row r="2" spans="1:14" ht="15.75" x14ac:dyDescent="0.25">
      <c r="A2" s="165" t="s">
        <v>28</v>
      </c>
      <c r="B2" s="699"/>
      <c r="C2" s="699"/>
      <c r="D2" s="699"/>
      <c r="E2" s="275"/>
      <c r="F2" s="699"/>
      <c r="G2" s="699"/>
      <c r="H2" s="699"/>
      <c r="I2" s="275"/>
      <c r="J2" s="699"/>
      <c r="K2" s="699"/>
      <c r="L2" s="699"/>
      <c r="M2" s="275"/>
    </row>
    <row r="3" spans="1:14" ht="15.75" x14ac:dyDescent="0.25">
      <c r="A3" s="163"/>
      <c r="B3" s="275"/>
      <c r="C3" s="275"/>
      <c r="D3" s="275"/>
      <c r="E3" s="275"/>
      <c r="F3" s="275"/>
      <c r="G3" s="275"/>
      <c r="H3" s="275"/>
      <c r="I3" s="275"/>
      <c r="J3" s="275"/>
      <c r="K3" s="275"/>
      <c r="L3" s="275"/>
      <c r="M3" s="275"/>
    </row>
    <row r="4" spans="1:14" x14ac:dyDescent="0.2">
      <c r="A4" s="144"/>
      <c r="B4" s="695" t="s">
        <v>0</v>
      </c>
      <c r="C4" s="696"/>
      <c r="D4" s="696"/>
      <c r="E4" s="277"/>
      <c r="F4" s="695" t="s">
        <v>1</v>
      </c>
      <c r="G4" s="696"/>
      <c r="H4" s="696"/>
      <c r="I4" s="280"/>
      <c r="J4" s="695" t="s">
        <v>2</v>
      </c>
      <c r="K4" s="696"/>
      <c r="L4" s="696"/>
      <c r="M4" s="280"/>
    </row>
    <row r="5" spans="1:14" x14ac:dyDescent="0.2">
      <c r="A5" s="158"/>
      <c r="B5" s="152" t="s">
        <v>412</v>
      </c>
      <c r="C5" s="152" t="s">
        <v>413</v>
      </c>
      <c r="D5" s="222" t="s">
        <v>3</v>
      </c>
      <c r="E5" s="281" t="s">
        <v>29</v>
      </c>
      <c r="F5" s="152" t="s">
        <v>412</v>
      </c>
      <c r="G5" s="152" t="s">
        <v>413</v>
      </c>
      <c r="H5" s="222" t="s">
        <v>3</v>
      </c>
      <c r="I5" s="162" t="s">
        <v>29</v>
      </c>
      <c r="J5" s="152" t="s">
        <v>412</v>
      </c>
      <c r="K5" s="152" t="s">
        <v>413</v>
      </c>
      <c r="L5" s="222" t="s">
        <v>3</v>
      </c>
      <c r="M5" s="162" t="s">
        <v>29</v>
      </c>
    </row>
    <row r="6" spans="1:14" x14ac:dyDescent="0.2">
      <c r="A6" s="661"/>
      <c r="B6" s="156"/>
      <c r="C6" s="156"/>
      <c r="D6" s="223" t="s">
        <v>4</v>
      </c>
      <c r="E6" s="156" t="s">
        <v>30</v>
      </c>
      <c r="F6" s="161"/>
      <c r="G6" s="161"/>
      <c r="H6" s="222" t="s">
        <v>4</v>
      </c>
      <c r="I6" s="156" t="s">
        <v>30</v>
      </c>
      <c r="J6" s="161"/>
      <c r="K6" s="161"/>
      <c r="L6" s="222" t="s">
        <v>4</v>
      </c>
      <c r="M6" s="156" t="s">
        <v>30</v>
      </c>
    </row>
    <row r="7" spans="1:14" ht="15.75" x14ac:dyDescent="0.2">
      <c r="A7" s="14" t="s">
        <v>23</v>
      </c>
      <c r="B7" s="282"/>
      <c r="C7" s="283"/>
      <c r="D7" s="326"/>
      <c r="E7" s="11"/>
      <c r="F7" s="282"/>
      <c r="G7" s="283"/>
      <c r="H7" s="326"/>
      <c r="I7" s="160"/>
      <c r="J7" s="284"/>
      <c r="K7" s="285"/>
      <c r="L7" s="401"/>
      <c r="M7" s="11"/>
    </row>
    <row r="8" spans="1:14" ht="15.75" x14ac:dyDescent="0.2">
      <c r="A8" s="21" t="s">
        <v>25</v>
      </c>
      <c r="B8" s="258"/>
      <c r="C8" s="259"/>
      <c r="D8" s="166"/>
      <c r="E8" s="27"/>
      <c r="F8" s="262"/>
      <c r="G8" s="263"/>
      <c r="H8" s="166"/>
      <c r="I8" s="175"/>
      <c r="J8" s="211"/>
      <c r="K8" s="264"/>
      <c r="L8" s="402"/>
      <c r="M8" s="27"/>
    </row>
    <row r="9" spans="1:14" ht="15.75" x14ac:dyDescent="0.2">
      <c r="A9" s="21" t="s">
        <v>24</v>
      </c>
      <c r="B9" s="258"/>
      <c r="C9" s="259"/>
      <c r="D9" s="166"/>
      <c r="E9" s="27"/>
      <c r="F9" s="262"/>
      <c r="G9" s="263"/>
      <c r="H9" s="166"/>
      <c r="I9" s="175"/>
      <c r="J9" s="211"/>
      <c r="K9" s="264"/>
      <c r="L9" s="402"/>
      <c r="M9" s="27"/>
    </row>
    <row r="10" spans="1:14" ht="15.75" x14ac:dyDescent="0.2">
      <c r="A10" s="13" t="s">
        <v>341</v>
      </c>
      <c r="B10" s="286"/>
      <c r="C10" s="287"/>
      <c r="D10" s="171"/>
      <c r="E10" s="11"/>
      <c r="F10" s="286"/>
      <c r="G10" s="287"/>
      <c r="H10" s="171"/>
      <c r="I10" s="160"/>
      <c r="J10" s="284"/>
      <c r="K10" s="285"/>
      <c r="L10" s="402"/>
      <c r="M10" s="11"/>
    </row>
    <row r="11" spans="1:14" s="43" customFormat="1" ht="15.75" x14ac:dyDescent="0.2">
      <c r="A11" s="13" t="s">
        <v>342</v>
      </c>
      <c r="B11" s="286"/>
      <c r="C11" s="287"/>
      <c r="D11" s="171"/>
      <c r="E11" s="11"/>
      <c r="F11" s="286"/>
      <c r="G11" s="287"/>
      <c r="H11" s="171"/>
      <c r="I11" s="160"/>
      <c r="J11" s="284"/>
      <c r="K11" s="285"/>
      <c r="L11" s="402"/>
      <c r="M11" s="11"/>
      <c r="N11" s="143"/>
    </row>
    <row r="12" spans="1:14" s="43" customFormat="1" ht="15.75" x14ac:dyDescent="0.2">
      <c r="A12" s="41" t="s">
        <v>343</v>
      </c>
      <c r="B12" s="288"/>
      <c r="C12" s="289"/>
      <c r="D12" s="169"/>
      <c r="E12" s="36"/>
      <c r="F12" s="288"/>
      <c r="G12" s="289"/>
      <c r="H12" s="169"/>
      <c r="I12" s="169"/>
      <c r="J12" s="290"/>
      <c r="K12" s="291"/>
      <c r="L12" s="403"/>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251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248</v>
      </c>
      <c r="B17" s="157"/>
      <c r="C17" s="157"/>
      <c r="D17" s="151"/>
      <c r="E17" s="151"/>
      <c r="F17" s="157"/>
      <c r="G17" s="157"/>
      <c r="H17" s="157"/>
      <c r="I17" s="157"/>
      <c r="J17" s="157"/>
      <c r="K17" s="157"/>
      <c r="L17" s="157"/>
      <c r="M17" s="157"/>
    </row>
    <row r="18" spans="1:14" ht="15.75" x14ac:dyDescent="0.25">
      <c r="B18" s="694"/>
      <c r="C18" s="694"/>
      <c r="D18" s="694"/>
      <c r="E18" s="275"/>
      <c r="F18" s="694"/>
      <c r="G18" s="694"/>
      <c r="H18" s="694"/>
      <c r="I18" s="275"/>
      <c r="J18" s="694"/>
      <c r="K18" s="694"/>
      <c r="L18" s="694"/>
      <c r="M18" s="275"/>
    </row>
    <row r="19" spans="1:14" x14ac:dyDescent="0.2">
      <c r="A19" s="144"/>
      <c r="B19" s="695" t="s">
        <v>0</v>
      </c>
      <c r="C19" s="696"/>
      <c r="D19" s="696"/>
      <c r="E19" s="277"/>
      <c r="F19" s="695" t="s">
        <v>1</v>
      </c>
      <c r="G19" s="696"/>
      <c r="H19" s="696"/>
      <c r="I19" s="280"/>
      <c r="J19" s="695" t="s">
        <v>2</v>
      </c>
      <c r="K19" s="696"/>
      <c r="L19" s="696"/>
      <c r="M19" s="280"/>
    </row>
    <row r="20" spans="1:14" x14ac:dyDescent="0.2">
      <c r="A20" s="140" t="s">
        <v>5</v>
      </c>
      <c r="B20" s="152" t="s">
        <v>412</v>
      </c>
      <c r="C20" s="152" t="s">
        <v>413</v>
      </c>
      <c r="D20" s="162" t="s">
        <v>3</v>
      </c>
      <c r="E20" s="281" t="s">
        <v>29</v>
      </c>
      <c r="F20" s="152" t="s">
        <v>412</v>
      </c>
      <c r="G20" s="152" t="s">
        <v>413</v>
      </c>
      <c r="H20" s="162" t="s">
        <v>3</v>
      </c>
      <c r="I20" s="162" t="s">
        <v>29</v>
      </c>
      <c r="J20" s="152" t="s">
        <v>412</v>
      </c>
      <c r="K20" s="152" t="s">
        <v>413</v>
      </c>
      <c r="L20" s="162" t="s">
        <v>3</v>
      </c>
      <c r="M20" s="162" t="s">
        <v>29</v>
      </c>
    </row>
    <row r="21" spans="1:14" x14ac:dyDescent="0.2">
      <c r="A21" s="662"/>
      <c r="B21" s="156"/>
      <c r="C21" s="156"/>
      <c r="D21" s="223" t="s">
        <v>4</v>
      </c>
      <c r="E21" s="156" t="s">
        <v>30</v>
      </c>
      <c r="F21" s="161"/>
      <c r="G21" s="161"/>
      <c r="H21" s="222" t="s">
        <v>4</v>
      </c>
      <c r="I21" s="156" t="s">
        <v>30</v>
      </c>
      <c r="J21" s="161"/>
      <c r="K21" s="161"/>
      <c r="L21" s="156" t="s">
        <v>4</v>
      </c>
      <c r="M21" s="156" t="s">
        <v>30</v>
      </c>
    </row>
    <row r="22" spans="1:14" ht="15.75" x14ac:dyDescent="0.2">
      <c r="A22" s="14" t="s">
        <v>23</v>
      </c>
      <c r="B22" s="286"/>
      <c r="C22" s="286"/>
      <c r="D22" s="326"/>
      <c r="E22" s="11"/>
      <c r="F22" s="294"/>
      <c r="G22" s="294"/>
      <c r="H22" s="326"/>
      <c r="I22" s="11"/>
      <c r="J22" s="292"/>
      <c r="K22" s="292"/>
      <c r="L22" s="401"/>
      <c r="M22" s="24"/>
    </row>
    <row r="23" spans="1:14" ht="15.75" x14ac:dyDescent="0.2">
      <c r="A23" s="545" t="s">
        <v>344</v>
      </c>
      <c r="B23" s="258"/>
      <c r="C23" s="258"/>
      <c r="D23" s="166"/>
      <c r="E23" s="11"/>
      <c r="F23" s="267"/>
      <c r="G23" s="267"/>
      <c r="H23" s="166"/>
      <c r="I23" s="391"/>
      <c r="J23" s="267"/>
      <c r="K23" s="267"/>
      <c r="L23" s="166"/>
      <c r="M23" s="23"/>
    </row>
    <row r="24" spans="1:14" ht="15.75" x14ac:dyDescent="0.2">
      <c r="A24" s="545" t="s">
        <v>345</v>
      </c>
      <c r="B24" s="258"/>
      <c r="C24" s="258"/>
      <c r="D24" s="166"/>
      <c r="E24" s="11"/>
      <c r="F24" s="267"/>
      <c r="G24" s="267"/>
      <c r="H24" s="166"/>
      <c r="I24" s="391"/>
      <c r="J24" s="267"/>
      <c r="K24" s="267"/>
      <c r="L24" s="166"/>
      <c r="M24" s="23"/>
    </row>
    <row r="25" spans="1:14" ht="15.75" x14ac:dyDescent="0.2">
      <c r="A25" s="545" t="s">
        <v>346</v>
      </c>
      <c r="B25" s="258"/>
      <c r="C25" s="258"/>
      <c r="D25" s="166"/>
      <c r="E25" s="11"/>
      <c r="F25" s="267"/>
      <c r="G25" s="267"/>
      <c r="H25" s="166"/>
      <c r="I25" s="391"/>
      <c r="J25" s="267"/>
      <c r="K25" s="267"/>
      <c r="L25" s="166"/>
      <c r="M25" s="23"/>
    </row>
    <row r="26" spans="1:14" ht="15.75" x14ac:dyDescent="0.2">
      <c r="A26" s="545" t="s">
        <v>347</v>
      </c>
      <c r="B26" s="258"/>
      <c r="C26" s="258"/>
      <c r="D26" s="166"/>
      <c r="E26" s="11"/>
      <c r="F26" s="267"/>
      <c r="G26" s="267"/>
      <c r="H26" s="166"/>
      <c r="I26" s="391"/>
      <c r="J26" s="267"/>
      <c r="K26" s="267"/>
      <c r="L26" s="166"/>
      <c r="M26" s="23"/>
    </row>
    <row r="27" spans="1:14" x14ac:dyDescent="0.2">
      <c r="A27" s="545" t="s">
        <v>11</v>
      </c>
      <c r="B27" s="258"/>
      <c r="C27" s="258"/>
      <c r="D27" s="166"/>
      <c r="E27" s="11"/>
      <c r="F27" s="267"/>
      <c r="G27" s="267"/>
      <c r="H27" s="166"/>
      <c r="I27" s="391"/>
      <c r="J27" s="267"/>
      <c r="K27" s="267"/>
      <c r="L27" s="166"/>
      <c r="M27" s="23"/>
    </row>
    <row r="28" spans="1:14" ht="15.75" x14ac:dyDescent="0.2">
      <c r="A28" s="49" t="s">
        <v>252</v>
      </c>
      <c r="B28" s="44"/>
      <c r="C28" s="264"/>
      <c r="D28" s="166"/>
      <c r="E28" s="11"/>
      <c r="F28" s="211"/>
      <c r="G28" s="264"/>
      <c r="H28" s="166"/>
      <c r="I28" s="27"/>
      <c r="J28" s="44"/>
      <c r="K28" s="44"/>
      <c r="L28" s="231"/>
      <c r="M28" s="23"/>
    </row>
    <row r="29" spans="1:14" s="3" customFormat="1" ht="15.75" x14ac:dyDescent="0.2">
      <c r="A29" s="13" t="s">
        <v>341</v>
      </c>
      <c r="B29" s="213"/>
      <c r="C29" s="213"/>
      <c r="D29" s="171"/>
      <c r="E29" s="11"/>
      <c r="F29" s="284"/>
      <c r="G29" s="284"/>
      <c r="H29" s="171"/>
      <c r="I29" s="11"/>
      <c r="J29" s="213"/>
      <c r="K29" s="213"/>
      <c r="L29" s="402"/>
      <c r="M29" s="24"/>
      <c r="N29" s="148"/>
    </row>
    <row r="30" spans="1:14" s="3" customFormat="1" ht="15.75" x14ac:dyDescent="0.2">
      <c r="A30" s="545" t="s">
        <v>344</v>
      </c>
      <c r="B30" s="258"/>
      <c r="C30" s="258"/>
      <c r="D30" s="166"/>
      <c r="E30" s="11"/>
      <c r="F30" s="267"/>
      <c r="G30" s="267"/>
      <c r="H30" s="166"/>
      <c r="I30" s="391"/>
      <c r="J30" s="267"/>
      <c r="K30" s="267"/>
      <c r="L30" s="166"/>
      <c r="M30" s="23"/>
      <c r="N30" s="148"/>
    </row>
    <row r="31" spans="1:14" s="3" customFormat="1" ht="15.75" x14ac:dyDescent="0.2">
      <c r="A31" s="545" t="s">
        <v>345</v>
      </c>
      <c r="B31" s="258"/>
      <c r="C31" s="258"/>
      <c r="D31" s="166"/>
      <c r="E31" s="11"/>
      <c r="F31" s="267"/>
      <c r="G31" s="267"/>
      <c r="H31" s="166"/>
      <c r="I31" s="391"/>
      <c r="J31" s="267"/>
      <c r="K31" s="267"/>
      <c r="L31" s="166"/>
      <c r="M31" s="23"/>
      <c r="N31" s="148"/>
    </row>
    <row r="32" spans="1:14" ht="15.75" x14ac:dyDescent="0.2">
      <c r="A32" s="545" t="s">
        <v>346</v>
      </c>
      <c r="B32" s="258"/>
      <c r="C32" s="258"/>
      <c r="D32" s="166"/>
      <c r="E32" s="11"/>
      <c r="F32" s="267"/>
      <c r="G32" s="267"/>
      <c r="H32" s="166"/>
      <c r="I32" s="391"/>
      <c r="J32" s="267"/>
      <c r="K32" s="267"/>
      <c r="L32" s="166"/>
      <c r="M32" s="23"/>
    </row>
    <row r="33" spans="1:14" ht="15.75" x14ac:dyDescent="0.2">
      <c r="A33" s="545" t="s">
        <v>347</v>
      </c>
      <c r="B33" s="258"/>
      <c r="C33" s="258"/>
      <c r="D33" s="166"/>
      <c r="E33" s="11"/>
      <c r="F33" s="267"/>
      <c r="G33" s="267"/>
      <c r="H33" s="166"/>
      <c r="I33" s="391"/>
      <c r="J33" s="267"/>
      <c r="K33" s="267"/>
      <c r="L33" s="166"/>
      <c r="M33" s="23"/>
    </row>
    <row r="34" spans="1:14" ht="15.75" x14ac:dyDescent="0.2">
      <c r="A34" s="13" t="s">
        <v>342</v>
      </c>
      <c r="B34" s="213"/>
      <c r="C34" s="285"/>
      <c r="D34" s="171"/>
      <c r="E34" s="11"/>
      <c r="F34" s="284"/>
      <c r="G34" s="285"/>
      <c r="H34" s="171"/>
      <c r="I34" s="11"/>
      <c r="J34" s="213"/>
      <c r="K34" s="213"/>
      <c r="L34" s="402"/>
      <c r="M34" s="24"/>
    </row>
    <row r="35" spans="1:14" ht="15.75" x14ac:dyDescent="0.2">
      <c r="A35" s="13" t="s">
        <v>343</v>
      </c>
      <c r="B35" s="213"/>
      <c r="C35" s="285"/>
      <c r="D35" s="171"/>
      <c r="E35" s="11"/>
      <c r="F35" s="284"/>
      <c r="G35" s="285"/>
      <c r="H35" s="171"/>
      <c r="I35" s="11"/>
      <c r="J35" s="213"/>
      <c r="K35" s="213"/>
      <c r="L35" s="402"/>
      <c r="M35" s="24"/>
    </row>
    <row r="36" spans="1:14" ht="15.75" x14ac:dyDescent="0.2">
      <c r="A36" s="12" t="s">
        <v>260</v>
      </c>
      <c r="B36" s="213"/>
      <c r="C36" s="285"/>
      <c r="D36" s="171"/>
      <c r="E36" s="11"/>
      <c r="F36" s="295"/>
      <c r="G36" s="296"/>
      <c r="H36" s="171"/>
      <c r="I36" s="408"/>
      <c r="J36" s="213"/>
      <c r="K36" s="213"/>
      <c r="L36" s="402"/>
      <c r="M36" s="24"/>
    </row>
    <row r="37" spans="1:14" ht="15.75" x14ac:dyDescent="0.2">
      <c r="A37" s="12" t="s">
        <v>349</v>
      </c>
      <c r="B37" s="213"/>
      <c r="C37" s="285"/>
      <c r="D37" s="171"/>
      <c r="E37" s="11"/>
      <c r="F37" s="295"/>
      <c r="G37" s="297"/>
      <c r="H37" s="171"/>
      <c r="I37" s="408"/>
      <c r="J37" s="213"/>
      <c r="K37" s="213"/>
      <c r="L37" s="402"/>
      <c r="M37" s="24"/>
    </row>
    <row r="38" spans="1:14" ht="15.75" x14ac:dyDescent="0.2">
      <c r="A38" s="12" t="s">
        <v>350</v>
      </c>
      <c r="B38" s="213"/>
      <c r="C38" s="285"/>
      <c r="D38" s="171"/>
      <c r="E38" s="24"/>
      <c r="F38" s="295"/>
      <c r="G38" s="296"/>
      <c r="H38" s="171"/>
      <c r="I38" s="408"/>
      <c r="J38" s="213"/>
      <c r="K38" s="213"/>
      <c r="L38" s="402"/>
      <c r="M38" s="24"/>
    </row>
    <row r="39" spans="1:14" ht="15.75" x14ac:dyDescent="0.2">
      <c r="A39" s="18" t="s">
        <v>351</v>
      </c>
      <c r="B39" s="253"/>
      <c r="C39" s="291"/>
      <c r="D39" s="169"/>
      <c r="E39" s="36"/>
      <c r="F39" s="298"/>
      <c r="G39" s="299"/>
      <c r="H39" s="169"/>
      <c r="I39" s="36"/>
      <c r="J39" s="213"/>
      <c r="K39" s="213"/>
      <c r="L39" s="403"/>
      <c r="M39" s="36"/>
    </row>
    <row r="40" spans="1:14" ht="15.75" x14ac:dyDescent="0.25">
      <c r="A40" s="47"/>
      <c r="B40" s="230"/>
      <c r="C40" s="230"/>
      <c r="D40" s="698"/>
      <c r="E40" s="698"/>
      <c r="F40" s="698"/>
      <c r="G40" s="698"/>
      <c r="H40" s="698"/>
      <c r="I40" s="698"/>
      <c r="J40" s="698"/>
      <c r="K40" s="698"/>
      <c r="L40" s="698"/>
      <c r="M40" s="278"/>
    </row>
    <row r="41" spans="1:14" x14ac:dyDescent="0.2">
      <c r="A41" s="155"/>
    </row>
    <row r="42" spans="1:14" ht="15.75" x14ac:dyDescent="0.25">
      <c r="A42" s="147" t="s">
        <v>249</v>
      </c>
      <c r="B42" s="699"/>
      <c r="C42" s="699"/>
      <c r="D42" s="699"/>
      <c r="E42" s="275"/>
      <c r="F42" s="700"/>
      <c r="G42" s="700"/>
      <c r="H42" s="700"/>
      <c r="I42" s="278"/>
      <c r="J42" s="700"/>
      <c r="K42" s="700"/>
      <c r="L42" s="700"/>
      <c r="M42" s="278"/>
    </row>
    <row r="43" spans="1:14" ht="15.75" x14ac:dyDescent="0.25">
      <c r="A43" s="163"/>
      <c r="B43" s="279"/>
      <c r="C43" s="279"/>
      <c r="D43" s="279"/>
      <c r="E43" s="279"/>
      <c r="F43" s="278"/>
      <c r="G43" s="278"/>
      <c r="H43" s="278"/>
      <c r="I43" s="278"/>
      <c r="J43" s="278"/>
      <c r="K43" s="278"/>
      <c r="L43" s="278"/>
      <c r="M43" s="278"/>
    </row>
    <row r="44" spans="1:14" ht="15.75" x14ac:dyDescent="0.25">
      <c r="A44" s="224"/>
      <c r="B44" s="695" t="s">
        <v>0</v>
      </c>
      <c r="C44" s="696"/>
      <c r="D44" s="696"/>
      <c r="E44" s="220"/>
      <c r="F44" s="278"/>
      <c r="G44" s="278"/>
      <c r="H44" s="278"/>
      <c r="I44" s="278"/>
      <c r="J44" s="278"/>
      <c r="K44" s="278"/>
      <c r="L44" s="278"/>
      <c r="M44" s="278"/>
    </row>
    <row r="45" spans="1:14" s="3" customFormat="1" x14ac:dyDescent="0.2">
      <c r="A45" s="140"/>
      <c r="B45" s="152" t="s">
        <v>412</v>
      </c>
      <c r="C45" s="152" t="s">
        <v>413</v>
      </c>
      <c r="D45" s="162" t="s">
        <v>3</v>
      </c>
      <c r="E45" s="162" t="s">
        <v>29</v>
      </c>
      <c r="F45" s="174"/>
      <c r="G45" s="174"/>
      <c r="H45" s="173"/>
      <c r="I45" s="173"/>
      <c r="J45" s="174"/>
      <c r="K45" s="174"/>
      <c r="L45" s="173"/>
      <c r="M45" s="173"/>
      <c r="N45" s="148"/>
    </row>
    <row r="46" spans="1:14" s="3" customFormat="1" x14ac:dyDescent="0.2">
      <c r="A46" s="662"/>
      <c r="B46" s="221"/>
      <c r="C46" s="221"/>
      <c r="D46" s="222" t="s">
        <v>4</v>
      </c>
      <c r="E46" s="156" t="s">
        <v>30</v>
      </c>
      <c r="F46" s="173"/>
      <c r="G46" s="173"/>
      <c r="H46" s="173"/>
      <c r="I46" s="173"/>
      <c r="J46" s="173"/>
      <c r="K46" s="173"/>
      <c r="L46" s="173"/>
      <c r="M46" s="173"/>
      <c r="N46" s="148"/>
    </row>
    <row r="47" spans="1:14" s="3" customFormat="1" ht="15.75" x14ac:dyDescent="0.2">
      <c r="A47" s="14" t="s">
        <v>23</v>
      </c>
      <c r="B47" s="286">
        <v>0</v>
      </c>
      <c r="C47" s="287">
        <v>364</v>
      </c>
      <c r="D47" s="401" t="str">
        <f t="shared" ref="D47:D48" si="0">IF(B47=0, "    ---- ", IF(ABS(ROUND(100/B47*C47-100,1))&lt;999,ROUND(100/B47*C47-100,1),IF(ROUND(100/B47*C47-100,1)&gt;999,999,-999)))</f>
        <v xml:space="preserve">    ---- </v>
      </c>
      <c r="E47" s="11">
        <f>IFERROR(100/'Skjema total MA'!C47*C47,0)</f>
        <v>1.1505989296917738E-2</v>
      </c>
      <c r="F47" s="145"/>
      <c r="G47" s="33"/>
      <c r="H47" s="159"/>
      <c r="I47" s="159"/>
      <c r="J47" s="37"/>
      <c r="K47" s="37"/>
      <c r="L47" s="159"/>
      <c r="M47" s="159"/>
      <c r="N47" s="148"/>
    </row>
    <row r="48" spans="1:14" s="3" customFormat="1" ht="15.75" x14ac:dyDescent="0.2">
      <c r="A48" s="38" t="s">
        <v>352</v>
      </c>
      <c r="B48" s="258">
        <v>0</v>
      </c>
      <c r="C48" s="259">
        <v>364</v>
      </c>
      <c r="D48" s="231" t="str">
        <f t="shared" si="0"/>
        <v xml:space="preserve">    ---- </v>
      </c>
      <c r="E48" s="27">
        <f>IFERROR(100/'Skjema total MA'!C48*C48,0)</f>
        <v>2.1221137972699099E-2</v>
      </c>
      <c r="F48" s="145"/>
      <c r="G48" s="33"/>
      <c r="H48" s="145"/>
      <c r="I48" s="145"/>
      <c r="J48" s="33"/>
      <c r="K48" s="33"/>
      <c r="L48" s="159"/>
      <c r="M48" s="159"/>
      <c r="N48" s="148"/>
    </row>
    <row r="49" spans="1:14" s="3" customFormat="1" ht="15.75" x14ac:dyDescent="0.2">
      <c r="A49" s="38" t="s">
        <v>353</v>
      </c>
      <c r="B49" s="44"/>
      <c r="C49" s="264"/>
      <c r="D49" s="231"/>
      <c r="E49" s="27"/>
      <c r="F49" s="145"/>
      <c r="G49" s="33"/>
      <c r="H49" s="145"/>
      <c r="I49" s="145"/>
      <c r="J49" s="37"/>
      <c r="K49" s="37"/>
      <c r="L49" s="159"/>
      <c r="M49" s="159"/>
      <c r="N49" s="148"/>
    </row>
    <row r="50" spans="1:14" s="3" customFormat="1" x14ac:dyDescent="0.2">
      <c r="A50" s="272" t="s">
        <v>6</v>
      </c>
      <c r="B50" s="295"/>
      <c r="C50" s="295"/>
      <c r="D50" s="231"/>
      <c r="E50" s="23"/>
      <c r="F50" s="145"/>
      <c r="G50" s="33"/>
      <c r="H50" s="145"/>
      <c r="I50" s="145"/>
      <c r="J50" s="33"/>
      <c r="K50" s="33"/>
      <c r="L50" s="159"/>
      <c r="M50" s="159"/>
      <c r="N50" s="148"/>
    </row>
    <row r="51" spans="1:14" s="3" customFormat="1" x14ac:dyDescent="0.2">
      <c r="A51" s="272" t="s">
        <v>7</v>
      </c>
      <c r="B51" s="295"/>
      <c r="C51" s="295"/>
      <c r="D51" s="231"/>
      <c r="E51" s="23"/>
      <c r="F51" s="145"/>
      <c r="G51" s="33"/>
      <c r="H51" s="145"/>
      <c r="I51" s="145"/>
      <c r="J51" s="33"/>
      <c r="K51" s="33"/>
      <c r="L51" s="159"/>
      <c r="M51" s="159"/>
      <c r="N51" s="148"/>
    </row>
    <row r="52" spans="1:14" s="3" customFormat="1" x14ac:dyDescent="0.2">
      <c r="A52" s="272" t="s">
        <v>8</v>
      </c>
      <c r="B52" s="295"/>
      <c r="C52" s="295"/>
      <c r="D52" s="231"/>
      <c r="E52" s="23"/>
      <c r="F52" s="145"/>
      <c r="G52" s="33"/>
      <c r="H52" s="145"/>
      <c r="I52" s="145"/>
      <c r="J52" s="33"/>
      <c r="K52" s="33"/>
      <c r="L52" s="159"/>
      <c r="M52" s="159"/>
      <c r="N52" s="148"/>
    </row>
    <row r="53" spans="1:14" s="3" customFormat="1" ht="15.75" x14ac:dyDescent="0.2">
      <c r="A53" s="39" t="s">
        <v>354</v>
      </c>
      <c r="B53" s="286"/>
      <c r="C53" s="287"/>
      <c r="D53" s="402"/>
      <c r="E53" s="11"/>
      <c r="F53" s="145"/>
      <c r="G53" s="33"/>
      <c r="H53" s="145"/>
      <c r="I53" s="145"/>
      <c r="J53" s="33"/>
      <c r="K53" s="33"/>
      <c r="L53" s="159"/>
      <c r="M53" s="159"/>
      <c r="N53" s="148"/>
    </row>
    <row r="54" spans="1:14" s="3" customFormat="1" ht="15.75" x14ac:dyDescent="0.2">
      <c r="A54" s="38" t="s">
        <v>352</v>
      </c>
      <c r="B54" s="258"/>
      <c r="C54" s="259"/>
      <c r="D54" s="231"/>
      <c r="E54" s="27"/>
      <c r="F54" s="145"/>
      <c r="G54" s="33"/>
      <c r="H54" s="145"/>
      <c r="I54" s="145"/>
      <c r="J54" s="33"/>
      <c r="K54" s="33"/>
      <c r="L54" s="159"/>
      <c r="M54" s="159"/>
      <c r="N54" s="148"/>
    </row>
    <row r="55" spans="1:14" s="3" customFormat="1" ht="15.75" x14ac:dyDescent="0.2">
      <c r="A55" s="38" t="s">
        <v>353</v>
      </c>
      <c r="B55" s="258"/>
      <c r="C55" s="259"/>
      <c r="D55" s="231"/>
      <c r="E55" s="27"/>
      <c r="F55" s="145"/>
      <c r="G55" s="33"/>
      <c r="H55" s="145"/>
      <c r="I55" s="145"/>
      <c r="J55" s="33"/>
      <c r="K55" s="33"/>
      <c r="L55" s="159"/>
      <c r="M55" s="159"/>
      <c r="N55" s="148"/>
    </row>
    <row r="56" spans="1:14" s="3" customFormat="1" ht="15.75" x14ac:dyDescent="0.2">
      <c r="A56" s="39" t="s">
        <v>355</v>
      </c>
      <c r="B56" s="286"/>
      <c r="C56" s="287"/>
      <c r="D56" s="402"/>
      <c r="E56" s="11"/>
      <c r="F56" s="145"/>
      <c r="G56" s="33"/>
      <c r="H56" s="145"/>
      <c r="I56" s="145"/>
      <c r="J56" s="33"/>
      <c r="K56" s="33"/>
      <c r="L56" s="159"/>
      <c r="M56" s="159"/>
      <c r="N56" s="148"/>
    </row>
    <row r="57" spans="1:14" s="3" customFormat="1" ht="15.75" x14ac:dyDescent="0.2">
      <c r="A57" s="38" t="s">
        <v>352</v>
      </c>
      <c r="B57" s="258"/>
      <c r="C57" s="259"/>
      <c r="D57" s="231"/>
      <c r="E57" s="27"/>
      <c r="F57" s="145"/>
      <c r="G57" s="33"/>
      <c r="H57" s="145"/>
      <c r="I57" s="145"/>
      <c r="J57" s="33"/>
      <c r="K57" s="33"/>
      <c r="L57" s="159"/>
      <c r="M57" s="159"/>
      <c r="N57" s="148"/>
    </row>
    <row r="58" spans="1:14" s="3" customFormat="1" ht="15.75" x14ac:dyDescent="0.2">
      <c r="A58" s="46" t="s">
        <v>353</v>
      </c>
      <c r="B58" s="260"/>
      <c r="C58" s="261"/>
      <c r="D58" s="232"/>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250</v>
      </c>
      <c r="C61" s="26"/>
      <c r="D61" s="26"/>
      <c r="E61" s="26"/>
      <c r="F61" s="26"/>
      <c r="G61" s="26"/>
      <c r="H61" s="26"/>
      <c r="I61" s="26"/>
      <c r="J61" s="26"/>
      <c r="K61" s="26"/>
      <c r="L61" s="26"/>
      <c r="M61" s="26"/>
    </row>
    <row r="62" spans="1:14" ht="15.75" x14ac:dyDescent="0.25">
      <c r="B62" s="694"/>
      <c r="C62" s="694"/>
      <c r="D62" s="694"/>
      <c r="E62" s="275"/>
      <c r="F62" s="694"/>
      <c r="G62" s="694"/>
      <c r="H62" s="694"/>
      <c r="I62" s="275"/>
      <c r="J62" s="694"/>
      <c r="K62" s="694"/>
      <c r="L62" s="694"/>
      <c r="M62" s="275"/>
    </row>
    <row r="63" spans="1:14" x14ac:dyDescent="0.2">
      <c r="A63" s="144"/>
      <c r="B63" s="695" t="s">
        <v>0</v>
      </c>
      <c r="C63" s="696"/>
      <c r="D63" s="697"/>
      <c r="E63" s="276"/>
      <c r="F63" s="696" t="s">
        <v>1</v>
      </c>
      <c r="G63" s="696"/>
      <c r="H63" s="696"/>
      <c r="I63" s="280"/>
      <c r="J63" s="695" t="s">
        <v>2</v>
      </c>
      <c r="K63" s="696"/>
      <c r="L63" s="696"/>
      <c r="M63" s="280"/>
    </row>
    <row r="64" spans="1:14" x14ac:dyDescent="0.2">
      <c r="A64" s="140"/>
      <c r="B64" s="152" t="s">
        <v>412</v>
      </c>
      <c r="C64" s="152" t="s">
        <v>413</v>
      </c>
      <c r="D64" s="222" t="s">
        <v>3</v>
      </c>
      <c r="E64" s="281" t="s">
        <v>29</v>
      </c>
      <c r="F64" s="152" t="s">
        <v>412</v>
      </c>
      <c r="G64" s="152" t="s">
        <v>413</v>
      </c>
      <c r="H64" s="222" t="s">
        <v>3</v>
      </c>
      <c r="I64" s="281" t="s">
        <v>29</v>
      </c>
      <c r="J64" s="152" t="s">
        <v>412</v>
      </c>
      <c r="K64" s="152" t="s">
        <v>413</v>
      </c>
      <c r="L64" s="222" t="s">
        <v>3</v>
      </c>
      <c r="M64" s="162" t="s">
        <v>29</v>
      </c>
    </row>
    <row r="65" spans="1:14" x14ac:dyDescent="0.2">
      <c r="A65" s="662"/>
      <c r="B65" s="156"/>
      <c r="C65" s="156"/>
      <c r="D65" s="223" t="s">
        <v>4</v>
      </c>
      <c r="E65" s="156" t="s">
        <v>30</v>
      </c>
      <c r="F65" s="161"/>
      <c r="G65" s="161"/>
      <c r="H65" s="222" t="s">
        <v>4</v>
      </c>
      <c r="I65" s="156" t="s">
        <v>30</v>
      </c>
      <c r="J65" s="161"/>
      <c r="K65" s="203"/>
      <c r="L65" s="156" t="s">
        <v>4</v>
      </c>
      <c r="M65" s="156" t="s">
        <v>30</v>
      </c>
    </row>
    <row r="66" spans="1:14" ht="15.75" x14ac:dyDescent="0.2">
      <c r="A66" s="14" t="s">
        <v>23</v>
      </c>
      <c r="B66" s="329"/>
      <c r="C66" s="329"/>
      <c r="D66" s="326"/>
      <c r="E66" s="11"/>
      <c r="F66" s="328"/>
      <c r="G66" s="328"/>
      <c r="H66" s="326"/>
      <c r="I66" s="24"/>
      <c r="J66" s="159"/>
      <c r="K66" s="292"/>
      <c r="L66" s="402"/>
      <c r="M66" s="11"/>
    </row>
    <row r="67" spans="1:14" x14ac:dyDescent="0.2">
      <c r="A67" s="393" t="s">
        <v>9</v>
      </c>
      <c r="B67" s="44"/>
      <c r="C67" s="145"/>
      <c r="D67" s="166"/>
      <c r="E67" s="23"/>
      <c r="F67" s="211"/>
      <c r="G67" s="145"/>
      <c r="H67" s="166"/>
      <c r="I67" s="23"/>
      <c r="J67" s="145"/>
      <c r="K67" s="44"/>
      <c r="L67" s="231"/>
      <c r="M67" s="27"/>
    </row>
    <row r="68" spans="1:14" x14ac:dyDescent="0.2">
      <c r="A68" s="21" t="s">
        <v>10</v>
      </c>
      <c r="B68" s="268"/>
      <c r="C68" s="269"/>
      <c r="D68" s="166"/>
      <c r="E68" s="23"/>
      <c r="F68" s="268"/>
      <c r="G68" s="269"/>
      <c r="H68" s="166"/>
      <c r="I68" s="23"/>
      <c r="J68" s="145"/>
      <c r="K68" s="44"/>
      <c r="L68" s="231"/>
      <c r="M68" s="27"/>
    </row>
    <row r="69" spans="1:14" ht="15.75" x14ac:dyDescent="0.2">
      <c r="A69" s="272" t="s">
        <v>356</v>
      </c>
      <c r="B69" s="295"/>
      <c r="C69" s="295"/>
      <c r="D69" s="166"/>
      <c r="E69" s="23"/>
      <c r="F69" s="295"/>
      <c r="G69" s="295"/>
      <c r="H69" s="166"/>
      <c r="I69" s="23"/>
      <c r="J69" s="295"/>
      <c r="K69" s="295"/>
      <c r="L69" s="166"/>
      <c r="M69" s="23"/>
    </row>
    <row r="70" spans="1:14" x14ac:dyDescent="0.2">
      <c r="A70" s="272" t="s">
        <v>12</v>
      </c>
      <c r="B70" s="270"/>
      <c r="C70" s="271"/>
      <c r="D70" s="166"/>
      <c r="E70" s="23"/>
      <c r="F70" s="270"/>
      <c r="G70" s="271"/>
      <c r="H70" s="166"/>
      <c r="I70" s="23"/>
      <c r="J70" s="270"/>
      <c r="K70" s="271"/>
      <c r="L70" s="166"/>
      <c r="M70" s="23"/>
    </row>
    <row r="71" spans="1:14" x14ac:dyDescent="0.2">
      <c r="A71" s="272" t="s">
        <v>13</v>
      </c>
      <c r="B71" s="212"/>
      <c r="C71" s="266"/>
      <c r="D71" s="166"/>
      <c r="E71" s="23"/>
      <c r="F71" s="212"/>
      <c r="G71" s="266"/>
      <c r="H71" s="166"/>
      <c r="I71" s="23"/>
      <c r="J71" s="212"/>
      <c r="K71" s="266"/>
      <c r="L71" s="166"/>
      <c r="M71" s="23"/>
    </row>
    <row r="72" spans="1:14" ht="15.75" x14ac:dyDescent="0.2">
      <c r="A72" s="272" t="s">
        <v>357</v>
      </c>
      <c r="B72" s="295"/>
      <c r="C72" s="295"/>
      <c r="D72" s="166"/>
      <c r="E72" s="23"/>
      <c r="F72" s="295"/>
      <c r="G72" s="295"/>
      <c r="H72" s="166"/>
      <c r="I72" s="23"/>
      <c r="J72" s="295"/>
      <c r="K72" s="295"/>
      <c r="L72" s="166"/>
      <c r="M72" s="23"/>
    </row>
    <row r="73" spans="1:14" x14ac:dyDescent="0.2">
      <c r="A73" s="272" t="s">
        <v>12</v>
      </c>
      <c r="B73" s="212"/>
      <c r="C73" s="266"/>
      <c r="D73" s="166"/>
      <c r="E73" s="23"/>
      <c r="F73" s="212"/>
      <c r="G73" s="266"/>
      <c r="H73" s="166"/>
      <c r="I73" s="23"/>
      <c r="J73" s="212"/>
      <c r="K73" s="266"/>
      <c r="L73" s="166"/>
      <c r="M73" s="23"/>
    </row>
    <row r="74" spans="1:14" s="3" customFormat="1" x14ac:dyDescent="0.2">
      <c r="A74" s="272" t="s">
        <v>13</v>
      </c>
      <c r="B74" s="212"/>
      <c r="C74" s="266"/>
      <c r="D74" s="166"/>
      <c r="E74" s="23"/>
      <c r="F74" s="212"/>
      <c r="G74" s="266"/>
      <c r="H74" s="166"/>
      <c r="I74" s="23"/>
      <c r="J74" s="212"/>
      <c r="K74" s="266"/>
      <c r="L74" s="166"/>
      <c r="M74" s="23"/>
      <c r="N74" s="148"/>
    </row>
    <row r="75" spans="1:14" s="3" customFormat="1" x14ac:dyDescent="0.2">
      <c r="A75" s="21" t="s">
        <v>326</v>
      </c>
      <c r="B75" s="211"/>
      <c r="C75" s="145"/>
      <c r="D75" s="166"/>
      <c r="E75" s="23"/>
      <c r="F75" s="211"/>
      <c r="G75" s="145"/>
      <c r="H75" s="166"/>
      <c r="I75" s="23"/>
      <c r="J75" s="145"/>
      <c r="K75" s="44"/>
      <c r="L75" s="231"/>
      <c r="M75" s="27"/>
      <c r="N75" s="148"/>
    </row>
    <row r="76" spans="1:14" s="3" customFormat="1" x14ac:dyDescent="0.2">
      <c r="A76" s="21" t="s">
        <v>325</v>
      </c>
      <c r="B76" s="211"/>
      <c r="C76" s="145"/>
      <c r="D76" s="166"/>
      <c r="E76" s="23"/>
      <c r="F76" s="211"/>
      <c r="G76" s="145"/>
      <c r="H76" s="166"/>
      <c r="I76" s="23"/>
      <c r="J76" s="145"/>
      <c r="K76" s="44"/>
      <c r="L76" s="231"/>
      <c r="M76" s="27"/>
      <c r="N76" s="148"/>
    </row>
    <row r="77" spans="1:14" ht="15.75" x14ac:dyDescent="0.2">
      <c r="A77" s="21" t="s">
        <v>358</v>
      </c>
      <c r="B77" s="211"/>
      <c r="C77" s="211"/>
      <c r="D77" s="166"/>
      <c r="E77" s="23"/>
      <c r="F77" s="211"/>
      <c r="G77" s="145"/>
      <c r="H77" s="166"/>
      <c r="I77" s="23"/>
      <c r="J77" s="145"/>
      <c r="K77" s="44"/>
      <c r="L77" s="231"/>
      <c r="M77" s="27"/>
    </row>
    <row r="78" spans="1:14" x14ac:dyDescent="0.2">
      <c r="A78" s="21" t="s">
        <v>9</v>
      </c>
      <c r="B78" s="211"/>
      <c r="C78" s="145"/>
      <c r="D78" s="166"/>
      <c r="E78" s="23"/>
      <c r="F78" s="211"/>
      <c r="G78" s="145"/>
      <c r="H78" s="166"/>
      <c r="I78" s="23"/>
      <c r="J78" s="145"/>
      <c r="K78" s="44"/>
      <c r="L78" s="231"/>
      <c r="M78" s="27"/>
    </row>
    <row r="79" spans="1:14" x14ac:dyDescent="0.2">
      <c r="A79" s="38" t="s">
        <v>398</v>
      </c>
      <c r="B79" s="268"/>
      <c r="C79" s="269"/>
      <c r="D79" s="166"/>
      <c r="E79" s="23"/>
      <c r="F79" s="268"/>
      <c r="G79" s="269"/>
      <c r="H79" s="166"/>
      <c r="I79" s="23"/>
      <c r="J79" s="145"/>
      <c r="K79" s="44"/>
      <c r="L79" s="231"/>
      <c r="M79" s="27"/>
    </row>
    <row r="80" spans="1:14" ht="15.75" x14ac:dyDescent="0.2">
      <c r="A80" s="272" t="s">
        <v>356</v>
      </c>
      <c r="B80" s="295"/>
      <c r="C80" s="295"/>
      <c r="D80" s="166"/>
      <c r="E80" s="23"/>
      <c r="F80" s="295"/>
      <c r="G80" s="295"/>
      <c r="H80" s="166"/>
      <c r="I80" s="23"/>
      <c r="J80" s="295"/>
      <c r="K80" s="295"/>
      <c r="L80" s="166"/>
      <c r="M80" s="23"/>
    </row>
    <row r="81" spans="1:13" x14ac:dyDescent="0.2">
      <c r="A81" s="272" t="s">
        <v>12</v>
      </c>
      <c r="B81" s="295"/>
      <c r="C81" s="295"/>
      <c r="D81" s="166"/>
      <c r="E81" s="23"/>
      <c r="F81" s="270"/>
      <c r="G81" s="271"/>
      <c r="H81" s="166"/>
      <c r="I81" s="23"/>
      <c r="J81" s="270"/>
      <c r="K81" s="271"/>
      <c r="L81" s="166"/>
      <c r="M81" s="23"/>
    </row>
    <row r="82" spans="1:13" x14ac:dyDescent="0.2">
      <c r="A82" s="272" t="s">
        <v>13</v>
      </c>
      <c r="B82" s="295"/>
      <c r="C82" s="295"/>
      <c r="D82" s="166"/>
      <c r="E82" s="23"/>
      <c r="F82" s="212"/>
      <c r="G82" s="266"/>
      <c r="H82" s="166"/>
      <c r="I82" s="23"/>
      <c r="J82" s="212"/>
      <c r="K82" s="266"/>
      <c r="L82" s="166"/>
      <c r="M82" s="23"/>
    </row>
    <row r="83" spans="1:13" ht="15.75" x14ac:dyDescent="0.2">
      <c r="A83" s="272" t="s">
        <v>357</v>
      </c>
      <c r="B83" s="295"/>
      <c r="C83" s="295"/>
      <c r="D83" s="166"/>
      <c r="E83" s="23"/>
      <c r="F83" s="295"/>
      <c r="G83" s="295"/>
      <c r="H83" s="166"/>
      <c r="I83" s="23"/>
      <c r="J83" s="295"/>
      <c r="K83" s="295"/>
      <c r="L83" s="166"/>
      <c r="M83" s="23"/>
    </row>
    <row r="84" spans="1:13" x14ac:dyDescent="0.2">
      <c r="A84" s="272" t="s">
        <v>12</v>
      </c>
      <c r="B84" s="212"/>
      <c r="C84" s="266"/>
      <c r="D84" s="166"/>
      <c r="E84" s="23"/>
      <c r="F84" s="212"/>
      <c r="G84" s="266"/>
      <c r="H84" s="166"/>
      <c r="I84" s="23"/>
      <c r="J84" s="212"/>
      <c r="K84" s="266"/>
      <c r="L84" s="166"/>
      <c r="M84" s="23"/>
    </row>
    <row r="85" spans="1:13" x14ac:dyDescent="0.2">
      <c r="A85" s="272" t="s">
        <v>13</v>
      </c>
      <c r="B85" s="212"/>
      <c r="C85" s="266"/>
      <c r="D85" s="166"/>
      <c r="E85" s="23"/>
      <c r="F85" s="212"/>
      <c r="G85" s="266"/>
      <c r="H85" s="166"/>
      <c r="I85" s="23"/>
      <c r="J85" s="212"/>
      <c r="K85" s="266"/>
      <c r="L85" s="166"/>
      <c r="M85" s="23"/>
    </row>
    <row r="86" spans="1:13" ht="15.75" x14ac:dyDescent="0.2">
      <c r="A86" s="21" t="s">
        <v>359</v>
      </c>
      <c r="B86" s="211"/>
      <c r="C86" s="145"/>
      <c r="D86" s="166"/>
      <c r="E86" s="23"/>
      <c r="F86" s="211"/>
      <c r="G86" s="145"/>
      <c r="H86" s="166"/>
      <c r="I86" s="23"/>
      <c r="J86" s="145"/>
      <c r="K86" s="44"/>
      <c r="L86" s="231"/>
      <c r="M86" s="27"/>
    </row>
    <row r="87" spans="1:13" ht="15.75" x14ac:dyDescent="0.2">
      <c r="A87" s="13" t="s">
        <v>341</v>
      </c>
      <c r="B87" s="329"/>
      <c r="C87" s="329"/>
      <c r="D87" s="171"/>
      <c r="E87" s="24"/>
      <c r="F87" s="328"/>
      <c r="G87" s="328"/>
      <c r="H87" s="171"/>
      <c r="I87" s="24"/>
      <c r="J87" s="159"/>
      <c r="K87" s="213"/>
      <c r="L87" s="402"/>
      <c r="M87" s="11"/>
    </row>
    <row r="88" spans="1:13" x14ac:dyDescent="0.2">
      <c r="A88" s="21" t="s">
        <v>9</v>
      </c>
      <c r="B88" s="211"/>
      <c r="C88" s="145"/>
      <c r="D88" s="166"/>
      <c r="E88" s="23"/>
      <c r="F88" s="211"/>
      <c r="G88" s="145"/>
      <c r="H88" s="166"/>
      <c r="I88" s="23"/>
      <c r="J88" s="145"/>
      <c r="K88" s="44"/>
      <c r="L88" s="231"/>
      <c r="M88" s="27"/>
    </row>
    <row r="89" spans="1:13" x14ac:dyDescent="0.2">
      <c r="A89" s="21" t="s">
        <v>10</v>
      </c>
      <c r="B89" s="211"/>
      <c r="C89" s="145"/>
      <c r="D89" s="166"/>
      <c r="E89" s="23"/>
      <c r="F89" s="211"/>
      <c r="G89" s="145"/>
      <c r="H89" s="166"/>
      <c r="I89" s="23"/>
      <c r="J89" s="145"/>
      <c r="K89" s="44"/>
      <c r="L89" s="231"/>
      <c r="M89" s="27"/>
    </row>
    <row r="90" spans="1:13" ht="15.75" x14ac:dyDescent="0.2">
      <c r="A90" s="272" t="s">
        <v>356</v>
      </c>
      <c r="B90" s="295"/>
      <c r="C90" s="295"/>
      <c r="D90" s="166"/>
      <c r="E90" s="23"/>
      <c r="F90" s="295"/>
      <c r="G90" s="295"/>
      <c r="H90" s="166"/>
      <c r="I90" s="23"/>
      <c r="J90" s="295"/>
      <c r="K90" s="295"/>
      <c r="L90" s="166"/>
      <c r="M90" s="23"/>
    </row>
    <row r="91" spans="1:13" x14ac:dyDescent="0.2">
      <c r="A91" s="272" t="s">
        <v>12</v>
      </c>
      <c r="B91" s="295"/>
      <c r="C91" s="295"/>
      <c r="D91" s="166"/>
      <c r="E91" s="23"/>
      <c r="F91" s="270"/>
      <c r="G91" s="271"/>
      <c r="H91" s="166"/>
      <c r="I91" s="23"/>
      <c r="J91" s="270"/>
      <c r="K91" s="271"/>
      <c r="L91" s="166"/>
      <c r="M91" s="23"/>
    </row>
    <row r="92" spans="1:13" x14ac:dyDescent="0.2">
      <c r="A92" s="272" t="s">
        <v>13</v>
      </c>
      <c r="B92" s="295"/>
      <c r="C92" s="295"/>
      <c r="D92" s="166"/>
      <c r="E92" s="23"/>
      <c r="F92" s="212"/>
      <c r="G92" s="266"/>
      <c r="H92" s="166"/>
      <c r="I92" s="23"/>
      <c r="J92" s="212"/>
      <c r="K92" s="266"/>
      <c r="L92" s="166"/>
      <c r="M92" s="23"/>
    </row>
    <row r="93" spans="1:13" ht="15.75" x14ac:dyDescent="0.2">
      <c r="A93" s="272" t="s">
        <v>357</v>
      </c>
      <c r="B93" s="295"/>
      <c r="C93" s="295"/>
      <c r="D93" s="166"/>
      <c r="E93" s="23"/>
      <c r="F93" s="295"/>
      <c r="G93" s="295"/>
      <c r="H93" s="166"/>
      <c r="I93" s="23"/>
      <c r="J93" s="295"/>
      <c r="K93" s="295"/>
      <c r="L93" s="166"/>
      <c r="M93" s="23"/>
    </row>
    <row r="94" spans="1:13" x14ac:dyDescent="0.2">
      <c r="A94" s="272" t="s">
        <v>12</v>
      </c>
      <c r="B94" s="212"/>
      <c r="C94" s="266"/>
      <c r="D94" s="166"/>
      <c r="E94" s="23"/>
      <c r="F94" s="212"/>
      <c r="G94" s="266"/>
      <c r="H94" s="166"/>
      <c r="I94" s="23"/>
      <c r="J94" s="212"/>
      <c r="K94" s="266"/>
      <c r="L94" s="166"/>
      <c r="M94" s="23"/>
    </row>
    <row r="95" spans="1:13" x14ac:dyDescent="0.2">
      <c r="A95" s="272" t="s">
        <v>13</v>
      </c>
      <c r="B95" s="212"/>
      <c r="C95" s="266"/>
      <c r="D95" s="166"/>
      <c r="E95" s="23"/>
      <c r="F95" s="212"/>
      <c r="G95" s="266"/>
      <c r="H95" s="166"/>
      <c r="I95" s="23"/>
      <c r="J95" s="212"/>
      <c r="K95" s="266"/>
      <c r="L95" s="166"/>
      <c r="M95" s="23"/>
    </row>
    <row r="96" spans="1:13" x14ac:dyDescent="0.2">
      <c r="A96" s="21" t="s">
        <v>324</v>
      </c>
      <c r="B96" s="211"/>
      <c r="C96" s="145"/>
      <c r="D96" s="166"/>
      <c r="E96" s="23"/>
      <c r="F96" s="211"/>
      <c r="G96" s="145"/>
      <c r="H96" s="166"/>
      <c r="I96" s="23"/>
      <c r="J96" s="145"/>
      <c r="K96" s="44"/>
      <c r="L96" s="231"/>
      <c r="M96" s="27"/>
    </row>
    <row r="97" spans="1:13" x14ac:dyDescent="0.2">
      <c r="A97" s="21" t="s">
        <v>323</v>
      </c>
      <c r="B97" s="211"/>
      <c r="C97" s="145"/>
      <c r="D97" s="166"/>
      <c r="E97" s="23"/>
      <c r="F97" s="211"/>
      <c r="G97" s="145"/>
      <c r="H97" s="166"/>
      <c r="I97" s="23"/>
      <c r="J97" s="145"/>
      <c r="K97" s="44"/>
      <c r="L97" s="231"/>
      <c r="M97" s="27"/>
    </row>
    <row r="98" spans="1:13" ht="15.75" x14ac:dyDescent="0.2">
      <c r="A98" s="21" t="s">
        <v>358</v>
      </c>
      <c r="B98" s="211"/>
      <c r="C98" s="211"/>
      <c r="D98" s="166"/>
      <c r="E98" s="23"/>
      <c r="F98" s="268"/>
      <c r="G98" s="268"/>
      <c r="H98" s="166"/>
      <c r="I98" s="23"/>
      <c r="J98" s="145"/>
      <c r="K98" s="44"/>
      <c r="L98" s="231"/>
      <c r="M98" s="27"/>
    </row>
    <row r="99" spans="1:13" x14ac:dyDescent="0.2">
      <c r="A99" s="21" t="s">
        <v>9</v>
      </c>
      <c r="B99" s="268"/>
      <c r="C99" s="269"/>
      <c r="D99" s="166"/>
      <c r="E99" s="23"/>
      <c r="F99" s="211"/>
      <c r="G99" s="145"/>
      <c r="H99" s="166"/>
      <c r="I99" s="23"/>
      <c r="J99" s="145"/>
      <c r="K99" s="44"/>
      <c r="L99" s="231"/>
      <c r="M99" s="27"/>
    </row>
    <row r="100" spans="1:13" ht="15.75" x14ac:dyDescent="0.2">
      <c r="A100" s="38" t="s">
        <v>399</v>
      </c>
      <c r="B100" s="268"/>
      <c r="C100" s="269"/>
      <c r="D100" s="166"/>
      <c r="E100" s="23"/>
      <c r="F100" s="211"/>
      <c r="G100" s="211"/>
      <c r="H100" s="166"/>
      <c r="I100" s="23"/>
      <c r="J100" s="145"/>
      <c r="K100" s="44"/>
      <c r="L100" s="231"/>
      <c r="M100" s="27"/>
    </row>
    <row r="101" spans="1:13" ht="15.75" x14ac:dyDescent="0.2">
      <c r="A101" s="38" t="s">
        <v>400</v>
      </c>
      <c r="B101" s="268"/>
      <c r="C101" s="268"/>
      <c r="D101" s="166"/>
      <c r="E101" s="23"/>
      <c r="F101" s="268"/>
      <c r="G101" s="268"/>
      <c r="H101" s="166"/>
      <c r="I101" s="23"/>
      <c r="J101" s="145"/>
      <c r="K101" s="44"/>
      <c r="L101" s="231"/>
      <c r="M101" s="27"/>
    </row>
    <row r="102" spans="1:13" ht="15.75" x14ac:dyDescent="0.2">
      <c r="A102" s="272" t="s">
        <v>356</v>
      </c>
      <c r="B102" s="295"/>
      <c r="C102" s="295"/>
      <c r="D102" s="166"/>
      <c r="E102" s="23"/>
      <c r="F102" s="295"/>
      <c r="G102" s="295"/>
      <c r="H102" s="166"/>
      <c r="I102" s="23"/>
      <c r="J102" s="295"/>
      <c r="K102" s="295"/>
      <c r="L102" s="166"/>
      <c r="M102" s="23"/>
    </row>
    <row r="103" spans="1:13" x14ac:dyDescent="0.2">
      <c r="A103" s="272" t="s">
        <v>12</v>
      </c>
      <c r="B103" s="295"/>
      <c r="C103" s="295"/>
      <c r="D103" s="166"/>
      <c r="E103" s="23"/>
      <c r="F103" s="270"/>
      <c r="G103" s="271"/>
      <c r="H103" s="166"/>
      <c r="I103" s="23"/>
      <c r="J103" s="270"/>
      <c r="K103" s="271"/>
      <c r="L103" s="166"/>
      <c r="M103" s="23"/>
    </row>
    <row r="104" spans="1:13" x14ac:dyDescent="0.2">
      <c r="A104" s="272" t="s">
        <v>13</v>
      </c>
      <c r="B104" s="295"/>
      <c r="C104" s="295"/>
      <c r="D104" s="166"/>
      <c r="E104" s="23"/>
      <c r="F104" s="212"/>
      <c r="G104" s="266"/>
      <c r="H104" s="166"/>
      <c r="I104" s="23"/>
      <c r="J104" s="212"/>
      <c r="K104" s="266"/>
      <c r="L104" s="166"/>
      <c r="M104" s="23"/>
    </row>
    <row r="105" spans="1:13" ht="15.75" x14ac:dyDescent="0.2">
      <c r="A105" s="272" t="s">
        <v>357</v>
      </c>
      <c r="B105" s="295"/>
      <c r="C105" s="295"/>
      <c r="D105" s="166"/>
      <c r="E105" s="23"/>
      <c r="F105" s="295"/>
      <c r="G105" s="295"/>
      <c r="H105" s="166"/>
      <c r="I105" s="23"/>
      <c r="J105" s="295"/>
      <c r="K105" s="295"/>
      <c r="L105" s="166"/>
      <c r="M105" s="23"/>
    </row>
    <row r="106" spans="1:13" x14ac:dyDescent="0.2">
      <c r="A106" s="272" t="s">
        <v>12</v>
      </c>
      <c r="B106" s="212"/>
      <c r="C106" s="266"/>
      <c r="D106" s="166"/>
      <c r="E106" s="23"/>
      <c r="F106" s="212"/>
      <c r="G106" s="266"/>
      <c r="H106" s="166"/>
      <c r="I106" s="23"/>
      <c r="J106" s="212"/>
      <c r="K106" s="266"/>
      <c r="L106" s="166"/>
      <c r="M106" s="23"/>
    </row>
    <row r="107" spans="1:13" x14ac:dyDescent="0.2">
      <c r="A107" s="272" t="s">
        <v>13</v>
      </c>
      <c r="B107" s="212"/>
      <c r="C107" s="266"/>
      <c r="D107" s="166"/>
      <c r="E107" s="23"/>
      <c r="F107" s="212"/>
      <c r="G107" s="266"/>
      <c r="H107" s="166"/>
      <c r="I107" s="23"/>
      <c r="J107" s="212"/>
      <c r="K107" s="266"/>
      <c r="L107" s="166"/>
      <c r="M107" s="23"/>
    </row>
    <row r="108" spans="1:13" ht="15.75" x14ac:dyDescent="0.2">
      <c r="A108" s="21" t="s">
        <v>359</v>
      </c>
      <c r="B108" s="211"/>
      <c r="C108" s="145"/>
      <c r="D108" s="166"/>
      <c r="E108" s="23"/>
      <c r="F108" s="211"/>
      <c r="G108" s="145"/>
      <c r="H108" s="166"/>
      <c r="I108" s="23"/>
      <c r="J108" s="145"/>
      <c r="K108" s="44"/>
      <c r="L108" s="231"/>
      <c r="M108" s="27"/>
    </row>
    <row r="109" spans="1:13" ht="15.75" x14ac:dyDescent="0.2">
      <c r="A109" s="21" t="s">
        <v>360</v>
      </c>
      <c r="B109" s="211"/>
      <c r="C109" s="211"/>
      <c r="D109" s="166"/>
      <c r="E109" s="23"/>
      <c r="F109" s="211"/>
      <c r="G109" s="211"/>
      <c r="H109" s="166"/>
      <c r="I109" s="23"/>
      <c r="J109" s="145"/>
      <c r="K109" s="44"/>
      <c r="L109" s="231"/>
      <c r="M109" s="27"/>
    </row>
    <row r="110" spans="1:13" ht="15.75" x14ac:dyDescent="0.2">
      <c r="A110" s="38" t="s">
        <v>416</v>
      </c>
      <c r="B110" s="211"/>
      <c r="C110" s="211"/>
      <c r="D110" s="166"/>
      <c r="E110" s="23"/>
      <c r="F110" s="211"/>
      <c r="G110" s="211"/>
      <c r="H110" s="166"/>
      <c r="I110" s="23"/>
      <c r="J110" s="145"/>
      <c r="K110" s="44"/>
      <c r="L110" s="231"/>
      <c r="M110" s="27"/>
    </row>
    <row r="111" spans="1:13" ht="15.75" x14ac:dyDescent="0.2">
      <c r="A111" s="21" t="s">
        <v>362</v>
      </c>
      <c r="B111" s="211"/>
      <c r="C111" s="211"/>
      <c r="D111" s="166"/>
      <c r="E111" s="23"/>
      <c r="F111" s="211"/>
      <c r="G111" s="211"/>
      <c r="H111" s="166"/>
      <c r="I111" s="23"/>
      <c r="J111" s="145"/>
      <c r="K111" s="44"/>
      <c r="L111" s="231"/>
      <c r="M111" s="27"/>
    </row>
    <row r="112" spans="1:13" ht="15.75" x14ac:dyDescent="0.2">
      <c r="A112" s="13" t="s">
        <v>342</v>
      </c>
      <c r="B112" s="284"/>
      <c r="C112" s="159"/>
      <c r="D112" s="171"/>
      <c r="E112" s="24"/>
      <c r="F112" s="284"/>
      <c r="G112" s="159"/>
      <c r="H112" s="171"/>
      <c r="I112" s="24"/>
      <c r="J112" s="159"/>
      <c r="K112" s="213"/>
      <c r="L112" s="402"/>
      <c r="M112" s="11"/>
    </row>
    <row r="113" spans="1:14" x14ac:dyDescent="0.2">
      <c r="A113" s="21" t="s">
        <v>9</v>
      </c>
      <c r="B113" s="211"/>
      <c r="C113" s="145"/>
      <c r="D113" s="166"/>
      <c r="E113" s="23"/>
      <c r="F113" s="211"/>
      <c r="G113" s="145"/>
      <c r="H113" s="166"/>
      <c r="I113" s="23"/>
      <c r="J113" s="145"/>
      <c r="K113" s="44"/>
      <c r="L113" s="231"/>
      <c r="M113" s="27"/>
    </row>
    <row r="114" spans="1:14" x14ac:dyDescent="0.2">
      <c r="A114" s="21" t="s">
        <v>10</v>
      </c>
      <c r="B114" s="211"/>
      <c r="C114" s="145"/>
      <c r="D114" s="166"/>
      <c r="E114" s="23"/>
      <c r="F114" s="211"/>
      <c r="G114" s="145"/>
      <c r="H114" s="166"/>
      <c r="I114" s="23"/>
      <c r="J114" s="145"/>
      <c r="K114" s="44"/>
      <c r="L114" s="231"/>
      <c r="M114" s="27"/>
    </row>
    <row r="115" spans="1:14" x14ac:dyDescent="0.2">
      <c r="A115" s="21" t="s">
        <v>26</v>
      </c>
      <c r="B115" s="211"/>
      <c r="C115" s="145"/>
      <c r="D115" s="166"/>
      <c r="E115" s="23"/>
      <c r="F115" s="211"/>
      <c r="G115" s="145"/>
      <c r="H115" s="166"/>
      <c r="I115" s="23"/>
      <c r="J115" s="145"/>
      <c r="K115" s="44"/>
      <c r="L115" s="231"/>
      <c r="M115" s="27"/>
    </row>
    <row r="116" spans="1:14" x14ac:dyDescent="0.2">
      <c r="A116" s="272" t="s">
        <v>15</v>
      </c>
      <c r="B116" s="258"/>
      <c r="C116" s="258"/>
      <c r="D116" s="166"/>
      <c r="E116" s="23"/>
      <c r="F116" s="665"/>
      <c r="G116" s="258"/>
      <c r="H116" s="166"/>
      <c r="I116" s="23"/>
      <c r="J116" s="667"/>
      <c r="K116" s="267"/>
      <c r="L116" s="166"/>
      <c r="M116" s="23"/>
    </row>
    <row r="117" spans="1:14" ht="15.75" x14ac:dyDescent="0.2">
      <c r="A117" s="21" t="s">
        <v>363</v>
      </c>
      <c r="B117" s="211"/>
      <c r="C117" s="211"/>
      <c r="D117" s="166"/>
      <c r="E117" s="23"/>
      <c r="F117" s="211"/>
      <c r="G117" s="211"/>
      <c r="H117" s="166"/>
      <c r="I117" s="23"/>
      <c r="J117" s="145"/>
      <c r="K117" s="44"/>
      <c r="L117" s="231"/>
      <c r="M117" s="27"/>
    </row>
    <row r="118" spans="1:14" ht="15.75" x14ac:dyDescent="0.2">
      <c r="A118" s="21" t="s">
        <v>364</v>
      </c>
      <c r="B118" s="211"/>
      <c r="C118" s="211"/>
      <c r="D118" s="166"/>
      <c r="E118" s="23"/>
      <c r="F118" s="211"/>
      <c r="G118" s="211"/>
      <c r="H118" s="166"/>
      <c r="I118" s="23"/>
      <c r="J118" s="145"/>
      <c r="K118" s="44"/>
      <c r="L118" s="231"/>
      <c r="M118" s="27"/>
    </row>
    <row r="119" spans="1:14" ht="15.75" x14ac:dyDescent="0.2">
      <c r="A119" s="21" t="s">
        <v>362</v>
      </c>
      <c r="B119" s="211"/>
      <c r="C119" s="211"/>
      <c r="D119" s="166"/>
      <c r="E119" s="23"/>
      <c r="F119" s="211"/>
      <c r="G119" s="211"/>
      <c r="H119" s="166"/>
      <c r="I119" s="23"/>
      <c r="J119" s="145"/>
      <c r="K119" s="44"/>
      <c r="L119" s="231"/>
      <c r="M119" s="27"/>
    </row>
    <row r="120" spans="1:14" ht="15.75" x14ac:dyDescent="0.2">
      <c r="A120" s="13" t="s">
        <v>343</v>
      </c>
      <c r="B120" s="284"/>
      <c r="C120" s="159"/>
      <c r="D120" s="171"/>
      <c r="E120" s="24"/>
      <c r="F120" s="284"/>
      <c r="G120" s="159"/>
      <c r="H120" s="171"/>
      <c r="I120" s="24"/>
      <c r="J120" s="159"/>
      <c r="K120" s="213"/>
      <c r="L120" s="402"/>
      <c r="M120" s="11"/>
    </row>
    <row r="121" spans="1:14" x14ac:dyDescent="0.2">
      <c r="A121" s="21" t="s">
        <v>9</v>
      </c>
      <c r="B121" s="211"/>
      <c r="C121" s="145"/>
      <c r="D121" s="166"/>
      <c r="E121" s="23"/>
      <c r="F121" s="211"/>
      <c r="G121" s="145"/>
      <c r="H121" s="166"/>
      <c r="I121" s="23"/>
      <c r="J121" s="145"/>
      <c r="K121" s="44"/>
      <c r="L121" s="231"/>
      <c r="M121" s="27"/>
    </row>
    <row r="122" spans="1:14" x14ac:dyDescent="0.2">
      <c r="A122" s="21" t="s">
        <v>10</v>
      </c>
      <c r="B122" s="211"/>
      <c r="C122" s="145"/>
      <c r="D122" s="166"/>
      <c r="E122" s="23"/>
      <c r="F122" s="211"/>
      <c r="G122" s="145"/>
      <c r="H122" s="166"/>
      <c r="I122" s="23"/>
      <c r="J122" s="145"/>
      <c r="K122" s="44"/>
      <c r="L122" s="231"/>
      <c r="M122" s="27"/>
    </row>
    <row r="123" spans="1:14" x14ac:dyDescent="0.2">
      <c r="A123" s="21" t="s">
        <v>26</v>
      </c>
      <c r="B123" s="211"/>
      <c r="C123" s="145"/>
      <c r="D123" s="166"/>
      <c r="E123" s="23"/>
      <c r="F123" s="211"/>
      <c r="G123" s="145"/>
      <c r="H123" s="166"/>
      <c r="I123" s="23"/>
      <c r="J123" s="145"/>
      <c r="K123" s="44"/>
      <c r="L123" s="231"/>
      <c r="M123" s="27"/>
    </row>
    <row r="124" spans="1:14" x14ac:dyDescent="0.2">
      <c r="A124" s="272" t="s">
        <v>14</v>
      </c>
      <c r="B124" s="258"/>
      <c r="C124" s="258"/>
      <c r="D124" s="166"/>
      <c r="E124" s="23"/>
      <c r="F124" s="665"/>
      <c r="G124" s="258"/>
      <c r="H124" s="166"/>
      <c r="I124" s="23"/>
      <c r="J124" s="667"/>
      <c r="K124" s="267"/>
      <c r="L124" s="166"/>
      <c r="M124" s="23"/>
    </row>
    <row r="125" spans="1:14" ht="15.75" x14ac:dyDescent="0.2">
      <c r="A125" s="21" t="s">
        <v>369</v>
      </c>
      <c r="B125" s="211"/>
      <c r="C125" s="211"/>
      <c r="D125" s="166"/>
      <c r="E125" s="23"/>
      <c r="F125" s="211"/>
      <c r="G125" s="211"/>
      <c r="H125" s="166"/>
      <c r="I125" s="23"/>
      <c r="J125" s="145"/>
      <c r="K125" s="44"/>
      <c r="L125" s="231"/>
      <c r="M125" s="27"/>
    </row>
    <row r="126" spans="1:14" ht="15.75" x14ac:dyDescent="0.2">
      <c r="A126" s="21" t="s">
        <v>361</v>
      </c>
      <c r="B126" s="211"/>
      <c r="C126" s="211"/>
      <c r="D126" s="166"/>
      <c r="E126" s="23"/>
      <c r="F126" s="211"/>
      <c r="G126" s="211"/>
      <c r="H126" s="166"/>
      <c r="I126" s="23"/>
      <c r="J126" s="145"/>
      <c r="K126" s="44"/>
      <c r="L126" s="231"/>
      <c r="M126" s="27"/>
    </row>
    <row r="127" spans="1:14" ht="15.75" x14ac:dyDescent="0.2">
      <c r="A127" s="10" t="s">
        <v>362</v>
      </c>
      <c r="B127" s="45"/>
      <c r="C127" s="45"/>
      <c r="D127" s="167"/>
      <c r="E127" s="22"/>
      <c r="F127" s="666"/>
      <c r="G127" s="45"/>
      <c r="H127" s="167"/>
      <c r="I127" s="22"/>
      <c r="J127" s="668"/>
      <c r="K127" s="45"/>
      <c r="L127" s="232"/>
      <c r="M127" s="22"/>
    </row>
    <row r="128" spans="1:14" x14ac:dyDescent="0.2">
      <c r="A128" s="155"/>
      <c r="L128" s="26"/>
      <c r="M128" s="26"/>
      <c r="N128" s="26"/>
    </row>
    <row r="129" spans="1:14" x14ac:dyDescent="0.2">
      <c r="L129" s="26"/>
      <c r="M129" s="26"/>
      <c r="N129" s="26"/>
    </row>
    <row r="130" spans="1:14" ht="15.75" x14ac:dyDescent="0.25">
      <c r="A130" s="165" t="s">
        <v>27</v>
      </c>
    </row>
    <row r="131" spans="1:14" ht="15.75" x14ac:dyDescent="0.25">
      <c r="B131" s="694"/>
      <c r="C131" s="694"/>
      <c r="D131" s="694"/>
      <c r="E131" s="275"/>
      <c r="F131" s="694"/>
      <c r="G131" s="694"/>
      <c r="H131" s="694"/>
      <c r="I131" s="275"/>
      <c r="J131" s="694"/>
      <c r="K131" s="694"/>
      <c r="L131" s="694"/>
      <c r="M131" s="275"/>
    </row>
    <row r="132" spans="1:14" s="3" customFormat="1" x14ac:dyDescent="0.2">
      <c r="A132" s="144"/>
      <c r="B132" s="695" t="s">
        <v>0</v>
      </c>
      <c r="C132" s="696"/>
      <c r="D132" s="696"/>
      <c r="E132" s="277"/>
      <c r="F132" s="695" t="s">
        <v>1</v>
      </c>
      <c r="G132" s="696"/>
      <c r="H132" s="696"/>
      <c r="I132" s="280"/>
      <c r="J132" s="695" t="s">
        <v>2</v>
      </c>
      <c r="K132" s="696"/>
      <c r="L132" s="696"/>
      <c r="M132" s="280"/>
      <c r="N132" s="148"/>
    </row>
    <row r="133" spans="1:14" s="3" customFormat="1" x14ac:dyDescent="0.2">
      <c r="A133" s="140"/>
      <c r="B133" s="152" t="s">
        <v>412</v>
      </c>
      <c r="C133" s="152" t="s">
        <v>413</v>
      </c>
      <c r="D133" s="222" t="s">
        <v>3</v>
      </c>
      <c r="E133" s="281" t="s">
        <v>29</v>
      </c>
      <c r="F133" s="152" t="s">
        <v>412</v>
      </c>
      <c r="G133" s="152" t="s">
        <v>413</v>
      </c>
      <c r="H133" s="203" t="s">
        <v>3</v>
      </c>
      <c r="I133" s="162" t="s">
        <v>29</v>
      </c>
      <c r="J133" s="152" t="s">
        <v>412</v>
      </c>
      <c r="K133" s="152" t="s">
        <v>413</v>
      </c>
      <c r="L133" s="223" t="s">
        <v>3</v>
      </c>
      <c r="M133" s="162" t="s">
        <v>29</v>
      </c>
      <c r="N133" s="148"/>
    </row>
    <row r="134" spans="1:14" s="3" customFormat="1" x14ac:dyDescent="0.2">
      <c r="A134" s="662"/>
      <c r="B134" s="156"/>
      <c r="C134" s="156"/>
      <c r="D134" s="223" t="s">
        <v>4</v>
      </c>
      <c r="E134" s="156" t="s">
        <v>30</v>
      </c>
      <c r="F134" s="161"/>
      <c r="G134" s="161"/>
      <c r="H134" s="203" t="s">
        <v>4</v>
      </c>
      <c r="I134" s="156" t="s">
        <v>30</v>
      </c>
      <c r="J134" s="156"/>
      <c r="K134" s="156"/>
      <c r="L134" s="150" t="s">
        <v>4</v>
      </c>
      <c r="M134" s="156" t="s">
        <v>30</v>
      </c>
      <c r="N134" s="148"/>
    </row>
    <row r="135" spans="1:14" s="3" customFormat="1" ht="15.75" x14ac:dyDescent="0.2">
      <c r="A135" s="14" t="s">
        <v>365</v>
      </c>
      <c r="B135" s="213"/>
      <c r="C135" s="285"/>
      <c r="D135" s="326"/>
      <c r="E135" s="11"/>
      <c r="F135" s="292"/>
      <c r="G135" s="293"/>
      <c r="H135" s="405"/>
      <c r="I135" s="24"/>
      <c r="J135" s="294"/>
      <c r="K135" s="294"/>
      <c r="L135" s="401"/>
      <c r="M135" s="11"/>
      <c r="N135" s="148"/>
    </row>
    <row r="136" spans="1:14" s="3" customFormat="1" ht="15.75" x14ac:dyDescent="0.2">
      <c r="A136" s="13" t="s">
        <v>370</v>
      </c>
      <c r="B136" s="213"/>
      <c r="C136" s="285"/>
      <c r="D136" s="171"/>
      <c r="E136" s="11"/>
      <c r="F136" s="213"/>
      <c r="G136" s="285"/>
      <c r="H136" s="406"/>
      <c r="I136" s="24"/>
      <c r="J136" s="284"/>
      <c r="K136" s="284"/>
      <c r="L136" s="402"/>
      <c r="M136" s="11"/>
      <c r="N136" s="148"/>
    </row>
    <row r="137" spans="1:14" s="3" customFormat="1" ht="15.75" x14ac:dyDescent="0.2">
      <c r="A137" s="13" t="s">
        <v>367</v>
      </c>
      <c r="B137" s="213"/>
      <c r="C137" s="285"/>
      <c r="D137" s="171"/>
      <c r="E137" s="11"/>
      <c r="F137" s="213"/>
      <c r="G137" s="285"/>
      <c r="H137" s="406"/>
      <c r="I137" s="24"/>
      <c r="J137" s="284"/>
      <c r="K137" s="284"/>
      <c r="L137" s="402"/>
      <c r="M137" s="11"/>
      <c r="N137" s="148"/>
    </row>
    <row r="138" spans="1:14" s="3" customFormat="1" ht="15.75" x14ac:dyDescent="0.2">
      <c r="A138" s="41" t="s">
        <v>368</v>
      </c>
      <c r="B138" s="253"/>
      <c r="C138" s="291"/>
      <c r="D138" s="169"/>
      <c r="E138" s="9"/>
      <c r="F138" s="253"/>
      <c r="G138" s="291"/>
      <c r="H138" s="407"/>
      <c r="I138" s="36"/>
      <c r="J138" s="290"/>
      <c r="K138" s="290"/>
      <c r="L138" s="403"/>
      <c r="M138" s="36"/>
      <c r="N138" s="148"/>
    </row>
    <row r="139" spans="1:14" s="3" customFormat="1"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68"/>
      <c r="B141" s="33"/>
      <c r="C141" s="33"/>
      <c r="D141" s="159"/>
      <c r="E141" s="159"/>
      <c r="F141" s="33"/>
      <c r="G141" s="33"/>
      <c r="H141" s="159"/>
      <c r="I141" s="159"/>
      <c r="J141" s="33"/>
      <c r="K141" s="33"/>
      <c r="L141" s="159"/>
      <c r="M141" s="159"/>
      <c r="N141" s="148"/>
    </row>
    <row r="142" spans="1:14" x14ac:dyDescent="0.2">
      <c r="A142" s="146"/>
      <c r="B142" s="146"/>
      <c r="C142" s="146"/>
      <c r="D142" s="146"/>
      <c r="E142" s="146"/>
      <c r="F142" s="146"/>
      <c r="G142" s="146"/>
      <c r="H142" s="146"/>
      <c r="I142" s="146"/>
      <c r="J142" s="146"/>
      <c r="K142" s="146"/>
      <c r="L142" s="146"/>
      <c r="M142" s="146"/>
      <c r="N142" s="146"/>
    </row>
    <row r="143" spans="1:14" ht="15.75" x14ac:dyDescent="0.25">
      <c r="B143" s="142"/>
      <c r="C143" s="142"/>
      <c r="D143" s="142"/>
      <c r="E143" s="142"/>
      <c r="F143" s="142"/>
      <c r="G143" s="142"/>
      <c r="H143" s="142"/>
      <c r="I143" s="142"/>
      <c r="J143" s="142"/>
      <c r="K143" s="142"/>
      <c r="L143" s="142"/>
      <c r="M143" s="142"/>
      <c r="N143" s="142"/>
    </row>
    <row r="144" spans="1:14" ht="15.75" x14ac:dyDescent="0.25">
      <c r="B144" s="157"/>
      <c r="C144" s="157"/>
      <c r="D144" s="157"/>
      <c r="E144" s="157"/>
      <c r="F144" s="157"/>
      <c r="G144" s="157"/>
      <c r="H144" s="157"/>
      <c r="I144" s="157"/>
      <c r="J144" s="157"/>
      <c r="K144" s="157"/>
      <c r="L144" s="157"/>
      <c r="M144" s="157"/>
      <c r="N144" s="157"/>
    </row>
    <row r="145" spans="2:14" ht="15.75" x14ac:dyDescent="0.25">
      <c r="B145" s="157"/>
      <c r="C145" s="157"/>
      <c r="D145" s="157"/>
      <c r="E145" s="157"/>
      <c r="F145" s="157"/>
      <c r="G145" s="157"/>
      <c r="H145" s="157"/>
      <c r="I145" s="157"/>
      <c r="J145" s="157"/>
      <c r="K145" s="157"/>
      <c r="L145" s="157"/>
      <c r="M145" s="157"/>
      <c r="N145" s="157"/>
    </row>
  </sheetData>
  <mergeCells count="31">
    <mergeCell ref="B132:D132"/>
    <mergeCell ref="F132:H132"/>
    <mergeCell ref="J132:L132"/>
    <mergeCell ref="B63:D63"/>
    <mergeCell ref="F63:H63"/>
    <mergeCell ref="J63:L63"/>
    <mergeCell ref="B131:D131"/>
    <mergeCell ref="F131:H131"/>
    <mergeCell ref="J131:L131"/>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6">
    <cfRule type="expression" dxfId="296" priority="76">
      <formula>kvartal &lt; 4</formula>
    </cfRule>
  </conditionalFormatting>
  <conditionalFormatting sqref="C116">
    <cfRule type="expression" dxfId="295" priority="75">
      <formula>kvartal &lt; 4</formula>
    </cfRule>
  </conditionalFormatting>
  <conditionalFormatting sqref="B124">
    <cfRule type="expression" dxfId="294" priority="74">
      <formula>kvartal &lt; 4</formula>
    </cfRule>
  </conditionalFormatting>
  <conditionalFormatting sqref="C124">
    <cfRule type="expression" dxfId="293" priority="73">
      <formula>kvartal &lt; 4</formula>
    </cfRule>
  </conditionalFormatting>
  <conditionalFormatting sqref="F116">
    <cfRule type="expression" dxfId="292" priority="58">
      <formula>kvartal &lt; 4</formula>
    </cfRule>
  </conditionalFormatting>
  <conditionalFormatting sqref="G116">
    <cfRule type="expression" dxfId="291" priority="57">
      <formula>kvartal &lt; 4</formula>
    </cfRule>
  </conditionalFormatting>
  <conditionalFormatting sqref="F124:G124">
    <cfRule type="expression" dxfId="290" priority="56">
      <formula>kvartal &lt; 4</formula>
    </cfRule>
  </conditionalFormatting>
  <conditionalFormatting sqref="J116:K116">
    <cfRule type="expression" dxfId="289" priority="32">
      <formula>kvartal &lt; 4</formula>
    </cfRule>
  </conditionalFormatting>
  <conditionalFormatting sqref="J124:K124">
    <cfRule type="expression" dxfId="288" priority="31">
      <formula>kvartal &lt; 4</formula>
    </cfRule>
  </conditionalFormatting>
  <conditionalFormatting sqref="A50:A52">
    <cfRule type="expression" dxfId="287" priority="12">
      <formula>kvartal &lt; 4</formula>
    </cfRule>
  </conditionalFormatting>
  <conditionalFormatting sqref="A69:A74">
    <cfRule type="expression" dxfId="286" priority="10">
      <formula>kvartal &lt; 4</formula>
    </cfRule>
  </conditionalFormatting>
  <conditionalFormatting sqref="A80:A85">
    <cfRule type="expression" dxfId="285" priority="9">
      <formula>kvartal &lt; 4</formula>
    </cfRule>
  </conditionalFormatting>
  <conditionalFormatting sqref="A90:A95">
    <cfRule type="expression" dxfId="284" priority="6">
      <formula>kvartal &lt; 4</formula>
    </cfRule>
  </conditionalFormatting>
  <conditionalFormatting sqref="A102:A107">
    <cfRule type="expression" dxfId="283" priority="5">
      <formula>kvartal &lt; 4</formula>
    </cfRule>
  </conditionalFormatting>
  <conditionalFormatting sqref="A116">
    <cfRule type="expression" dxfId="282" priority="4">
      <formula>kvartal &lt; 4</formula>
    </cfRule>
  </conditionalFormatting>
  <conditionalFormatting sqref="A124">
    <cfRule type="expression" dxfId="281" priority="3">
      <formula>kvartal &lt; 4</formula>
    </cfRule>
  </conditionalFormatting>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32"/>
  <dimension ref="A1:N145"/>
  <sheetViews>
    <sheetView showGridLines="0" zoomScaleNormal="100" workbookViewId="0">
      <selection activeCell="A111" sqref="A111"/>
    </sheetView>
  </sheetViews>
  <sheetFormatPr baseColWidth="10" defaultColWidth="11.42578125" defaultRowHeight="12.75" x14ac:dyDescent="0.2"/>
  <cols>
    <col min="1" max="1" width="43"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134</v>
      </c>
      <c r="B1" s="663"/>
      <c r="C1" s="225" t="s">
        <v>98</v>
      </c>
      <c r="D1" s="26"/>
      <c r="E1" s="26"/>
      <c r="F1" s="26"/>
      <c r="G1" s="26"/>
      <c r="H1" s="26"/>
      <c r="I1" s="26"/>
      <c r="J1" s="26"/>
      <c r="K1" s="26"/>
      <c r="L1" s="26"/>
      <c r="M1" s="26"/>
    </row>
    <row r="2" spans="1:14" ht="15.75" x14ac:dyDescent="0.25">
      <c r="A2" s="165" t="s">
        <v>28</v>
      </c>
      <c r="B2" s="699"/>
      <c r="C2" s="699"/>
      <c r="D2" s="699"/>
      <c r="E2" s="275"/>
      <c r="F2" s="699"/>
      <c r="G2" s="699"/>
      <c r="H2" s="699"/>
      <c r="I2" s="275"/>
      <c r="J2" s="699"/>
      <c r="K2" s="699"/>
      <c r="L2" s="699"/>
      <c r="M2" s="275"/>
    </row>
    <row r="3" spans="1:14" ht="15.75" x14ac:dyDescent="0.25">
      <c r="A3" s="163"/>
      <c r="B3" s="275"/>
      <c r="C3" s="275"/>
      <c r="D3" s="275"/>
      <c r="E3" s="275"/>
      <c r="F3" s="275"/>
      <c r="G3" s="275"/>
      <c r="H3" s="275"/>
      <c r="I3" s="275"/>
      <c r="J3" s="275"/>
      <c r="K3" s="275"/>
      <c r="L3" s="275"/>
      <c r="M3" s="275"/>
    </row>
    <row r="4" spans="1:14" x14ac:dyDescent="0.2">
      <c r="A4" s="144"/>
      <c r="B4" s="695" t="s">
        <v>0</v>
      </c>
      <c r="C4" s="696"/>
      <c r="D4" s="696"/>
      <c r="E4" s="277"/>
      <c r="F4" s="695" t="s">
        <v>1</v>
      </c>
      <c r="G4" s="696"/>
      <c r="H4" s="696"/>
      <c r="I4" s="280"/>
      <c r="J4" s="695" t="s">
        <v>2</v>
      </c>
      <c r="K4" s="696"/>
      <c r="L4" s="696"/>
      <c r="M4" s="280"/>
    </row>
    <row r="5" spans="1:14" x14ac:dyDescent="0.2">
      <c r="A5" s="158"/>
      <c r="B5" s="152" t="s">
        <v>412</v>
      </c>
      <c r="C5" s="152" t="s">
        <v>413</v>
      </c>
      <c r="D5" s="222" t="s">
        <v>3</v>
      </c>
      <c r="E5" s="281" t="s">
        <v>29</v>
      </c>
      <c r="F5" s="152" t="s">
        <v>412</v>
      </c>
      <c r="G5" s="152" t="s">
        <v>413</v>
      </c>
      <c r="H5" s="222" t="s">
        <v>3</v>
      </c>
      <c r="I5" s="162" t="s">
        <v>29</v>
      </c>
      <c r="J5" s="152" t="s">
        <v>412</v>
      </c>
      <c r="K5" s="152" t="s">
        <v>413</v>
      </c>
      <c r="L5" s="222" t="s">
        <v>3</v>
      </c>
      <c r="M5" s="162" t="s">
        <v>29</v>
      </c>
    </row>
    <row r="6" spans="1:14" x14ac:dyDescent="0.2">
      <c r="A6" s="661"/>
      <c r="B6" s="156"/>
      <c r="C6" s="156"/>
      <c r="D6" s="223" t="s">
        <v>4</v>
      </c>
      <c r="E6" s="156" t="s">
        <v>30</v>
      </c>
      <c r="F6" s="161"/>
      <c r="G6" s="161"/>
      <c r="H6" s="222" t="s">
        <v>4</v>
      </c>
      <c r="I6" s="156" t="s">
        <v>30</v>
      </c>
      <c r="J6" s="161"/>
      <c r="K6" s="161"/>
      <c r="L6" s="222" t="s">
        <v>4</v>
      </c>
      <c r="M6" s="156" t="s">
        <v>30</v>
      </c>
    </row>
    <row r="7" spans="1:14" ht="15.75" x14ac:dyDescent="0.2">
      <c r="A7" s="14" t="s">
        <v>23</v>
      </c>
      <c r="B7" s="282"/>
      <c r="C7" s="283"/>
      <c r="D7" s="326"/>
      <c r="E7" s="11"/>
      <c r="F7" s="282"/>
      <c r="G7" s="283"/>
      <c r="H7" s="326"/>
      <c r="I7" s="160"/>
      <c r="J7" s="284"/>
      <c r="K7" s="285"/>
      <c r="L7" s="401"/>
      <c r="M7" s="11"/>
    </row>
    <row r="8" spans="1:14" ht="15.75" x14ac:dyDescent="0.2">
      <c r="A8" s="21" t="s">
        <v>25</v>
      </c>
      <c r="B8" s="258"/>
      <c r="C8" s="259"/>
      <c r="D8" s="166"/>
      <c r="E8" s="27"/>
      <c r="F8" s="262"/>
      <c r="G8" s="263"/>
      <c r="H8" s="166"/>
      <c r="I8" s="175"/>
      <c r="J8" s="211"/>
      <c r="K8" s="264"/>
      <c r="L8" s="231"/>
      <c r="M8" s="27"/>
    </row>
    <row r="9" spans="1:14" ht="15.75" x14ac:dyDescent="0.2">
      <c r="A9" s="21" t="s">
        <v>24</v>
      </c>
      <c r="B9" s="258"/>
      <c r="C9" s="259"/>
      <c r="D9" s="166"/>
      <c r="E9" s="27"/>
      <c r="F9" s="262"/>
      <c r="G9" s="263"/>
      <c r="H9" s="166"/>
      <c r="I9" s="175"/>
      <c r="J9" s="211"/>
      <c r="K9" s="264"/>
      <c r="L9" s="231"/>
      <c r="M9" s="27"/>
    </row>
    <row r="10" spans="1:14" ht="15.75" x14ac:dyDescent="0.2">
      <c r="A10" s="13" t="s">
        <v>341</v>
      </c>
      <c r="B10" s="286"/>
      <c r="C10" s="287"/>
      <c r="D10" s="171"/>
      <c r="E10" s="11"/>
      <c r="F10" s="286"/>
      <c r="G10" s="287"/>
      <c r="H10" s="171"/>
      <c r="I10" s="160"/>
      <c r="J10" s="284"/>
      <c r="K10" s="285"/>
      <c r="L10" s="402"/>
      <c r="M10" s="11"/>
    </row>
    <row r="11" spans="1:14" s="43" customFormat="1" ht="15.75" x14ac:dyDescent="0.2">
      <c r="A11" s="13" t="s">
        <v>342</v>
      </c>
      <c r="B11" s="286"/>
      <c r="C11" s="287"/>
      <c r="D11" s="171"/>
      <c r="E11" s="11"/>
      <c r="F11" s="286"/>
      <c r="G11" s="287"/>
      <c r="H11" s="171"/>
      <c r="I11" s="160"/>
      <c r="J11" s="284"/>
      <c r="K11" s="285"/>
      <c r="L11" s="402"/>
      <c r="M11" s="11"/>
      <c r="N11" s="143"/>
    </row>
    <row r="12" spans="1:14" s="43" customFormat="1" ht="15.75" x14ac:dyDescent="0.2">
      <c r="A12" s="41" t="s">
        <v>343</v>
      </c>
      <c r="B12" s="288"/>
      <c r="C12" s="289"/>
      <c r="D12" s="169"/>
      <c r="E12" s="36"/>
      <c r="F12" s="288"/>
      <c r="G12" s="289"/>
      <c r="H12" s="169"/>
      <c r="I12" s="169"/>
      <c r="J12" s="290"/>
      <c r="K12" s="291"/>
      <c r="L12" s="403"/>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251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248</v>
      </c>
      <c r="B17" s="157"/>
      <c r="C17" s="157"/>
      <c r="D17" s="151"/>
      <c r="E17" s="151"/>
      <c r="F17" s="157"/>
      <c r="G17" s="157"/>
      <c r="H17" s="157"/>
      <c r="I17" s="157"/>
      <c r="J17" s="157"/>
      <c r="K17" s="157"/>
      <c r="L17" s="157"/>
      <c r="M17" s="157"/>
    </row>
    <row r="18" spans="1:14" ht="15.75" x14ac:dyDescent="0.25">
      <c r="B18" s="694"/>
      <c r="C18" s="694"/>
      <c r="D18" s="694"/>
      <c r="E18" s="275"/>
      <c r="F18" s="694"/>
      <c r="G18" s="694"/>
      <c r="H18" s="694"/>
      <c r="I18" s="275"/>
      <c r="J18" s="694"/>
      <c r="K18" s="694"/>
      <c r="L18" s="694"/>
      <c r="M18" s="275"/>
    </row>
    <row r="19" spans="1:14" x14ac:dyDescent="0.2">
      <c r="A19" s="144"/>
      <c r="B19" s="695" t="s">
        <v>0</v>
      </c>
      <c r="C19" s="696"/>
      <c r="D19" s="696"/>
      <c r="E19" s="277"/>
      <c r="F19" s="695" t="s">
        <v>1</v>
      </c>
      <c r="G19" s="696"/>
      <c r="H19" s="696"/>
      <c r="I19" s="280"/>
      <c r="J19" s="695" t="s">
        <v>2</v>
      </c>
      <c r="K19" s="696"/>
      <c r="L19" s="696"/>
      <c r="M19" s="280"/>
    </row>
    <row r="20" spans="1:14" x14ac:dyDescent="0.2">
      <c r="A20" s="140" t="s">
        <v>5</v>
      </c>
      <c r="B20" s="152" t="s">
        <v>412</v>
      </c>
      <c r="C20" s="152" t="s">
        <v>413</v>
      </c>
      <c r="D20" s="162" t="s">
        <v>3</v>
      </c>
      <c r="E20" s="281" t="s">
        <v>29</v>
      </c>
      <c r="F20" s="152" t="s">
        <v>412</v>
      </c>
      <c r="G20" s="152" t="s">
        <v>413</v>
      </c>
      <c r="H20" s="162" t="s">
        <v>3</v>
      </c>
      <c r="I20" s="162" t="s">
        <v>29</v>
      </c>
      <c r="J20" s="152" t="s">
        <v>412</v>
      </c>
      <c r="K20" s="152" t="s">
        <v>413</v>
      </c>
      <c r="L20" s="162" t="s">
        <v>3</v>
      </c>
      <c r="M20" s="162" t="s">
        <v>29</v>
      </c>
    </row>
    <row r="21" spans="1:14" x14ac:dyDescent="0.2">
      <c r="A21" s="662"/>
      <c r="B21" s="156"/>
      <c r="C21" s="156"/>
      <c r="D21" s="223" t="s">
        <v>4</v>
      </c>
      <c r="E21" s="156" t="s">
        <v>30</v>
      </c>
      <c r="F21" s="161"/>
      <c r="G21" s="161"/>
      <c r="H21" s="222" t="s">
        <v>4</v>
      </c>
      <c r="I21" s="156" t="s">
        <v>30</v>
      </c>
      <c r="J21" s="161"/>
      <c r="K21" s="161"/>
      <c r="L21" s="156" t="s">
        <v>4</v>
      </c>
      <c r="M21" s="156" t="s">
        <v>30</v>
      </c>
    </row>
    <row r="22" spans="1:14" ht="15.75" x14ac:dyDescent="0.2">
      <c r="A22" s="14" t="s">
        <v>23</v>
      </c>
      <c r="B22" s="286"/>
      <c r="C22" s="286"/>
      <c r="D22" s="326"/>
      <c r="E22" s="11"/>
      <c r="F22" s="294"/>
      <c r="G22" s="294"/>
      <c r="H22" s="326"/>
      <c r="I22" s="11"/>
      <c r="J22" s="292"/>
      <c r="K22" s="292"/>
      <c r="L22" s="401"/>
      <c r="M22" s="24"/>
    </row>
    <row r="23" spans="1:14" ht="15.75" x14ac:dyDescent="0.2">
      <c r="A23" s="545" t="s">
        <v>344</v>
      </c>
      <c r="B23" s="258"/>
      <c r="C23" s="258"/>
      <c r="D23" s="166"/>
      <c r="E23" s="11"/>
      <c r="F23" s="267"/>
      <c r="G23" s="267"/>
      <c r="H23" s="166"/>
      <c r="I23" s="391"/>
      <c r="J23" s="267"/>
      <c r="K23" s="267"/>
      <c r="L23" s="166"/>
      <c r="M23" s="23"/>
    </row>
    <row r="24" spans="1:14" ht="15.75" x14ac:dyDescent="0.2">
      <c r="A24" s="545" t="s">
        <v>345</v>
      </c>
      <c r="B24" s="258"/>
      <c r="C24" s="258"/>
      <c r="D24" s="166"/>
      <c r="E24" s="11"/>
      <c r="F24" s="267"/>
      <c r="G24" s="267"/>
      <c r="H24" s="166"/>
      <c r="I24" s="391"/>
      <c r="J24" s="267"/>
      <c r="K24" s="267"/>
      <c r="L24" s="166"/>
      <c r="M24" s="23"/>
    </row>
    <row r="25" spans="1:14" ht="15.75" x14ac:dyDescent="0.2">
      <c r="A25" s="545" t="s">
        <v>346</v>
      </c>
      <c r="B25" s="258"/>
      <c r="C25" s="258"/>
      <c r="D25" s="166"/>
      <c r="E25" s="11"/>
      <c r="F25" s="267"/>
      <c r="G25" s="267"/>
      <c r="H25" s="166"/>
      <c r="I25" s="391"/>
      <c r="J25" s="267"/>
      <c r="K25" s="267"/>
      <c r="L25" s="166"/>
      <c r="M25" s="23"/>
    </row>
    <row r="26" spans="1:14" ht="15.75" x14ac:dyDescent="0.2">
      <c r="A26" s="545" t="s">
        <v>347</v>
      </c>
      <c r="B26" s="258"/>
      <c r="C26" s="258"/>
      <c r="D26" s="166"/>
      <c r="E26" s="11"/>
      <c r="F26" s="267"/>
      <c r="G26" s="267"/>
      <c r="H26" s="166"/>
      <c r="I26" s="391"/>
      <c r="J26" s="267"/>
      <c r="K26" s="267"/>
      <c r="L26" s="166"/>
      <c r="M26" s="23"/>
    </row>
    <row r="27" spans="1:14" x14ac:dyDescent="0.2">
      <c r="A27" s="545" t="s">
        <v>11</v>
      </c>
      <c r="B27" s="258"/>
      <c r="C27" s="258"/>
      <c r="D27" s="166"/>
      <c r="E27" s="11"/>
      <c r="F27" s="267"/>
      <c r="G27" s="267"/>
      <c r="H27" s="166"/>
      <c r="I27" s="391"/>
      <c r="J27" s="267"/>
      <c r="K27" s="267"/>
      <c r="L27" s="166"/>
      <c r="M27" s="23"/>
    </row>
    <row r="28" spans="1:14" ht="15.75" x14ac:dyDescent="0.2">
      <c r="A28" s="49" t="s">
        <v>252</v>
      </c>
      <c r="B28" s="44"/>
      <c r="C28" s="264"/>
      <c r="D28" s="166"/>
      <c r="E28" s="11"/>
      <c r="F28" s="211"/>
      <c r="G28" s="264"/>
      <c r="H28" s="166"/>
      <c r="I28" s="27"/>
      <c r="J28" s="44"/>
      <c r="K28" s="44"/>
      <c r="L28" s="231"/>
      <c r="M28" s="23"/>
    </row>
    <row r="29" spans="1:14" s="3" customFormat="1" ht="15.75" x14ac:dyDescent="0.2">
      <c r="A29" s="13" t="s">
        <v>341</v>
      </c>
      <c r="B29" s="213"/>
      <c r="C29" s="213"/>
      <c r="D29" s="171"/>
      <c r="E29" s="11"/>
      <c r="F29" s="284"/>
      <c r="G29" s="284"/>
      <c r="H29" s="171"/>
      <c r="I29" s="11"/>
      <c r="J29" s="213"/>
      <c r="K29" s="213"/>
      <c r="L29" s="402"/>
      <c r="M29" s="24"/>
      <c r="N29" s="148"/>
    </row>
    <row r="30" spans="1:14" s="3" customFormat="1" ht="15.75" x14ac:dyDescent="0.2">
      <c r="A30" s="545" t="s">
        <v>344</v>
      </c>
      <c r="B30" s="258"/>
      <c r="C30" s="258"/>
      <c r="D30" s="166"/>
      <c r="E30" s="11"/>
      <c r="F30" s="267"/>
      <c r="G30" s="267"/>
      <c r="H30" s="166"/>
      <c r="I30" s="391"/>
      <c r="J30" s="267"/>
      <c r="K30" s="267"/>
      <c r="L30" s="166"/>
      <c r="M30" s="23"/>
      <c r="N30" s="148"/>
    </row>
    <row r="31" spans="1:14" s="3" customFormat="1" ht="15.75" x14ac:dyDescent="0.2">
      <c r="A31" s="545" t="s">
        <v>345</v>
      </c>
      <c r="B31" s="258"/>
      <c r="C31" s="258"/>
      <c r="D31" s="166"/>
      <c r="E31" s="11"/>
      <c r="F31" s="267"/>
      <c r="G31" s="267"/>
      <c r="H31" s="166"/>
      <c r="I31" s="391"/>
      <c r="J31" s="267"/>
      <c r="K31" s="267"/>
      <c r="L31" s="166"/>
      <c r="M31" s="23"/>
      <c r="N31" s="148"/>
    </row>
    <row r="32" spans="1:14" ht="15.75" x14ac:dyDescent="0.2">
      <c r="A32" s="545" t="s">
        <v>346</v>
      </c>
      <c r="B32" s="258"/>
      <c r="C32" s="258"/>
      <c r="D32" s="166"/>
      <c r="E32" s="11"/>
      <c r="F32" s="267"/>
      <c r="G32" s="267"/>
      <c r="H32" s="166"/>
      <c r="I32" s="391"/>
      <c r="J32" s="267"/>
      <c r="K32" s="267"/>
      <c r="L32" s="166"/>
      <c r="M32" s="23"/>
    </row>
    <row r="33" spans="1:14" ht="15.75" x14ac:dyDescent="0.2">
      <c r="A33" s="545" t="s">
        <v>347</v>
      </c>
      <c r="B33" s="258"/>
      <c r="C33" s="258"/>
      <c r="D33" s="166"/>
      <c r="E33" s="11"/>
      <c r="F33" s="267"/>
      <c r="G33" s="267"/>
      <c r="H33" s="166"/>
      <c r="I33" s="391"/>
      <c r="J33" s="267"/>
      <c r="K33" s="267"/>
      <c r="L33" s="166"/>
      <c r="M33" s="23"/>
    </row>
    <row r="34" spans="1:14" ht="15.75" x14ac:dyDescent="0.2">
      <c r="A34" s="13" t="s">
        <v>342</v>
      </c>
      <c r="B34" s="213"/>
      <c r="C34" s="285"/>
      <c r="D34" s="171"/>
      <c r="E34" s="11"/>
      <c r="F34" s="284"/>
      <c r="G34" s="285"/>
      <c r="H34" s="171"/>
      <c r="I34" s="11"/>
      <c r="J34" s="213"/>
      <c r="K34" s="213"/>
      <c r="L34" s="402"/>
      <c r="M34" s="24"/>
    </row>
    <row r="35" spans="1:14" ht="15.75" x14ac:dyDescent="0.2">
      <c r="A35" s="13" t="s">
        <v>343</v>
      </c>
      <c r="B35" s="213"/>
      <c r="C35" s="285"/>
      <c r="D35" s="171"/>
      <c r="E35" s="11"/>
      <c r="F35" s="284"/>
      <c r="G35" s="285"/>
      <c r="H35" s="171"/>
      <c r="I35" s="11"/>
      <c r="J35" s="213"/>
      <c r="K35" s="213"/>
      <c r="L35" s="402"/>
      <c r="M35" s="24"/>
    </row>
    <row r="36" spans="1:14" ht="15.75" x14ac:dyDescent="0.2">
      <c r="A36" s="12" t="s">
        <v>260</v>
      </c>
      <c r="B36" s="213"/>
      <c r="C36" s="285"/>
      <c r="D36" s="171"/>
      <c r="E36" s="11"/>
      <c r="F36" s="295"/>
      <c r="G36" s="296"/>
      <c r="H36" s="171"/>
      <c r="I36" s="408"/>
      <c r="J36" s="213"/>
      <c r="K36" s="213"/>
      <c r="L36" s="402"/>
      <c r="M36" s="24"/>
    </row>
    <row r="37" spans="1:14" ht="15.75" x14ac:dyDescent="0.2">
      <c r="A37" s="12" t="s">
        <v>349</v>
      </c>
      <c r="B37" s="213"/>
      <c r="C37" s="285"/>
      <c r="D37" s="171"/>
      <c r="E37" s="11"/>
      <c r="F37" s="295"/>
      <c r="G37" s="297"/>
      <c r="H37" s="171"/>
      <c r="I37" s="408"/>
      <c r="J37" s="213"/>
      <c r="K37" s="213"/>
      <c r="L37" s="402"/>
      <c r="M37" s="24"/>
    </row>
    <row r="38" spans="1:14" ht="15.75" x14ac:dyDescent="0.2">
      <c r="A38" s="12" t="s">
        <v>350</v>
      </c>
      <c r="B38" s="213"/>
      <c r="C38" s="285"/>
      <c r="D38" s="406"/>
      <c r="E38" s="24"/>
      <c r="F38" s="295"/>
      <c r="G38" s="296"/>
      <c r="H38" s="171"/>
      <c r="I38" s="408"/>
      <c r="J38" s="213"/>
      <c r="K38" s="213"/>
      <c r="L38" s="402"/>
      <c r="M38" s="24"/>
    </row>
    <row r="39" spans="1:14" ht="15.75" x14ac:dyDescent="0.2">
      <c r="A39" s="18" t="s">
        <v>351</v>
      </c>
      <c r="B39" s="253"/>
      <c r="C39" s="291"/>
      <c r="D39" s="407"/>
      <c r="E39" s="36"/>
      <c r="F39" s="298"/>
      <c r="G39" s="299"/>
      <c r="H39" s="169"/>
      <c r="I39" s="36"/>
      <c r="J39" s="213"/>
      <c r="K39" s="213"/>
      <c r="L39" s="403"/>
      <c r="M39" s="36"/>
    </row>
    <row r="40" spans="1:14" ht="15.75" x14ac:dyDescent="0.25">
      <c r="A40" s="47"/>
      <c r="B40" s="230"/>
      <c r="C40" s="230"/>
      <c r="D40" s="698"/>
      <c r="E40" s="700"/>
      <c r="F40" s="698"/>
      <c r="G40" s="698"/>
      <c r="H40" s="698"/>
      <c r="I40" s="698"/>
      <c r="J40" s="698"/>
      <c r="K40" s="698"/>
      <c r="L40" s="698"/>
      <c r="M40" s="278"/>
    </row>
    <row r="41" spans="1:14" x14ac:dyDescent="0.2">
      <c r="A41" s="155"/>
    </row>
    <row r="42" spans="1:14" ht="15.75" x14ac:dyDescent="0.25">
      <c r="A42" s="147" t="s">
        <v>249</v>
      </c>
      <c r="B42" s="699"/>
      <c r="C42" s="699"/>
      <c r="D42" s="699"/>
      <c r="E42" s="275"/>
      <c r="F42" s="700"/>
      <c r="G42" s="700"/>
      <c r="H42" s="700"/>
      <c r="I42" s="278"/>
      <c r="J42" s="700"/>
      <c r="K42" s="700"/>
      <c r="L42" s="700"/>
      <c r="M42" s="278"/>
    </row>
    <row r="43" spans="1:14" ht="15.75" x14ac:dyDescent="0.25">
      <c r="A43" s="163"/>
      <c r="B43" s="279"/>
      <c r="C43" s="279"/>
      <c r="D43" s="279"/>
      <c r="E43" s="279"/>
      <c r="F43" s="278"/>
      <c r="G43" s="278"/>
      <c r="H43" s="278"/>
      <c r="I43" s="278"/>
      <c r="J43" s="278"/>
      <c r="K43" s="278"/>
      <c r="L43" s="278"/>
      <c r="M43" s="278"/>
    </row>
    <row r="44" spans="1:14" ht="15.75" x14ac:dyDescent="0.25">
      <c r="A44" s="224"/>
      <c r="B44" s="695" t="s">
        <v>0</v>
      </c>
      <c r="C44" s="696"/>
      <c r="D44" s="696"/>
      <c r="E44" s="220"/>
      <c r="F44" s="278"/>
      <c r="G44" s="278"/>
      <c r="H44" s="278"/>
      <c r="I44" s="278"/>
      <c r="J44" s="278"/>
      <c r="K44" s="278"/>
      <c r="L44" s="278"/>
      <c r="M44" s="278"/>
    </row>
    <row r="45" spans="1:14" s="3" customFormat="1" x14ac:dyDescent="0.2">
      <c r="A45" s="140"/>
      <c r="B45" s="152" t="s">
        <v>412</v>
      </c>
      <c r="C45" s="152" t="s">
        <v>413</v>
      </c>
      <c r="D45" s="162" t="s">
        <v>3</v>
      </c>
      <c r="E45" s="162" t="s">
        <v>29</v>
      </c>
      <c r="F45" s="174"/>
      <c r="G45" s="174"/>
      <c r="H45" s="173"/>
      <c r="I45" s="173"/>
      <c r="J45" s="174"/>
      <c r="K45" s="174"/>
      <c r="L45" s="173"/>
      <c r="M45" s="173"/>
      <c r="N45" s="148"/>
    </row>
    <row r="46" spans="1:14" s="3" customFormat="1" x14ac:dyDescent="0.2">
      <c r="A46" s="662"/>
      <c r="B46" s="221"/>
      <c r="C46" s="221"/>
      <c r="D46" s="222" t="s">
        <v>4</v>
      </c>
      <c r="E46" s="156" t="s">
        <v>30</v>
      </c>
      <c r="F46" s="173"/>
      <c r="G46" s="173"/>
      <c r="H46" s="173"/>
      <c r="I46" s="173"/>
      <c r="J46" s="173"/>
      <c r="K46" s="173"/>
      <c r="L46" s="173"/>
      <c r="M46" s="173"/>
      <c r="N46" s="148"/>
    </row>
    <row r="47" spans="1:14" s="3" customFormat="1" ht="15.75" x14ac:dyDescent="0.2">
      <c r="A47" s="14" t="s">
        <v>23</v>
      </c>
      <c r="B47" s="286">
        <v>510830.81199999998</v>
      </c>
      <c r="C47" s="287">
        <v>519007.69999999995</v>
      </c>
      <c r="D47" s="401">
        <f t="shared" ref="D47:D57" si="0">IF(B47=0, "    ---- ", IF(ABS(ROUND(100/B47*C47-100,1))&lt;999,ROUND(100/B47*C47-100,1),IF(ROUND(100/B47*C47-100,1)&gt;999,999,-999)))</f>
        <v>1.6</v>
      </c>
      <c r="E47" s="11">
        <f>IFERROR(100/'Skjema total MA'!C47*C47,0)</f>
        <v>16.405761102246956</v>
      </c>
      <c r="F47" s="145"/>
      <c r="G47" s="33"/>
      <c r="H47" s="159"/>
      <c r="I47" s="159"/>
      <c r="J47" s="37"/>
      <c r="K47" s="37"/>
      <c r="L47" s="159"/>
      <c r="M47" s="159"/>
      <c r="N47" s="148"/>
    </row>
    <row r="48" spans="1:14" s="3" customFormat="1" ht="15.75" x14ac:dyDescent="0.2">
      <c r="A48" s="38" t="s">
        <v>352</v>
      </c>
      <c r="B48" s="258">
        <v>108982.70299999999</v>
      </c>
      <c r="C48" s="259">
        <v>98304.4</v>
      </c>
      <c r="D48" s="231">
        <f t="shared" si="0"/>
        <v>-9.8000000000000007</v>
      </c>
      <c r="E48" s="27">
        <f>IFERROR(100/'Skjema total MA'!C48*C48,0)</f>
        <v>5.7311297684708826</v>
      </c>
      <c r="F48" s="145"/>
      <c r="G48" s="33"/>
      <c r="H48" s="145"/>
      <c r="I48" s="145"/>
      <c r="J48" s="33"/>
      <c r="K48" s="33"/>
      <c r="L48" s="159"/>
      <c r="M48" s="159"/>
      <c r="N48" s="148"/>
    </row>
    <row r="49" spans="1:14" s="3" customFormat="1" ht="15.75" x14ac:dyDescent="0.2">
      <c r="A49" s="38" t="s">
        <v>353</v>
      </c>
      <c r="B49" s="44">
        <v>401848.109</v>
      </c>
      <c r="C49" s="264">
        <v>420703.3</v>
      </c>
      <c r="D49" s="231">
        <f>IF(B49=0, "    ---- ", IF(ABS(ROUND(100/B49*C49-100,1))&lt;999,ROUND(100/B49*C49-100,1),IF(ROUND(100/B49*C49-100,1)&gt;999,999,-999)))</f>
        <v>4.7</v>
      </c>
      <c r="E49" s="27">
        <f>IFERROR(100/'Skjema total MA'!C49*C49,0)</f>
        <v>29.048099163541938</v>
      </c>
      <c r="F49" s="145"/>
      <c r="G49" s="33"/>
      <c r="H49" s="145"/>
      <c r="I49" s="145"/>
      <c r="J49" s="37"/>
      <c r="K49" s="37"/>
      <c r="L49" s="159"/>
      <c r="M49" s="159"/>
      <c r="N49" s="148"/>
    </row>
    <row r="50" spans="1:14" s="3" customFormat="1" x14ac:dyDescent="0.2">
      <c r="A50" s="272" t="s">
        <v>6</v>
      </c>
      <c r="B50" s="295"/>
      <c r="C50" s="295"/>
      <c r="D50" s="231"/>
      <c r="E50" s="23"/>
      <c r="F50" s="145"/>
      <c r="G50" s="33"/>
      <c r="H50" s="145"/>
      <c r="I50" s="145"/>
      <c r="J50" s="33"/>
      <c r="K50" s="33"/>
      <c r="L50" s="159"/>
      <c r="M50" s="159"/>
      <c r="N50" s="148"/>
    </row>
    <row r="51" spans="1:14" s="3" customFormat="1" x14ac:dyDescent="0.2">
      <c r="A51" s="272" t="s">
        <v>7</v>
      </c>
      <c r="B51" s="295"/>
      <c r="C51" s="295"/>
      <c r="D51" s="231"/>
      <c r="E51" s="23"/>
      <c r="F51" s="145"/>
      <c r="G51" s="33"/>
      <c r="H51" s="145"/>
      <c r="I51" s="145"/>
      <c r="J51" s="33"/>
      <c r="K51" s="33"/>
      <c r="L51" s="159"/>
      <c r="M51" s="159"/>
      <c r="N51" s="148"/>
    </row>
    <row r="52" spans="1:14" s="3" customFormat="1" x14ac:dyDescent="0.2">
      <c r="A52" s="272" t="s">
        <v>8</v>
      </c>
      <c r="B52" s="295"/>
      <c r="C52" s="295"/>
      <c r="D52" s="231"/>
      <c r="E52" s="23"/>
      <c r="F52" s="145"/>
      <c r="G52" s="33"/>
      <c r="H52" s="145"/>
      <c r="I52" s="145"/>
      <c r="J52" s="33"/>
      <c r="K52" s="33"/>
      <c r="L52" s="159"/>
      <c r="M52" s="159"/>
      <c r="N52" s="148"/>
    </row>
    <row r="53" spans="1:14" s="3" customFormat="1" ht="15.75" x14ac:dyDescent="0.2">
      <c r="A53" s="39" t="s">
        <v>354</v>
      </c>
      <c r="B53" s="286">
        <v>2473.4879999999998</v>
      </c>
      <c r="C53" s="287">
        <v>1609</v>
      </c>
      <c r="D53" s="402">
        <f t="shared" si="0"/>
        <v>-35</v>
      </c>
      <c r="E53" s="11">
        <f>IFERROR(100/'Skjema total MA'!C53*C53,0)</f>
        <v>0.73253341272383021</v>
      </c>
      <c r="F53" s="145"/>
      <c r="G53" s="33"/>
      <c r="H53" s="145"/>
      <c r="I53" s="145"/>
      <c r="J53" s="33"/>
      <c r="K53" s="33"/>
      <c r="L53" s="159"/>
      <c r="M53" s="159"/>
      <c r="N53" s="148"/>
    </row>
    <row r="54" spans="1:14" s="3" customFormat="1" ht="15.75" x14ac:dyDescent="0.2">
      <c r="A54" s="38" t="s">
        <v>352</v>
      </c>
      <c r="B54" s="258">
        <v>2473.4879999999998</v>
      </c>
      <c r="C54" s="259">
        <v>1609</v>
      </c>
      <c r="D54" s="231">
        <f t="shared" si="0"/>
        <v>-35</v>
      </c>
      <c r="E54" s="27">
        <f>IFERROR(100/'Skjema total MA'!C54*C54,0)</f>
        <v>0.80134103400658674</v>
      </c>
      <c r="F54" s="145"/>
      <c r="G54" s="33"/>
      <c r="H54" s="145"/>
      <c r="I54" s="145"/>
      <c r="J54" s="33"/>
      <c r="K54" s="33"/>
      <c r="L54" s="159"/>
      <c r="M54" s="159"/>
      <c r="N54" s="148"/>
    </row>
    <row r="55" spans="1:14" s="3" customFormat="1" ht="15.75" x14ac:dyDescent="0.2">
      <c r="A55" s="38" t="s">
        <v>353</v>
      </c>
      <c r="B55" s="258"/>
      <c r="C55" s="259"/>
      <c r="D55" s="231"/>
      <c r="E55" s="27"/>
      <c r="F55" s="145"/>
      <c r="G55" s="33"/>
      <c r="H55" s="145"/>
      <c r="I55" s="145"/>
      <c r="J55" s="33"/>
      <c r="K55" s="33"/>
      <c r="L55" s="159"/>
      <c r="M55" s="159"/>
      <c r="N55" s="148"/>
    </row>
    <row r="56" spans="1:14" s="3" customFormat="1" ht="15.75" x14ac:dyDescent="0.2">
      <c r="A56" s="39" t="s">
        <v>355</v>
      </c>
      <c r="B56" s="286">
        <v>56510.533000000003</v>
      </c>
      <c r="C56" s="287">
        <v>8709</v>
      </c>
      <c r="D56" s="402">
        <f t="shared" si="0"/>
        <v>-84.6</v>
      </c>
      <c r="E56" s="11">
        <f>IFERROR(100/'Skjema total MA'!C56*C56,0)</f>
        <v>18.458040829338913</v>
      </c>
      <c r="F56" s="145"/>
      <c r="G56" s="33"/>
      <c r="H56" s="145"/>
      <c r="I56" s="145"/>
      <c r="J56" s="33"/>
      <c r="K56" s="33"/>
      <c r="L56" s="159"/>
      <c r="M56" s="159"/>
      <c r="N56" s="148"/>
    </row>
    <row r="57" spans="1:14" s="3" customFormat="1" ht="15.75" x14ac:dyDescent="0.2">
      <c r="A57" s="38" t="s">
        <v>352</v>
      </c>
      <c r="B57" s="258">
        <v>56510.533000000003</v>
      </c>
      <c r="C57" s="259">
        <v>8709</v>
      </c>
      <c r="D57" s="231">
        <f t="shared" si="0"/>
        <v>-84.6</v>
      </c>
      <c r="E57" s="27">
        <f>IFERROR(100/'Skjema total MA'!C57*C57,0)</f>
        <v>18.458040829338913</v>
      </c>
      <c r="F57" s="145"/>
      <c r="G57" s="33"/>
      <c r="H57" s="145"/>
      <c r="I57" s="145"/>
      <c r="J57" s="33"/>
      <c r="K57" s="33"/>
      <c r="L57" s="159"/>
      <c r="M57" s="159"/>
      <c r="N57" s="148"/>
    </row>
    <row r="58" spans="1:14" s="3" customFormat="1" ht="15.75" x14ac:dyDescent="0.2">
      <c r="A58" s="46" t="s">
        <v>353</v>
      </c>
      <c r="B58" s="260"/>
      <c r="C58" s="261"/>
      <c r="D58" s="232"/>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250</v>
      </c>
      <c r="C61" s="26"/>
      <c r="D61" s="26"/>
      <c r="E61" s="26"/>
      <c r="F61" s="26"/>
      <c r="G61" s="26"/>
      <c r="H61" s="26"/>
      <c r="I61" s="26"/>
      <c r="J61" s="26"/>
      <c r="K61" s="26"/>
      <c r="L61" s="26"/>
      <c r="M61" s="26"/>
    </row>
    <row r="62" spans="1:14" ht="15.75" x14ac:dyDescent="0.25">
      <c r="B62" s="694"/>
      <c r="C62" s="694"/>
      <c r="D62" s="694"/>
      <c r="E62" s="275"/>
      <c r="F62" s="694"/>
      <c r="G62" s="694"/>
      <c r="H62" s="694"/>
      <c r="I62" s="275"/>
      <c r="J62" s="694"/>
      <c r="K62" s="694"/>
      <c r="L62" s="694"/>
      <c r="M62" s="275"/>
    </row>
    <row r="63" spans="1:14" x14ac:dyDescent="0.2">
      <c r="A63" s="144"/>
      <c r="B63" s="695" t="s">
        <v>0</v>
      </c>
      <c r="C63" s="696"/>
      <c r="D63" s="697"/>
      <c r="E63" s="276"/>
      <c r="F63" s="696" t="s">
        <v>1</v>
      </c>
      <c r="G63" s="696"/>
      <c r="H63" s="696"/>
      <c r="I63" s="280"/>
      <c r="J63" s="695" t="s">
        <v>2</v>
      </c>
      <c r="K63" s="696"/>
      <c r="L63" s="696"/>
      <c r="M63" s="280"/>
    </row>
    <row r="64" spans="1:14" x14ac:dyDescent="0.2">
      <c r="A64" s="140"/>
      <c r="B64" s="152" t="s">
        <v>412</v>
      </c>
      <c r="C64" s="152" t="s">
        <v>413</v>
      </c>
      <c r="D64" s="222" t="s">
        <v>3</v>
      </c>
      <c r="E64" s="281" t="s">
        <v>29</v>
      </c>
      <c r="F64" s="152" t="s">
        <v>412</v>
      </c>
      <c r="G64" s="152" t="s">
        <v>413</v>
      </c>
      <c r="H64" s="222" t="s">
        <v>3</v>
      </c>
      <c r="I64" s="281" t="s">
        <v>29</v>
      </c>
      <c r="J64" s="152" t="s">
        <v>412</v>
      </c>
      <c r="K64" s="152" t="s">
        <v>413</v>
      </c>
      <c r="L64" s="222" t="s">
        <v>3</v>
      </c>
      <c r="M64" s="162" t="s">
        <v>29</v>
      </c>
    </row>
    <row r="65" spans="1:14" x14ac:dyDescent="0.2">
      <c r="A65" s="662"/>
      <c r="B65" s="156"/>
      <c r="C65" s="156"/>
      <c r="D65" s="223" t="s">
        <v>4</v>
      </c>
      <c r="E65" s="156" t="s">
        <v>30</v>
      </c>
      <c r="F65" s="161"/>
      <c r="G65" s="161"/>
      <c r="H65" s="222" t="s">
        <v>4</v>
      </c>
      <c r="I65" s="156" t="s">
        <v>30</v>
      </c>
      <c r="J65" s="161"/>
      <c r="K65" s="203"/>
      <c r="L65" s="156" t="s">
        <v>4</v>
      </c>
      <c r="M65" s="156" t="s">
        <v>30</v>
      </c>
    </row>
    <row r="66" spans="1:14" ht="15.75" x14ac:dyDescent="0.2">
      <c r="A66" s="14" t="s">
        <v>23</v>
      </c>
      <c r="B66" s="329"/>
      <c r="C66" s="329"/>
      <c r="D66" s="326"/>
      <c r="E66" s="11"/>
      <c r="F66" s="328"/>
      <c r="G66" s="328"/>
      <c r="H66" s="326"/>
      <c r="I66" s="24"/>
      <c r="J66" s="159"/>
      <c r="K66" s="292"/>
      <c r="L66" s="402"/>
      <c r="M66" s="11"/>
    </row>
    <row r="67" spans="1:14" x14ac:dyDescent="0.2">
      <c r="A67" s="393" t="s">
        <v>9</v>
      </c>
      <c r="B67" s="44"/>
      <c r="C67" s="145"/>
      <c r="D67" s="166"/>
      <c r="E67" s="23"/>
      <c r="F67" s="211"/>
      <c r="G67" s="145"/>
      <c r="H67" s="166"/>
      <c r="I67" s="23"/>
      <c r="J67" s="145"/>
      <c r="K67" s="44"/>
      <c r="L67" s="231"/>
      <c r="M67" s="27"/>
    </row>
    <row r="68" spans="1:14" x14ac:dyDescent="0.2">
      <c r="A68" s="21" t="s">
        <v>10</v>
      </c>
      <c r="B68" s="268"/>
      <c r="C68" s="269"/>
      <c r="D68" s="166"/>
      <c r="E68" s="23"/>
      <c r="F68" s="268"/>
      <c r="G68" s="269"/>
      <c r="H68" s="166"/>
      <c r="I68" s="23"/>
      <c r="J68" s="145"/>
      <c r="K68" s="44"/>
      <c r="L68" s="231"/>
      <c r="M68" s="27"/>
    </row>
    <row r="69" spans="1:14" ht="15.75" x14ac:dyDescent="0.2">
      <c r="A69" s="272" t="s">
        <v>356</v>
      </c>
      <c r="B69" s="295"/>
      <c r="C69" s="295"/>
      <c r="D69" s="166"/>
      <c r="E69" s="23"/>
      <c r="F69" s="295"/>
      <c r="G69" s="295"/>
      <c r="H69" s="166"/>
      <c r="I69" s="23"/>
      <c r="J69" s="295"/>
      <c r="K69" s="295"/>
      <c r="L69" s="166"/>
      <c r="M69" s="23"/>
    </row>
    <row r="70" spans="1:14" x14ac:dyDescent="0.2">
      <c r="A70" s="272" t="s">
        <v>12</v>
      </c>
      <c r="B70" s="270"/>
      <c r="C70" s="271"/>
      <c r="D70" s="166"/>
      <c r="E70" s="23"/>
      <c r="F70" s="270"/>
      <c r="G70" s="271"/>
      <c r="H70" s="166"/>
      <c r="I70" s="23"/>
      <c r="J70" s="270"/>
      <c r="K70" s="271"/>
      <c r="L70" s="166"/>
      <c r="M70" s="23"/>
    </row>
    <row r="71" spans="1:14" x14ac:dyDescent="0.2">
      <c r="A71" s="272" t="s">
        <v>13</v>
      </c>
      <c r="B71" s="212"/>
      <c r="C71" s="266"/>
      <c r="D71" s="166"/>
      <c r="E71" s="23"/>
      <c r="F71" s="212"/>
      <c r="G71" s="266"/>
      <c r="H71" s="166"/>
      <c r="I71" s="23"/>
      <c r="J71" s="212"/>
      <c r="K71" s="266"/>
      <c r="L71" s="166"/>
      <c r="M71" s="23"/>
    </row>
    <row r="72" spans="1:14" ht="15.75" x14ac:dyDescent="0.2">
      <c r="A72" s="272" t="s">
        <v>357</v>
      </c>
      <c r="B72" s="295"/>
      <c r="C72" s="295"/>
      <c r="D72" s="166"/>
      <c r="E72" s="23"/>
      <c r="F72" s="295"/>
      <c r="G72" s="295"/>
      <c r="H72" s="166"/>
      <c r="I72" s="23"/>
      <c r="J72" s="295"/>
      <c r="K72" s="295"/>
      <c r="L72" s="166"/>
      <c r="M72" s="23"/>
    </row>
    <row r="73" spans="1:14" x14ac:dyDescent="0.2">
      <c r="A73" s="272" t="s">
        <v>12</v>
      </c>
      <c r="B73" s="212"/>
      <c r="C73" s="266"/>
      <c r="D73" s="166"/>
      <c r="E73" s="23"/>
      <c r="F73" s="212"/>
      <c r="G73" s="266"/>
      <c r="H73" s="166"/>
      <c r="I73" s="23"/>
      <c r="J73" s="212"/>
      <c r="K73" s="266"/>
      <c r="L73" s="166"/>
      <c r="M73" s="23"/>
    </row>
    <row r="74" spans="1:14" s="3" customFormat="1" x14ac:dyDescent="0.2">
      <c r="A74" s="272" t="s">
        <v>13</v>
      </c>
      <c r="B74" s="212"/>
      <c r="C74" s="266"/>
      <c r="D74" s="166"/>
      <c r="E74" s="23"/>
      <c r="F74" s="212"/>
      <c r="G74" s="266"/>
      <c r="H74" s="166"/>
      <c r="I74" s="23"/>
      <c r="J74" s="212"/>
      <c r="K74" s="266"/>
      <c r="L74" s="166"/>
      <c r="M74" s="23"/>
      <c r="N74" s="148"/>
    </row>
    <row r="75" spans="1:14" s="3" customFormat="1" x14ac:dyDescent="0.2">
      <c r="A75" s="21" t="s">
        <v>326</v>
      </c>
      <c r="B75" s="211"/>
      <c r="C75" s="145"/>
      <c r="D75" s="166"/>
      <c r="E75" s="23"/>
      <c r="F75" s="211"/>
      <c r="G75" s="145"/>
      <c r="H75" s="166"/>
      <c r="I75" s="23"/>
      <c r="J75" s="145"/>
      <c r="K75" s="44"/>
      <c r="L75" s="231"/>
      <c r="M75" s="27"/>
      <c r="N75" s="148"/>
    </row>
    <row r="76" spans="1:14" s="3" customFormat="1" x14ac:dyDescent="0.2">
      <c r="A76" s="21" t="s">
        <v>325</v>
      </c>
      <c r="B76" s="211"/>
      <c r="C76" s="145"/>
      <c r="D76" s="166"/>
      <c r="E76" s="23"/>
      <c r="F76" s="211"/>
      <c r="G76" s="145"/>
      <c r="H76" s="166"/>
      <c r="I76" s="23"/>
      <c r="J76" s="145"/>
      <c r="K76" s="44"/>
      <c r="L76" s="231"/>
      <c r="M76" s="27"/>
      <c r="N76" s="148"/>
    </row>
    <row r="77" spans="1:14" ht="15.75" x14ac:dyDescent="0.2">
      <c r="A77" s="21" t="s">
        <v>358</v>
      </c>
      <c r="B77" s="211"/>
      <c r="C77" s="211"/>
      <c r="D77" s="166"/>
      <c r="E77" s="23"/>
      <c r="F77" s="211"/>
      <c r="G77" s="145"/>
      <c r="H77" s="166"/>
      <c r="I77" s="23"/>
      <c r="J77" s="145"/>
      <c r="K77" s="44"/>
      <c r="L77" s="231"/>
      <c r="M77" s="27"/>
    </row>
    <row r="78" spans="1:14" x14ac:dyDescent="0.2">
      <c r="A78" s="21" t="s">
        <v>9</v>
      </c>
      <c r="B78" s="211"/>
      <c r="C78" s="145"/>
      <c r="D78" s="166"/>
      <c r="E78" s="23"/>
      <c r="F78" s="211"/>
      <c r="G78" s="145"/>
      <c r="H78" s="166"/>
      <c r="I78" s="23"/>
      <c r="J78" s="145"/>
      <c r="K78" s="44"/>
      <c r="L78" s="231"/>
      <c r="M78" s="27"/>
    </row>
    <row r="79" spans="1:14" x14ac:dyDescent="0.2">
      <c r="A79" s="38" t="s">
        <v>398</v>
      </c>
      <c r="B79" s="268"/>
      <c r="C79" s="269"/>
      <c r="D79" s="166"/>
      <c r="E79" s="23"/>
      <c r="F79" s="268"/>
      <c r="G79" s="269"/>
      <c r="H79" s="166"/>
      <c r="I79" s="23"/>
      <c r="J79" s="145"/>
      <c r="K79" s="44"/>
      <c r="L79" s="231"/>
      <c r="M79" s="27"/>
    </row>
    <row r="80" spans="1:14" ht="15.75" x14ac:dyDescent="0.2">
      <c r="A80" s="272" t="s">
        <v>356</v>
      </c>
      <c r="B80" s="295"/>
      <c r="C80" s="295"/>
      <c r="D80" s="166"/>
      <c r="E80" s="23"/>
      <c r="F80" s="295"/>
      <c r="G80" s="295"/>
      <c r="H80" s="166"/>
      <c r="I80" s="23"/>
      <c r="J80" s="295"/>
      <c r="K80" s="295"/>
      <c r="L80" s="166"/>
      <c r="M80" s="23"/>
    </row>
    <row r="81" spans="1:13" x14ac:dyDescent="0.2">
      <c r="A81" s="272" t="s">
        <v>12</v>
      </c>
      <c r="B81" s="295"/>
      <c r="C81" s="295"/>
      <c r="D81" s="166"/>
      <c r="E81" s="23"/>
      <c r="F81" s="270"/>
      <c r="G81" s="271"/>
      <c r="H81" s="166"/>
      <c r="I81" s="23"/>
      <c r="J81" s="270"/>
      <c r="K81" s="271"/>
      <c r="L81" s="166"/>
      <c r="M81" s="23"/>
    </row>
    <row r="82" spans="1:13" x14ac:dyDescent="0.2">
      <c r="A82" s="272" t="s">
        <v>13</v>
      </c>
      <c r="B82" s="295"/>
      <c r="C82" s="295"/>
      <c r="D82" s="166"/>
      <c r="E82" s="23"/>
      <c r="F82" s="212"/>
      <c r="G82" s="266"/>
      <c r="H82" s="166"/>
      <c r="I82" s="23"/>
      <c r="J82" s="212"/>
      <c r="K82" s="266"/>
      <c r="L82" s="166"/>
      <c r="M82" s="23"/>
    </row>
    <row r="83" spans="1:13" ht="15.75" x14ac:dyDescent="0.2">
      <c r="A83" s="272" t="s">
        <v>357</v>
      </c>
      <c r="B83" s="295"/>
      <c r="C83" s="295"/>
      <c r="D83" s="166"/>
      <c r="E83" s="23"/>
      <c r="F83" s="295"/>
      <c r="G83" s="295"/>
      <c r="H83" s="166"/>
      <c r="I83" s="23"/>
      <c r="J83" s="295"/>
      <c r="K83" s="295"/>
      <c r="L83" s="166"/>
      <c r="M83" s="23"/>
    </row>
    <row r="84" spans="1:13" x14ac:dyDescent="0.2">
      <c r="A84" s="272" t="s">
        <v>12</v>
      </c>
      <c r="B84" s="212"/>
      <c r="C84" s="266"/>
      <c r="D84" s="166"/>
      <c r="E84" s="23"/>
      <c r="F84" s="212"/>
      <c r="G84" s="266"/>
      <c r="H84" s="166"/>
      <c r="I84" s="23"/>
      <c r="J84" s="212"/>
      <c r="K84" s="266"/>
      <c r="L84" s="166"/>
      <c r="M84" s="23"/>
    </row>
    <row r="85" spans="1:13" x14ac:dyDescent="0.2">
      <c r="A85" s="272" t="s">
        <v>13</v>
      </c>
      <c r="B85" s="212"/>
      <c r="C85" s="266"/>
      <c r="D85" s="166"/>
      <c r="E85" s="23"/>
      <c r="F85" s="212"/>
      <c r="G85" s="266"/>
      <c r="H85" s="166"/>
      <c r="I85" s="23"/>
      <c r="J85" s="212"/>
      <c r="K85" s="266"/>
      <c r="L85" s="166"/>
      <c r="M85" s="23"/>
    </row>
    <row r="86" spans="1:13" ht="15.75" x14ac:dyDescent="0.2">
      <c r="A86" s="21" t="s">
        <v>359</v>
      </c>
      <c r="B86" s="211"/>
      <c r="C86" s="145"/>
      <c r="D86" s="166"/>
      <c r="E86" s="23"/>
      <c r="F86" s="211"/>
      <c r="G86" s="145"/>
      <c r="H86" s="166"/>
      <c r="I86" s="23"/>
      <c r="J86" s="145"/>
      <c r="K86" s="44"/>
      <c r="L86" s="231"/>
      <c r="M86" s="27"/>
    </row>
    <row r="87" spans="1:13" ht="15.75" x14ac:dyDescent="0.2">
      <c r="A87" s="13" t="s">
        <v>341</v>
      </c>
      <c r="B87" s="329"/>
      <c r="C87" s="329"/>
      <c r="D87" s="171"/>
      <c r="E87" s="24"/>
      <c r="F87" s="328"/>
      <c r="G87" s="328"/>
      <c r="H87" s="171"/>
      <c r="I87" s="24"/>
      <c r="J87" s="159"/>
      <c r="K87" s="213"/>
      <c r="L87" s="402"/>
      <c r="M87" s="11"/>
    </row>
    <row r="88" spans="1:13" x14ac:dyDescent="0.2">
      <c r="A88" s="21" t="s">
        <v>9</v>
      </c>
      <c r="B88" s="211"/>
      <c r="C88" s="145"/>
      <c r="D88" s="166"/>
      <c r="E88" s="23"/>
      <c r="F88" s="211"/>
      <c r="G88" s="145"/>
      <c r="H88" s="166"/>
      <c r="I88" s="23"/>
      <c r="J88" s="145"/>
      <c r="K88" s="44"/>
      <c r="L88" s="231"/>
      <c r="M88" s="27"/>
    </row>
    <row r="89" spans="1:13" x14ac:dyDescent="0.2">
      <c r="A89" s="21" t="s">
        <v>10</v>
      </c>
      <c r="B89" s="211"/>
      <c r="C89" s="145"/>
      <c r="D89" s="166"/>
      <c r="E89" s="23"/>
      <c r="F89" s="211"/>
      <c r="G89" s="145"/>
      <c r="H89" s="166"/>
      <c r="I89" s="23"/>
      <c r="J89" s="145"/>
      <c r="K89" s="44"/>
      <c r="L89" s="231"/>
      <c r="M89" s="27"/>
    </row>
    <row r="90" spans="1:13" ht="15.75" x14ac:dyDescent="0.2">
      <c r="A90" s="272" t="s">
        <v>356</v>
      </c>
      <c r="B90" s="295"/>
      <c r="C90" s="295"/>
      <c r="D90" s="166"/>
      <c r="E90" s="23"/>
      <c r="F90" s="295"/>
      <c r="G90" s="295"/>
      <c r="H90" s="166"/>
      <c r="I90" s="23"/>
      <c r="J90" s="295"/>
      <c r="K90" s="295"/>
      <c r="L90" s="166"/>
      <c r="M90" s="23"/>
    </row>
    <row r="91" spans="1:13" x14ac:dyDescent="0.2">
      <c r="A91" s="272" t="s">
        <v>12</v>
      </c>
      <c r="B91" s="295"/>
      <c r="C91" s="295"/>
      <c r="D91" s="166"/>
      <c r="E91" s="23"/>
      <c r="F91" s="270"/>
      <c r="G91" s="271"/>
      <c r="H91" s="166"/>
      <c r="I91" s="23"/>
      <c r="J91" s="270"/>
      <c r="K91" s="271"/>
      <c r="L91" s="166"/>
      <c r="M91" s="23"/>
    </row>
    <row r="92" spans="1:13" x14ac:dyDescent="0.2">
      <c r="A92" s="272" t="s">
        <v>13</v>
      </c>
      <c r="B92" s="295"/>
      <c r="C92" s="295"/>
      <c r="D92" s="166"/>
      <c r="E92" s="23"/>
      <c r="F92" s="212"/>
      <c r="G92" s="266"/>
      <c r="H92" s="166"/>
      <c r="I92" s="23"/>
      <c r="J92" s="212"/>
      <c r="K92" s="266"/>
      <c r="L92" s="166"/>
      <c r="M92" s="23"/>
    </row>
    <row r="93" spans="1:13" ht="15.75" x14ac:dyDescent="0.2">
      <c r="A93" s="272" t="s">
        <v>357</v>
      </c>
      <c r="B93" s="295"/>
      <c r="C93" s="295"/>
      <c r="D93" s="166"/>
      <c r="E93" s="23"/>
      <c r="F93" s="295"/>
      <c r="G93" s="295"/>
      <c r="H93" s="166"/>
      <c r="I93" s="23"/>
      <c r="J93" s="295"/>
      <c r="K93" s="295"/>
      <c r="L93" s="166"/>
      <c r="M93" s="23"/>
    </row>
    <row r="94" spans="1:13" x14ac:dyDescent="0.2">
      <c r="A94" s="272" t="s">
        <v>12</v>
      </c>
      <c r="B94" s="212"/>
      <c r="C94" s="266"/>
      <c r="D94" s="166"/>
      <c r="E94" s="23"/>
      <c r="F94" s="212"/>
      <c r="G94" s="266"/>
      <c r="H94" s="166"/>
      <c r="I94" s="23"/>
      <c r="J94" s="212"/>
      <c r="K94" s="266"/>
      <c r="L94" s="166"/>
      <c r="M94" s="23"/>
    </row>
    <row r="95" spans="1:13" x14ac:dyDescent="0.2">
      <c r="A95" s="272" t="s">
        <v>13</v>
      </c>
      <c r="B95" s="212"/>
      <c r="C95" s="266"/>
      <c r="D95" s="166"/>
      <c r="E95" s="23"/>
      <c r="F95" s="212"/>
      <c r="G95" s="266"/>
      <c r="H95" s="166"/>
      <c r="I95" s="23"/>
      <c r="J95" s="212"/>
      <c r="K95" s="266"/>
      <c r="L95" s="166"/>
      <c r="M95" s="23"/>
    </row>
    <row r="96" spans="1:13" x14ac:dyDescent="0.2">
      <c r="A96" s="21" t="s">
        <v>324</v>
      </c>
      <c r="B96" s="211"/>
      <c r="C96" s="145"/>
      <c r="D96" s="166"/>
      <c r="E96" s="23"/>
      <c r="F96" s="211"/>
      <c r="G96" s="145"/>
      <c r="H96" s="166"/>
      <c r="I96" s="23"/>
      <c r="J96" s="145"/>
      <c r="K96" s="44"/>
      <c r="L96" s="231"/>
      <c r="M96" s="27"/>
    </row>
    <row r="97" spans="1:13" x14ac:dyDescent="0.2">
      <c r="A97" s="21" t="s">
        <v>323</v>
      </c>
      <c r="B97" s="211"/>
      <c r="C97" s="145"/>
      <c r="D97" s="166"/>
      <c r="E97" s="23"/>
      <c r="F97" s="211"/>
      <c r="G97" s="145"/>
      <c r="H97" s="166"/>
      <c r="I97" s="23"/>
      <c r="J97" s="145"/>
      <c r="K97" s="44"/>
      <c r="L97" s="231"/>
      <c r="M97" s="27"/>
    </row>
    <row r="98" spans="1:13" ht="15.75" x14ac:dyDescent="0.2">
      <c r="A98" s="21" t="s">
        <v>358</v>
      </c>
      <c r="B98" s="211"/>
      <c r="C98" s="211"/>
      <c r="D98" s="166"/>
      <c r="E98" s="23"/>
      <c r="F98" s="268"/>
      <c r="G98" s="268"/>
      <c r="H98" s="166"/>
      <c r="I98" s="23"/>
      <c r="J98" s="145"/>
      <c r="K98" s="44"/>
      <c r="L98" s="231"/>
      <c r="M98" s="27"/>
    </row>
    <row r="99" spans="1:13" x14ac:dyDescent="0.2">
      <c r="A99" s="21" t="s">
        <v>9</v>
      </c>
      <c r="B99" s="268"/>
      <c r="C99" s="269"/>
      <c r="D99" s="166"/>
      <c r="E99" s="23"/>
      <c r="F99" s="211"/>
      <c r="G99" s="145"/>
      <c r="H99" s="166"/>
      <c r="I99" s="23"/>
      <c r="J99" s="145"/>
      <c r="K99" s="44"/>
      <c r="L99" s="231"/>
      <c r="M99" s="27"/>
    </row>
    <row r="100" spans="1:13" ht="15.75" x14ac:dyDescent="0.2">
      <c r="A100" s="38" t="s">
        <v>399</v>
      </c>
      <c r="B100" s="268"/>
      <c r="C100" s="269"/>
      <c r="D100" s="166"/>
      <c r="E100" s="23"/>
      <c r="F100" s="211"/>
      <c r="G100" s="211"/>
      <c r="H100" s="166"/>
      <c r="I100" s="23"/>
      <c r="J100" s="145"/>
      <c r="K100" s="44"/>
      <c r="L100" s="231"/>
      <c r="M100" s="27"/>
    </row>
    <row r="101" spans="1:13" ht="15.75" x14ac:dyDescent="0.2">
      <c r="A101" s="38" t="s">
        <v>400</v>
      </c>
      <c r="B101" s="268"/>
      <c r="C101" s="268"/>
      <c r="D101" s="166"/>
      <c r="E101" s="23"/>
      <c r="F101" s="268"/>
      <c r="G101" s="268"/>
      <c r="H101" s="166"/>
      <c r="I101" s="23"/>
      <c r="J101" s="145"/>
      <c r="K101" s="44"/>
      <c r="L101" s="231"/>
      <c r="M101" s="27"/>
    </row>
    <row r="102" spans="1:13" ht="15.75" x14ac:dyDescent="0.2">
      <c r="A102" s="272" t="s">
        <v>356</v>
      </c>
      <c r="B102" s="295"/>
      <c r="C102" s="295"/>
      <c r="D102" s="166"/>
      <c r="E102" s="23"/>
      <c r="F102" s="295"/>
      <c r="G102" s="295"/>
      <c r="H102" s="166"/>
      <c r="I102" s="23"/>
      <c r="J102" s="295"/>
      <c r="K102" s="295"/>
      <c r="L102" s="166"/>
      <c r="M102" s="23"/>
    </row>
    <row r="103" spans="1:13" x14ac:dyDescent="0.2">
      <c r="A103" s="272" t="s">
        <v>12</v>
      </c>
      <c r="B103" s="295"/>
      <c r="C103" s="295"/>
      <c r="D103" s="166"/>
      <c r="E103" s="23"/>
      <c r="F103" s="270"/>
      <c r="G103" s="271"/>
      <c r="H103" s="166"/>
      <c r="I103" s="23"/>
      <c r="J103" s="270"/>
      <c r="K103" s="271"/>
      <c r="L103" s="166"/>
      <c r="M103" s="23"/>
    </row>
    <row r="104" spans="1:13" x14ac:dyDescent="0.2">
      <c r="A104" s="272" t="s">
        <v>13</v>
      </c>
      <c r="B104" s="295"/>
      <c r="C104" s="295"/>
      <c r="D104" s="166"/>
      <c r="E104" s="23"/>
      <c r="F104" s="212"/>
      <c r="G104" s="266"/>
      <c r="H104" s="166"/>
      <c r="I104" s="23"/>
      <c r="J104" s="212"/>
      <c r="K104" s="266"/>
      <c r="L104" s="166"/>
      <c r="M104" s="23"/>
    </row>
    <row r="105" spans="1:13" ht="15.75" x14ac:dyDescent="0.2">
      <c r="A105" s="272" t="s">
        <v>357</v>
      </c>
      <c r="B105" s="295"/>
      <c r="C105" s="295"/>
      <c r="D105" s="166"/>
      <c r="E105" s="23"/>
      <c r="F105" s="295"/>
      <c r="G105" s="295"/>
      <c r="H105" s="166"/>
      <c r="I105" s="23"/>
      <c r="J105" s="295"/>
      <c r="K105" s="295"/>
      <c r="L105" s="166"/>
      <c r="M105" s="23"/>
    </row>
    <row r="106" spans="1:13" x14ac:dyDescent="0.2">
      <c r="A106" s="272" t="s">
        <v>12</v>
      </c>
      <c r="B106" s="212"/>
      <c r="C106" s="266"/>
      <c r="D106" s="166"/>
      <c r="E106" s="23"/>
      <c r="F106" s="212"/>
      <c r="G106" s="266"/>
      <c r="H106" s="166"/>
      <c r="I106" s="23"/>
      <c r="J106" s="212"/>
      <c r="K106" s="266"/>
      <c r="L106" s="166"/>
      <c r="M106" s="23"/>
    </row>
    <row r="107" spans="1:13" x14ac:dyDescent="0.2">
      <c r="A107" s="272" t="s">
        <v>13</v>
      </c>
      <c r="B107" s="212"/>
      <c r="C107" s="266"/>
      <c r="D107" s="166"/>
      <c r="E107" s="23"/>
      <c r="F107" s="212"/>
      <c r="G107" s="266"/>
      <c r="H107" s="166"/>
      <c r="I107" s="23"/>
      <c r="J107" s="212"/>
      <c r="K107" s="266"/>
      <c r="L107" s="166"/>
      <c r="M107" s="23"/>
    </row>
    <row r="108" spans="1:13" ht="15.75" x14ac:dyDescent="0.2">
      <c r="A108" s="21" t="s">
        <v>359</v>
      </c>
      <c r="B108" s="211"/>
      <c r="C108" s="145"/>
      <c r="D108" s="166"/>
      <c r="E108" s="23"/>
      <c r="F108" s="211"/>
      <c r="G108" s="145"/>
      <c r="H108" s="166"/>
      <c r="I108" s="23"/>
      <c r="J108" s="145"/>
      <c r="K108" s="44"/>
      <c r="L108" s="231"/>
      <c r="M108" s="27"/>
    </row>
    <row r="109" spans="1:13" ht="15.75" x14ac:dyDescent="0.2">
      <c r="A109" s="21" t="s">
        <v>360</v>
      </c>
      <c r="B109" s="211"/>
      <c r="C109" s="211"/>
      <c r="D109" s="166"/>
      <c r="E109" s="23"/>
      <c r="F109" s="211"/>
      <c r="G109" s="211"/>
      <c r="H109" s="166"/>
      <c r="I109" s="23"/>
      <c r="J109" s="145"/>
      <c r="K109" s="44"/>
      <c r="L109" s="231"/>
      <c r="M109" s="27"/>
    </row>
    <row r="110" spans="1:13" ht="15.75" x14ac:dyDescent="0.2">
      <c r="A110" s="38" t="s">
        <v>416</v>
      </c>
      <c r="B110" s="211"/>
      <c r="C110" s="211"/>
      <c r="D110" s="166"/>
      <c r="E110" s="23"/>
      <c r="F110" s="211"/>
      <c r="G110" s="211"/>
      <c r="H110" s="166"/>
      <c r="I110" s="23"/>
      <c r="J110" s="145"/>
      <c r="K110" s="44"/>
      <c r="L110" s="231"/>
      <c r="M110" s="27"/>
    </row>
    <row r="111" spans="1:13" ht="15.75" x14ac:dyDescent="0.2">
      <c r="A111" s="21" t="s">
        <v>362</v>
      </c>
      <c r="B111" s="211"/>
      <c r="C111" s="211"/>
      <c r="D111" s="166"/>
      <c r="E111" s="23"/>
      <c r="F111" s="211"/>
      <c r="G111" s="211"/>
      <c r="H111" s="166"/>
      <c r="I111" s="23"/>
      <c r="J111" s="145"/>
      <c r="K111" s="44"/>
      <c r="L111" s="231"/>
      <c r="M111" s="27"/>
    </row>
    <row r="112" spans="1:13" ht="15.75" x14ac:dyDescent="0.2">
      <c r="A112" s="13" t="s">
        <v>342</v>
      </c>
      <c r="B112" s="284"/>
      <c r="C112" s="159"/>
      <c r="D112" s="171"/>
      <c r="E112" s="24"/>
      <c r="F112" s="284"/>
      <c r="G112" s="159"/>
      <c r="H112" s="171"/>
      <c r="I112" s="24"/>
      <c r="J112" s="159"/>
      <c r="K112" s="213"/>
      <c r="L112" s="402"/>
      <c r="M112" s="11"/>
    </row>
    <row r="113" spans="1:14" x14ac:dyDescent="0.2">
      <c r="A113" s="21" t="s">
        <v>9</v>
      </c>
      <c r="B113" s="211"/>
      <c r="C113" s="145"/>
      <c r="D113" s="166"/>
      <c r="E113" s="23"/>
      <c r="F113" s="211"/>
      <c r="G113" s="145"/>
      <c r="H113" s="166"/>
      <c r="I113" s="23"/>
      <c r="J113" s="145"/>
      <c r="K113" s="44"/>
      <c r="L113" s="231"/>
      <c r="M113" s="27"/>
    </row>
    <row r="114" spans="1:14" x14ac:dyDescent="0.2">
      <c r="A114" s="21" t="s">
        <v>10</v>
      </c>
      <c r="B114" s="211"/>
      <c r="C114" s="145"/>
      <c r="D114" s="166"/>
      <c r="E114" s="23"/>
      <c r="F114" s="211"/>
      <c r="G114" s="145"/>
      <c r="H114" s="166"/>
      <c r="I114" s="23"/>
      <c r="J114" s="145"/>
      <c r="K114" s="44"/>
      <c r="L114" s="231"/>
      <c r="M114" s="27"/>
    </row>
    <row r="115" spans="1:14" x14ac:dyDescent="0.2">
      <c r="A115" s="21" t="s">
        <v>26</v>
      </c>
      <c r="B115" s="211"/>
      <c r="C115" s="145"/>
      <c r="D115" s="166"/>
      <c r="E115" s="23"/>
      <c r="F115" s="211"/>
      <c r="G115" s="145"/>
      <c r="H115" s="166"/>
      <c r="I115" s="23"/>
      <c r="J115" s="145"/>
      <c r="K115" s="44"/>
      <c r="L115" s="231"/>
      <c r="M115" s="27"/>
    </row>
    <row r="116" spans="1:14" x14ac:dyDescent="0.2">
      <c r="A116" s="272" t="s">
        <v>15</v>
      </c>
      <c r="B116" s="258"/>
      <c r="C116" s="258"/>
      <c r="D116" s="166"/>
      <c r="E116" s="23"/>
      <c r="F116" s="665"/>
      <c r="G116" s="258"/>
      <c r="H116" s="166"/>
      <c r="I116" s="23"/>
      <c r="J116" s="667"/>
      <c r="K116" s="267"/>
      <c r="L116" s="166"/>
      <c r="M116" s="23"/>
    </row>
    <row r="117" spans="1:14" ht="15.75" x14ac:dyDescent="0.2">
      <c r="A117" s="21" t="s">
        <v>363</v>
      </c>
      <c r="B117" s="211"/>
      <c r="C117" s="211"/>
      <c r="D117" s="166"/>
      <c r="E117" s="23"/>
      <c r="F117" s="211"/>
      <c r="G117" s="211"/>
      <c r="H117" s="166"/>
      <c r="I117" s="23"/>
      <c r="J117" s="145"/>
      <c r="K117" s="44"/>
      <c r="L117" s="231"/>
      <c r="M117" s="27"/>
    </row>
    <row r="118" spans="1:14" ht="15.75" x14ac:dyDescent="0.2">
      <c r="A118" s="21" t="s">
        <v>364</v>
      </c>
      <c r="B118" s="211"/>
      <c r="C118" s="211"/>
      <c r="D118" s="166"/>
      <c r="E118" s="23"/>
      <c r="F118" s="211"/>
      <c r="G118" s="211"/>
      <c r="H118" s="166"/>
      <c r="I118" s="23"/>
      <c r="J118" s="145"/>
      <c r="K118" s="44"/>
      <c r="L118" s="231"/>
      <c r="M118" s="27"/>
    </row>
    <row r="119" spans="1:14" ht="15.75" x14ac:dyDescent="0.2">
      <c r="A119" s="21" t="s">
        <v>362</v>
      </c>
      <c r="B119" s="211"/>
      <c r="C119" s="211"/>
      <c r="D119" s="166"/>
      <c r="E119" s="23"/>
      <c r="F119" s="211"/>
      <c r="G119" s="211"/>
      <c r="H119" s="166"/>
      <c r="I119" s="23"/>
      <c r="J119" s="145"/>
      <c r="K119" s="44"/>
      <c r="L119" s="231"/>
      <c r="M119" s="27"/>
    </row>
    <row r="120" spans="1:14" ht="15.75" x14ac:dyDescent="0.2">
      <c r="A120" s="13" t="s">
        <v>343</v>
      </c>
      <c r="B120" s="284"/>
      <c r="C120" s="159"/>
      <c r="D120" s="171"/>
      <c r="E120" s="24"/>
      <c r="F120" s="284"/>
      <c r="G120" s="159"/>
      <c r="H120" s="171"/>
      <c r="I120" s="24"/>
      <c r="J120" s="159"/>
      <c r="K120" s="213"/>
      <c r="L120" s="402"/>
      <c r="M120" s="11"/>
    </row>
    <row r="121" spans="1:14" x14ac:dyDescent="0.2">
      <c r="A121" s="21" t="s">
        <v>9</v>
      </c>
      <c r="B121" s="211"/>
      <c r="C121" s="145"/>
      <c r="D121" s="166"/>
      <c r="E121" s="23"/>
      <c r="F121" s="211"/>
      <c r="G121" s="145"/>
      <c r="H121" s="166"/>
      <c r="I121" s="23"/>
      <c r="J121" s="145"/>
      <c r="K121" s="44"/>
      <c r="L121" s="231"/>
      <c r="M121" s="27"/>
    </row>
    <row r="122" spans="1:14" x14ac:dyDescent="0.2">
      <c r="A122" s="21" t="s">
        <v>10</v>
      </c>
      <c r="B122" s="211"/>
      <c r="C122" s="145"/>
      <c r="D122" s="166"/>
      <c r="E122" s="23"/>
      <c r="F122" s="211"/>
      <c r="G122" s="145"/>
      <c r="H122" s="166"/>
      <c r="I122" s="23"/>
      <c r="J122" s="145"/>
      <c r="K122" s="44"/>
      <c r="L122" s="231"/>
      <c r="M122" s="27"/>
    </row>
    <row r="123" spans="1:14" x14ac:dyDescent="0.2">
      <c r="A123" s="21" t="s">
        <v>26</v>
      </c>
      <c r="B123" s="211"/>
      <c r="C123" s="145"/>
      <c r="D123" s="166"/>
      <c r="E123" s="23"/>
      <c r="F123" s="211"/>
      <c r="G123" s="145"/>
      <c r="H123" s="166"/>
      <c r="I123" s="23"/>
      <c r="J123" s="145"/>
      <c r="K123" s="44"/>
      <c r="L123" s="231"/>
      <c r="M123" s="27"/>
    </row>
    <row r="124" spans="1:14" x14ac:dyDescent="0.2">
      <c r="A124" s="272" t="s">
        <v>14</v>
      </c>
      <c r="B124" s="258"/>
      <c r="C124" s="258"/>
      <c r="D124" s="166"/>
      <c r="E124" s="23"/>
      <c r="F124" s="665"/>
      <c r="G124" s="258"/>
      <c r="H124" s="166"/>
      <c r="I124" s="23"/>
      <c r="J124" s="667"/>
      <c r="K124" s="267"/>
      <c r="L124" s="166"/>
      <c r="M124" s="23"/>
    </row>
    <row r="125" spans="1:14" ht="15.75" x14ac:dyDescent="0.2">
      <c r="A125" s="21" t="s">
        <v>369</v>
      </c>
      <c r="B125" s="211"/>
      <c r="C125" s="211"/>
      <c r="D125" s="166"/>
      <c r="E125" s="23"/>
      <c r="F125" s="211"/>
      <c r="G125" s="211"/>
      <c r="H125" s="166"/>
      <c r="I125" s="23"/>
      <c r="J125" s="145"/>
      <c r="K125" s="44"/>
      <c r="L125" s="231"/>
      <c r="M125" s="27"/>
    </row>
    <row r="126" spans="1:14" ht="15.75" x14ac:dyDescent="0.2">
      <c r="A126" s="21" t="s">
        <v>361</v>
      </c>
      <c r="B126" s="211"/>
      <c r="C126" s="211"/>
      <c r="D126" s="166"/>
      <c r="E126" s="23"/>
      <c r="F126" s="211"/>
      <c r="G126" s="211"/>
      <c r="H126" s="166"/>
      <c r="I126" s="23"/>
      <c r="J126" s="145"/>
      <c r="K126" s="44"/>
      <c r="L126" s="231"/>
      <c r="M126" s="27"/>
    </row>
    <row r="127" spans="1:14" ht="15.75" x14ac:dyDescent="0.2">
      <c r="A127" s="10" t="s">
        <v>362</v>
      </c>
      <c r="B127" s="45"/>
      <c r="C127" s="45"/>
      <c r="D127" s="167"/>
      <c r="E127" s="22"/>
      <c r="F127" s="666"/>
      <c r="G127" s="45"/>
      <c r="H127" s="167"/>
      <c r="I127" s="22"/>
      <c r="J127" s="668"/>
      <c r="K127" s="45"/>
      <c r="L127" s="232"/>
      <c r="M127" s="22"/>
    </row>
    <row r="128" spans="1:14" x14ac:dyDescent="0.2">
      <c r="A128" s="155"/>
      <c r="L128" s="26"/>
      <c r="M128" s="26"/>
      <c r="N128" s="26"/>
    </row>
    <row r="129" spans="1:14" x14ac:dyDescent="0.2">
      <c r="L129" s="26"/>
      <c r="M129" s="26"/>
      <c r="N129" s="26"/>
    </row>
    <row r="130" spans="1:14" ht="15.75" x14ac:dyDescent="0.25">
      <c r="A130" s="165" t="s">
        <v>27</v>
      </c>
    </row>
    <row r="131" spans="1:14" ht="15.75" x14ac:dyDescent="0.25">
      <c r="B131" s="694"/>
      <c r="C131" s="694"/>
      <c r="D131" s="694"/>
      <c r="E131" s="275"/>
      <c r="F131" s="694"/>
      <c r="G131" s="694"/>
      <c r="H131" s="694"/>
      <c r="I131" s="275"/>
      <c r="J131" s="694"/>
      <c r="K131" s="694"/>
      <c r="L131" s="694"/>
      <c r="M131" s="275"/>
    </row>
    <row r="132" spans="1:14" s="3" customFormat="1" x14ac:dyDescent="0.2">
      <c r="A132" s="144"/>
      <c r="B132" s="695" t="s">
        <v>0</v>
      </c>
      <c r="C132" s="696"/>
      <c r="D132" s="696"/>
      <c r="E132" s="277"/>
      <c r="F132" s="695" t="s">
        <v>1</v>
      </c>
      <c r="G132" s="696"/>
      <c r="H132" s="696"/>
      <c r="I132" s="280"/>
      <c r="J132" s="695" t="s">
        <v>2</v>
      </c>
      <c r="K132" s="696"/>
      <c r="L132" s="696"/>
      <c r="M132" s="280"/>
      <c r="N132" s="148"/>
    </row>
    <row r="133" spans="1:14" s="3" customFormat="1" x14ac:dyDescent="0.2">
      <c r="A133" s="140"/>
      <c r="B133" s="152" t="s">
        <v>412</v>
      </c>
      <c r="C133" s="152" t="s">
        <v>413</v>
      </c>
      <c r="D133" s="222" t="s">
        <v>3</v>
      </c>
      <c r="E133" s="281" t="s">
        <v>29</v>
      </c>
      <c r="F133" s="152" t="s">
        <v>412</v>
      </c>
      <c r="G133" s="152" t="s">
        <v>413</v>
      </c>
      <c r="H133" s="203" t="s">
        <v>3</v>
      </c>
      <c r="I133" s="162" t="s">
        <v>29</v>
      </c>
      <c r="J133" s="152" t="s">
        <v>412</v>
      </c>
      <c r="K133" s="152" t="s">
        <v>413</v>
      </c>
      <c r="L133" s="223" t="s">
        <v>3</v>
      </c>
      <c r="M133" s="162" t="s">
        <v>29</v>
      </c>
      <c r="N133" s="148"/>
    </row>
    <row r="134" spans="1:14" s="3" customFormat="1" x14ac:dyDescent="0.2">
      <c r="A134" s="662"/>
      <c r="B134" s="156"/>
      <c r="C134" s="156"/>
      <c r="D134" s="223" t="s">
        <v>4</v>
      </c>
      <c r="E134" s="156" t="s">
        <v>30</v>
      </c>
      <c r="F134" s="161"/>
      <c r="G134" s="161"/>
      <c r="H134" s="203" t="s">
        <v>4</v>
      </c>
      <c r="I134" s="156" t="s">
        <v>30</v>
      </c>
      <c r="J134" s="156"/>
      <c r="K134" s="156"/>
      <c r="L134" s="150" t="s">
        <v>4</v>
      </c>
      <c r="M134" s="156" t="s">
        <v>30</v>
      </c>
      <c r="N134" s="148"/>
    </row>
    <row r="135" spans="1:14" s="3" customFormat="1" ht="15.75" x14ac:dyDescent="0.2">
      <c r="A135" s="14" t="s">
        <v>365</v>
      </c>
      <c r="B135" s="213"/>
      <c r="C135" s="285"/>
      <c r="D135" s="326"/>
      <c r="E135" s="11"/>
      <c r="F135" s="292"/>
      <c r="G135" s="293"/>
      <c r="H135" s="405"/>
      <c r="I135" s="24"/>
      <c r="J135" s="294"/>
      <c r="K135" s="294"/>
      <c r="L135" s="401"/>
      <c r="M135" s="11"/>
      <c r="N135" s="148"/>
    </row>
    <row r="136" spans="1:14" s="3" customFormat="1" ht="15.75" x14ac:dyDescent="0.2">
      <c r="A136" s="13" t="s">
        <v>370</v>
      </c>
      <c r="B136" s="213"/>
      <c r="C136" s="285"/>
      <c r="D136" s="171"/>
      <c r="E136" s="11"/>
      <c r="F136" s="213"/>
      <c r="G136" s="285"/>
      <c r="H136" s="406"/>
      <c r="I136" s="24"/>
      <c r="J136" s="284"/>
      <c r="K136" s="284"/>
      <c r="L136" s="402"/>
      <c r="M136" s="11"/>
      <c r="N136" s="148"/>
    </row>
    <row r="137" spans="1:14" s="3" customFormat="1" ht="15.75" x14ac:dyDescent="0.2">
      <c r="A137" s="13" t="s">
        <v>367</v>
      </c>
      <c r="B137" s="213"/>
      <c r="C137" s="285"/>
      <c r="D137" s="171"/>
      <c r="E137" s="11"/>
      <c r="F137" s="213"/>
      <c r="G137" s="285"/>
      <c r="H137" s="406"/>
      <c r="I137" s="24"/>
      <c r="J137" s="284"/>
      <c r="K137" s="284"/>
      <c r="L137" s="402"/>
      <c r="M137" s="11"/>
      <c r="N137" s="148"/>
    </row>
    <row r="138" spans="1:14" s="3" customFormat="1" ht="15.75" x14ac:dyDescent="0.2">
      <c r="A138" s="41" t="s">
        <v>368</v>
      </c>
      <c r="B138" s="253"/>
      <c r="C138" s="291"/>
      <c r="D138" s="169"/>
      <c r="E138" s="9"/>
      <c r="F138" s="253"/>
      <c r="G138" s="291"/>
      <c r="H138" s="407"/>
      <c r="I138" s="36"/>
      <c r="J138" s="290"/>
      <c r="K138" s="290"/>
      <c r="L138" s="403"/>
      <c r="M138" s="36"/>
      <c r="N138" s="148"/>
    </row>
    <row r="139" spans="1:14" s="3" customFormat="1"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68"/>
      <c r="B141" s="33"/>
      <c r="C141" s="33"/>
      <c r="D141" s="159"/>
      <c r="E141" s="159"/>
      <c r="F141" s="33"/>
      <c r="G141" s="33"/>
      <c r="H141" s="159"/>
      <c r="I141" s="159"/>
      <c r="J141" s="33"/>
      <c r="K141" s="33"/>
      <c r="L141" s="159"/>
      <c r="M141" s="159"/>
      <c r="N141" s="148"/>
    </row>
    <row r="142" spans="1:14" x14ac:dyDescent="0.2">
      <c r="A142" s="146"/>
      <c r="B142" s="146"/>
      <c r="C142" s="146"/>
      <c r="D142" s="146"/>
      <c r="E142" s="146"/>
      <c r="F142" s="146"/>
      <c r="G142" s="146"/>
      <c r="H142" s="146"/>
      <c r="I142" s="146"/>
      <c r="J142" s="146"/>
      <c r="K142" s="146"/>
      <c r="L142" s="146"/>
      <c r="M142" s="146"/>
      <c r="N142" s="146"/>
    </row>
    <row r="143" spans="1:14" ht="15.75" x14ac:dyDescent="0.25">
      <c r="B143" s="142"/>
      <c r="C143" s="142"/>
      <c r="D143" s="142"/>
      <c r="E143" s="142"/>
      <c r="F143" s="142"/>
      <c r="G143" s="142"/>
      <c r="H143" s="142"/>
      <c r="I143" s="142"/>
      <c r="J143" s="142"/>
      <c r="K143" s="142"/>
      <c r="L143" s="142"/>
      <c r="M143" s="142"/>
      <c r="N143" s="142"/>
    </row>
    <row r="144" spans="1:14" ht="15.75" x14ac:dyDescent="0.25">
      <c r="B144" s="157"/>
      <c r="C144" s="157"/>
      <c r="D144" s="157"/>
      <c r="E144" s="157"/>
      <c r="F144" s="157"/>
      <c r="G144" s="157"/>
      <c r="H144" s="157"/>
      <c r="I144" s="157"/>
      <c r="J144" s="157"/>
      <c r="K144" s="157"/>
      <c r="L144" s="157"/>
      <c r="M144" s="157"/>
      <c r="N144" s="157"/>
    </row>
    <row r="145" spans="2:14" ht="15.75" x14ac:dyDescent="0.25">
      <c r="B145" s="157"/>
      <c r="C145" s="157"/>
      <c r="D145" s="157"/>
      <c r="E145" s="157"/>
      <c r="F145" s="157"/>
      <c r="G145" s="157"/>
      <c r="H145" s="157"/>
      <c r="I145" s="157"/>
      <c r="J145" s="157"/>
      <c r="K145" s="157"/>
      <c r="L145" s="157"/>
      <c r="M145" s="157"/>
      <c r="N145" s="157"/>
    </row>
  </sheetData>
  <mergeCells count="31">
    <mergeCell ref="B132:D132"/>
    <mergeCell ref="F132:H132"/>
    <mergeCell ref="J132:L132"/>
    <mergeCell ref="B63:D63"/>
    <mergeCell ref="F63:H63"/>
    <mergeCell ref="J63:L63"/>
    <mergeCell ref="B131:D131"/>
    <mergeCell ref="F131:H131"/>
    <mergeCell ref="J131:L131"/>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6">
    <cfRule type="expression" dxfId="280" priority="61">
      <formula>kvartal &lt; 4</formula>
    </cfRule>
  </conditionalFormatting>
  <conditionalFormatting sqref="C116">
    <cfRule type="expression" dxfId="279" priority="60">
      <formula>kvartal &lt; 4</formula>
    </cfRule>
  </conditionalFormatting>
  <conditionalFormatting sqref="B124">
    <cfRule type="expression" dxfId="278" priority="59">
      <formula>kvartal &lt; 4</formula>
    </cfRule>
  </conditionalFormatting>
  <conditionalFormatting sqref="C124">
    <cfRule type="expression" dxfId="277" priority="58">
      <formula>kvartal &lt; 4</formula>
    </cfRule>
  </conditionalFormatting>
  <conditionalFormatting sqref="F116">
    <cfRule type="expression" dxfId="276" priority="43">
      <formula>kvartal &lt; 4</formula>
    </cfRule>
  </conditionalFormatting>
  <conditionalFormatting sqref="G116">
    <cfRule type="expression" dxfId="275" priority="42">
      <formula>kvartal &lt; 4</formula>
    </cfRule>
  </conditionalFormatting>
  <conditionalFormatting sqref="F124:G124">
    <cfRule type="expression" dxfId="274" priority="41">
      <formula>kvartal &lt; 4</formula>
    </cfRule>
  </conditionalFormatting>
  <conditionalFormatting sqref="J116:K116">
    <cfRule type="expression" dxfId="273" priority="17">
      <formula>kvartal &lt; 4</formula>
    </cfRule>
  </conditionalFormatting>
  <conditionalFormatting sqref="J124:K124">
    <cfRule type="expression" dxfId="272" priority="16">
      <formula>kvartal &lt; 4</formula>
    </cfRule>
  </conditionalFormatting>
  <conditionalFormatting sqref="A50:A52">
    <cfRule type="expression" dxfId="271" priority="12">
      <formula>kvartal &lt; 4</formula>
    </cfRule>
  </conditionalFormatting>
  <conditionalFormatting sqref="A69:A74">
    <cfRule type="expression" dxfId="270" priority="10">
      <formula>kvartal &lt; 4</formula>
    </cfRule>
  </conditionalFormatting>
  <conditionalFormatting sqref="A80:A85">
    <cfRule type="expression" dxfId="269" priority="9">
      <formula>kvartal &lt; 4</formula>
    </cfRule>
  </conditionalFormatting>
  <conditionalFormatting sqref="A90:A95">
    <cfRule type="expression" dxfId="268" priority="6">
      <formula>kvartal &lt; 4</formula>
    </cfRule>
  </conditionalFormatting>
  <conditionalFormatting sqref="A102:A107">
    <cfRule type="expression" dxfId="267" priority="5">
      <formula>kvartal &lt; 4</formula>
    </cfRule>
  </conditionalFormatting>
  <conditionalFormatting sqref="A116">
    <cfRule type="expression" dxfId="266" priority="4">
      <formula>kvartal &lt; 4</formula>
    </cfRule>
  </conditionalFormatting>
  <conditionalFormatting sqref="A124">
    <cfRule type="expression" dxfId="265" priority="3">
      <formula>kvartal &lt; 4</formula>
    </cfRule>
  </conditionalFormatting>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DCFD3-E4B4-485B-89B7-DA0A477AA596}">
  <dimension ref="A1:N145"/>
  <sheetViews>
    <sheetView showGridLines="0" zoomScaleNormal="100" workbookViewId="0">
      <selection activeCell="A111" sqref="A111"/>
    </sheetView>
  </sheetViews>
  <sheetFormatPr baseColWidth="10" defaultColWidth="11.42578125" defaultRowHeight="12.75" x14ac:dyDescent="0.2"/>
  <cols>
    <col min="1" max="1" width="43"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134</v>
      </c>
      <c r="B1" s="663"/>
      <c r="C1" s="225" t="s">
        <v>379</v>
      </c>
      <c r="D1" s="26"/>
      <c r="E1" s="26"/>
      <c r="F1" s="26"/>
      <c r="G1" s="26"/>
      <c r="H1" s="26"/>
      <c r="I1" s="26"/>
      <c r="J1" s="26"/>
      <c r="K1" s="26"/>
      <c r="L1" s="26"/>
      <c r="M1" s="26"/>
    </row>
    <row r="2" spans="1:14" ht="15.75" x14ac:dyDescent="0.25">
      <c r="A2" s="165" t="s">
        <v>28</v>
      </c>
      <c r="B2" s="699"/>
      <c r="C2" s="699"/>
      <c r="D2" s="699"/>
      <c r="E2" s="572"/>
      <c r="F2" s="699"/>
      <c r="G2" s="699"/>
      <c r="H2" s="699"/>
      <c r="I2" s="572"/>
      <c r="J2" s="699"/>
      <c r="K2" s="699"/>
      <c r="L2" s="699"/>
      <c r="M2" s="572"/>
    </row>
    <row r="3" spans="1:14" ht="15.75" x14ac:dyDescent="0.25">
      <c r="A3" s="163"/>
      <c r="B3" s="572"/>
      <c r="C3" s="572"/>
      <c r="D3" s="572"/>
      <c r="E3" s="572"/>
      <c r="F3" s="572"/>
      <c r="G3" s="572"/>
      <c r="H3" s="572"/>
      <c r="I3" s="572"/>
      <c r="J3" s="572"/>
      <c r="K3" s="572"/>
      <c r="L3" s="572"/>
      <c r="M3" s="572"/>
    </row>
    <row r="4" spans="1:14" x14ac:dyDescent="0.2">
      <c r="A4" s="144"/>
      <c r="B4" s="695" t="s">
        <v>0</v>
      </c>
      <c r="C4" s="696"/>
      <c r="D4" s="696"/>
      <c r="E4" s="569"/>
      <c r="F4" s="695" t="s">
        <v>1</v>
      </c>
      <c r="G4" s="696"/>
      <c r="H4" s="696"/>
      <c r="I4" s="570"/>
      <c r="J4" s="695" t="s">
        <v>2</v>
      </c>
      <c r="K4" s="696"/>
      <c r="L4" s="696"/>
      <c r="M4" s="570"/>
    </row>
    <row r="5" spans="1:14" x14ac:dyDescent="0.2">
      <c r="A5" s="158"/>
      <c r="B5" s="152" t="s">
        <v>412</v>
      </c>
      <c r="C5" s="152" t="s">
        <v>413</v>
      </c>
      <c r="D5" s="222" t="s">
        <v>3</v>
      </c>
      <c r="E5" s="281" t="s">
        <v>29</v>
      </c>
      <c r="F5" s="152" t="s">
        <v>412</v>
      </c>
      <c r="G5" s="152" t="s">
        <v>413</v>
      </c>
      <c r="H5" s="222" t="s">
        <v>3</v>
      </c>
      <c r="I5" s="162" t="s">
        <v>29</v>
      </c>
      <c r="J5" s="152" t="s">
        <v>412</v>
      </c>
      <c r="K5" s="152" t="s">
        <v>413</v>
      </c>
      <c r="L5" s="222" t="s">
        <v>3</v>
      </c>
      <c r="M5" s="162" t="s">
        <v>29</v>
      </c>
    </row>
    <row r="6" spans="1:14" x14ac:dyDescent="0.2">
      <c r="A6" s="661"/>
      <c r="B6" s="156"/>
      <c r="C6" s="156"/>
      <c r="D6" s="223" t="s">
        <v>4</v>
      </c>
      <c r="E6" s="156" t="s">
        <v>30</v>
      </c>
      <c r="F6" s="161"/>
      <c r="G6" s="161"/>
      <c r="H6" s="222" t="s">
        <v>4</v>
      </c>
      <c r="I6" s="156" t="s">
        <v>30</v>
      </c>
      <c r="J6" s="161"/>
      <c r="K6" s="161"/>
      <c r="L6" s="222" t="s">
        <v>4</v>
      </c>
      <c r="M6" s="156" t="s">
        <v>30</v>
      </c>
    </row>
    <row r="7" spans="1:14" ht="15.75" x14ac:dyDescent="0.2">
      <c r="A7" s="14" t="s">
        <v>23</v>
      </c>
      <c r="B7" s="282">
        <v>715</v>
      </c>
      <c r="C7" s="283">
        <v>992</v>
      </c>
      <c r="D7" s="326">
        <f t="shared" ref="D7:D8" si="0">IF(B7=0, "    ---- ", IF(ABS(ROUND(100/B7*C7-100,1))&lt;999,ROUND(100/B7*C7-100,1),IF(ROUND(100/B7*C7-100,1)&gt;999,999,-999)))</f>
        <v>38.700000000000003</v>
      </c>
      <c r="E7" s="11">
        <f>IFERROR(100/'Skjema total MA'!C7*C7,0)</f>
        <v>5.8868980191870902E-2</v>
      </c>
      <c r="F7" s="282"/>
      <c r="G7" s="283"/>
      <c r="H7" s="326"/>
      <c r="I7" s="160"/>
      <c r="J7" s="284">
        <f t="shared" ref="J7:K8" si="1">SUM(B7,F7)</f>
        <v>715</v>
      </c>
      <c r="K7" s="285">
        <f t="shared" si="1"/>
        <v>992</v>
      </c>
      <c r="L7" s="401">
        <f t="shared" ref="L7:L8" si="2">IF(J7=0, "    ---- ", IF(ABS(ROUND(100/J7*K7-100,1))&lt;999,ROUND(100/J7*K7-100,1),IF(ROUND(100/J7*K7-100,1)&gt;999,999,-999)))</f>
        <v>38.700000000000003</v>
      </c>
      <c r="M7" s="11">
        <f>IFERROR(100/'Skjema total MA'!I7*K7,0)</f>
        <v>1.7753423083979467E-2</v>
      </c>
    </row>
    <row r="8" spans="1:14" ht="15.75" x14ac:dyDescent="0.2">
      <c r="A8" s="21" t="s">
        <v>25</v>
      </c>
      <c r="B8" s="258">
        <v>715</v>
      </c>
      <c r="C8" s="259">
        <v>992</v>
      </c>
      <c r="D8" s="166">
        <f t="shared" si="0"/>
        <v>38.700000000000003</v>
      </c>
      <c r="E8" s="27">
        <f>IFERROR(100/'Skjema total MA'!C8*C8,0)</f>
        <v>8.6998972014295559E-2</v>
      </c>
      <c r="F8" s="262"/>
      <c r="G8" s="263"/>
      <c r="H8" s="166"/>
      <c r="I8" s="175"/>
      <c r="J8" s="211">
        <f t="shared" si="1"/>
        <v>715</v>
      </c>
      <c r="K8" s="264">
        <f t="shared" si="1"/>
        <v>992</v>
      </c>
      <c r="L8" s="166">
        <f t="shared" si="2"/>
        <v>38.700000000000003</v>
      </c>
      <c r="M8" s="27">
        <f>IFERROR(100/'Skjema total MA'!I8*K8,0)</f>
        <v>8.6998972014295559E-2</v>
      </c>
    </row>
    <row r="9" spans="1:14" ht="15.75" x14ac:dyDescent="0.2">
      <c r="A9" s="21" t="s">
        <v>24</v>
      </c>
      <c r="B9" s="258"/>
      <c r="C9" s="259"/>
      <c r="D9" s="166"/>
      <c r="E9" s="27"/>
      <c r="F9" s="262"/>
      <c r="G9" s="263"/>
      <c r="H9" s="166"/>
      <c r="I9" s="175"/>
      <c r="J9" s="211"/>
      <c r="K9" s="264"/>
      <c r="L9" s="166"/>
      <c r="M9" s="27"/>
    </row>
    <row r="10" spans="1:14" ht="15.75" x14ac:dyDescent="0.2">
      <c r="A10" s="13" t="s">
        <v>341</v>
      </c>
      <c r="B10" s="286"/>
      <c r="C10" s="287"/>
      <c r="D10" s="171"/>
      <c r="E10" s="11"/>
      <c r="F10" s="286"/>
      <c r="G10" s="287"/>
      <c r="H10" s="171"/>
      <c r="I10" s="160"/>
      <c r="J10" s="284"/>
      <c r="K10" s="285"/>
      <c r="L10" s="402"/>
      <c r="M10" s="11"/>
    </row>
    <row r="11" spans="1:14" s="43" customFormat="1" ht="15.75" x14ac:dyDescent="0.2">
      <c r="A11" s="13" t="s">
        <v>342</v>
      </c>
      <c r="B11" s="286"/>
      <c r="C11" s="287"/>
      <c r="D11" s="171"/>
      <c r="E11" s="11"/>
      <c r="F11" s="286"/>
      <c r="G11" s="287"/>
      <c r="H11" s="171"/>
      <c r="I11" s="160"/>
      <c r="J11" s="284"/>
      <c r="K11" s="285"/>
      <c r="L11" s="402"/>
      <c r="M11" s="11"/>
      <c r="N11" s="143"/>
    </row>
    <row r="12" spans="1:14" s="43" customFormat="1" ht="15.75" x14ac:dyDescent="0.2">
      <c r="A12" s="41" t="s">
        <v>343</v>
      </c>
      <c r="B12" s="288"/>
      <c r="C12" s="289"/>
      <c r="D12" s="169"/>
      <c r="E12" s="36"/>
      <c r="F12" s="288"/>
      <c r="G12" s="289"/>
      <c r="H12" s="169"/>
      <c r="I12" s="169"/>
      <c r="J12" s="290"/>
      <c r="K12" s="291"/>
      <c r="L12" s="403"/>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251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248</v>
      </c>
      <c r="B17" s="157"/>
      <c r="C17" s="157"/>
      <c r="D17" s="151"/>
      <c r="E17" s="151"/>
      <c r="F17" s="157"/>
      <c r="G17" s="157"/>
      <c r="H17" s="157"/>
      <c r="I17" s="157"/>
      <c r="J17" s="157"/>
      <c r="K17" s="157"/>
      <c r="L17" s="157"/>
      <c r="M17" s="157"/>
    </row>
    <row r="18" spans="1:14" ht="15.75" x14ac:dyDescent="0.25">
      <c r="B18" s="694"/>
      <c r="C18" s="694"/>
      <c r="D18" s="694"/>
      <c r="E18" s="572"/>
      <c r="F18" s="694"/>
      <c r="G18" s="694"/>
      <c r="H18" s="694"/>
      <c r="I18" s="572"/>
      <c r="J18" s="694"/>
      <c r="K18" s="694"/>
      <c r="L18" s="694"/>
      <c r="M18" s="572"/>
    </row>
    <row r="19" spans="1:14" x14ac:dyDescent="0.2">
      <c r="A19" s="144"/>
      <c r="B19" s="695" t="s">
        <v>0</v>
      </c>
      <c r="C19" s="696"/>
      <c r="D19" s="696"/>
      <c r="E19" s="569"/>
      <c r="F19" s="695" t="s">
        <v>1</v>
      </c>
      <c r="G19" s="696"/>
      <c r="H19" s="696"/>
      <c r="I19" s="570"/>
      <c r="J19" s="695" t="s">
        <v>2</v>
      </c>
      <c r="K19" s="696"/>
      <c r="L19" s="696"/>
      <c r="M19" s="570"/>
    </row>
    <row r="20" spans="1:14" x14ac:dyDescent="0.2">
      <c r="A20" s="140" t="s">
        <v>5</v>
      </c>
      <c r="B20" s="152" t="s">
        <v>412</v>
      </c>
      <c r="C20" s="152" t="s">
        <v>413</v>
      </c>
      <c r="D20" s="162" t="s">
        <v>3</v>
      </c>
      <c r="E20" s="281" t="s">
        <v>29</v>
      </c>
      <c r="F20" s="152" t="s">
        <v>412</v>
      </c>
      <c r="G20" s="152" t="s">
        <v>413</v>
      </c>
      <c r="H20" s="162" t="s">
        <v>3</v>
      </c>
      <c r="I20" s="162" t="s">
        <v>29</v>
      </c>
      <c r="J20" s="152" t="s">
        <v>412</v>
      </c>
      <c r="K20" s="152" t="s">
        <v>413</v>
      </c>
      <c r="L20" s="162" t="s">
        <v>3</v>
      </c>
      <c r="M20" s="162" t="s">
        <v>29</v>
      </c>
    </row>
    <row r="21" spans="1:14" x14ac:dyDescent="0.2">
      <c r="A21" s="662"/>
      <c r="B21" s="156"/>
      <c r="C21" s="156"/>
      <c r="D21" s="223" t="s">
        <v>4</v>
      </c>
      <c r="E21" s="156" t="s">
        <v>30</v>
      </c>
      <c r="F21" s="161"/>
      <c r="G21" s="161"/>
      <c r="H21" s="222" t="s">
        <v>4</v>
      </c>
      <c r="I21" s="156" t="s">
        <v>30</v>
      </c>
      <c r="J21" s="161"/>
      <c r="K21" s="161"/>
      <c r="L21" s="156" t="s">
        <v>4</v>
      </c>
      <c r="M21" s="156" t="s">
        <v>30</v>
      </c>
    </row>
    <row r="22" spans="1:14" ht="15.75" x14ac:dyDescent="0.2">
      <c r="A22" s="14" t="s">
        <v>23</v>
      </c>
      <c r="B22" s="286"/>
      <c r="C22" s="286"/>
      <c r="D22" s="326"/>
      <c r="E22" s="11"/>
      <c r="F22" s="294"/>
      <c r="G22" s="294"/>
      <c r="H22" s="326"/>
      <c r="I22" s="11"/>
      <c r="J22" s="292"/>
      <c r="K22" s="292"/>
      <c r="L22" s="401"/>
      <c r="M22" s="24"/>
    </row>
    <row r="23" spans="1:14" ht="15.75" x14ac:dyDescent="0.2">
      <c r="A23" s="545" t="s">
        <v>344</v>
      </c>
      <c r="B23" s="258"/>
      <c r="C23" s="258"/>
      <c r="D23" s="166"/>
      <c r="E23" s="11"/>
      <c r="F23" s="267"/>
      <c r="G23" s="267"/>
      <c r="H23" s="166"/>
      <c r="I23" s="391"/>
      <c r="J23" s="267"/>
      <c r="K23" s="267"/>
      <c r="L23" s="166"/>
      <c r="M23" s="23"/>
    </row>
    <row r="24" spans="1:14" ht="15.75" x14ac:dyDescent="0.2">
      <c r="A24" s="545" t="s">
        <v>345</v>
      </c>
      <c r="B24" s="258"/>
      <c r="C24" s="258"/>
      <c r="D24" s="166"/>
      <c r="E24" s="11"/>
      <c r="F24" s="267"/>
      <c r="G24" s="267"/>
      <c r="H24" s="166"/>
      <c r="I24" s="391"/>
      <c r="J24" s="267"/>
      <c r="K24" s="267"/>
      <c r="L24" s="166"/>
      <c r="M24" s="23"/>
    </row>
    <row r="25" spans="1:14" ht="15.75" x14ac:dyDescent="0.2">
      <c r="A25" s="545" t="s">
        <v>346</v>
      </c>
      <c r="B25" s="258"/>
      <c r="C25" s="258"/>
      <c r="D25" s="166"/>
      <c r="E25" s="11"/>
      <c r="F25" s="267"/>
      <c r="G25" s="267"/>
      <c r="H25" s="166"/>
      <c r="I25" s="391"/>
      <c r="J25" s="267"/>
      <c r="K25" s="267"/>
      <c r="L25" s="166"/>
      <c r="M25" s="23"/>
    </row>
    <row r="26" spans="1:14" ht="15.75" x14ac:dyDescent="0.2">
      <c r="A26" s="545" t="s">
        <v>347</v>
      </c>
      <c r="B26" s="258"/>
      <c r="C26" s="258"/>
      <c r="D26" s="166"/>
      <c r="E26" s="11"/>
      <c r="F26" s="267"/>
      <c r="G26" s="267"/>
      <c r="H26" s="166"/>
      <c r="I26" s="391"/>
      <c r="J26" s="267"/>
      <c r="K26" s="267"/>
      <c r="L26" s="166"/>
      <c r="M26" s="23"/>
    </row>
    <row r="27" spans="1:14" x14ac:dyDescent="0.2">
      <c r="A27" s="545" t="s">
        <v>11</v>
      </c>
      <c r="B27" s="258"/>
      <c r="C27" s="258"/>
      <c r="D27" s="166"/>
      <c r="E27" s="11"/>
      <c r="F27" s="267"/>
      <c r="G27" s="267"/>
      <c r="H27" s="166"/>
      <c r="I27" s="391"/>
      <c r="J27" s="267"/>
      <c r="K27" s="267"/>
      <c r="L27" s="166"/>
      <c r="M27" s="23"/>
    </row>
    <row r="28" spans="1:14" ht="15.75" x14ac:dyDescent="0.2">
      <c r="A28" s="49" t="s">
        <v>252</v>
      </c>
      <c r="B28" s="44"/>
      <c r="C28" s="264"/>
      <c r="D28" s="166"/>
      <c r="E28" s="11"/>
      <c r="F28" s="211"/>
      <c r="G28" s="264"/>
      <c r="H28" s="166"/>
      <c r="I28" s="27"/>
      <c r="J28" s="44"/>
      <c r="K28" s="44"/>
      <c r="L28" s="231"/>
      <c r="M28" s="23"/>
    </row>
    <row r="29" spans="1:14" s="3" customFormat="1" ht="15.75" x14ac:dyDescent="0.2">
      <c r="A29" s="13" t="s">
        <v>341</v>
      </c>
      <c r="B29" s="213"/>
      <c r="C29" s="213"/>
      <c r="D29" s="171"/>
      <c r="E29" s="11"/>
      <c r="F29" s="284"/>
      <c r="G29" s="284"/>
      <c r="H29" s="171"/>
      <c r="I29" s="11"/>
      <c r="J29" s="213"/>
      <c r="K29" s="213"/>
      <c r="L29" s="402"/>
      <c r="M29" s="24"/>
      <c r="N29" s="148"/>
    </row>
    <row r="30" spans="1:14" s="3" customFormat="1" ht="15.75" x14ac:dyDescent="0.2">
      <c r="A30" s="545" t="s">
        <v>344</v>
      </c>
      <c r="B30" s="258"/>
      <c r="C30" s="258"/>
      <c r="D30" s="166"/>
      <c r="E30" s="11"/>
      <c r="F30" s="267"/>
      <c r="G30" s="267"/>
      <c r="H30" s="166"/>
      <c r="I30" s="391"/>
      <c r="J30" s="267"/>
      <c r="K30" s="267"/>
      <c r="L30" s="166"/>
      <c r="M30" s="23"/>
      <c r="N30" s="148"/>
    </row>
    <row r="31" spans="1:14" s="3" customFormat="1" ht="15.75" x14ac:dyDescent="0.2">
      <c r="A31" s="545" t="s">
        <v>345</v>
      </c>
      <c r="B31" s="258"/>
      <c r="C31" s="258"/>
      <c r="D31" s="166"/>
      <c r="E31" s="11"/>
      <c r="F31" s="267"/>
      <c r="G31" s="267"/>
      <c r="H31" s="166"/>
      <c r="I31" s="391"/>
      <c r="J31" s="267"/>
      <c r="K31" s="267"/>
      <c r="L31" s="166"/>
      <c r="M31" s="23"/>
      <c r="N31" s="148"/>
    </row>
    <row r="32" spans="1:14" ht="15.75" x14ac:dyDescent="0.2">
      <c r="A32" s="545" t="s">
        <v>346</v>
      </c>
      <c r="B32" s="258"/>
      <c r="C32" s="258"/>
      <c r="D32" s="166"/>
      <c r="E32" s="11"/>
      <c r="F32" s="267"/>
      <c r="G32" s="267"/>
      <c r="H32" s="166"/>
      <c r="I32" s="391"/>
      <c r="J32" s="267"/>
      <c r="K32" s="267"/>
      <c r="L32" s="166"/>
      <c r="M32" s="23"/>
    </row>
    <row r="33" spans="1:14" ht="15.75" x14ac:dyDescent="0.2">
      <c r="A33" s="545" t="s">
        <v>347</v>
      </c>
      <c r="B33" s="258"/>
      <c r="C33" s="258"/>
      <c r="D33" s="166"/>
      <c r="E33" s="11"/>
      <c r="F33" s="267"/>
      <c r="G33" s="267"/>
      <c r="H33" s="166"/>
      <c r="I33" s="391"/>
      <c r="J33" s="267"/>
      <c r="K33" s="267"/>
      <c r="L33" s="166"/>
      <c r="M33" s="23"/>
    </row>
    <row r="34" spans="1:14" ht="15.75" x14ac:dyDescent="0.2">
      <c r="A34" s="13" t="s">
        <v>342</v>
      </c>
      <c r="B34" s="213"/>
      <c r="C34" s="285"/>
      <c r="D34" s="171"/>
      <c r="E34" s="11"/>
      <c r="F34" s="284"/>
      <c r="G34" s="285"/>
      <c r="H34" s="171"/>
      <c r="I34" s="11"/>
      <c r="J34" s="213"/>
      <c r="K34" s="213"/>
      <c r="L34" s="402"/>
      <c r="M34" s="24"/>
    </row>
    <row r="35" spans="1:14" ht="15.75" x14ac:dyDescent="0.2">
      <c r="A35" s="13" t="s">
        <v>343</v>
      </c>
      <c r="B35" s="213"/>
      <c r="C35" s="285"/>
      <c r="D35" s="171"/>
      <c r="E35" s="11"/>
      <c r="F35" s="284"/>
      <c r="G35" s="285"/>
      <c r="H35" s="171"/>
      <c r="I35" s="11"/>
      <c r="J35" s="213"/>
      <c r="K35" s="213"/>
      <c r="L35" s="402"/>
      <c r="M35" s="24"/>
    </row>
    <row r="36" spans="1:14" ht="15.75" x14ac:dyDescent="0.2">
      <c r="A36" s="12" t="s">
        <v>260</v>
      </c>
      <c r="B36" s="213"/>
      <c r="C36" s="285"/>
      <c r="D36" s="171"/>
      <c r="E36" s="11"/>
      <c r="F36" s="295"/>
      <c r="G36" s="296"/>
      <c r="H36" s="171"/>
      <c r="I36" s="408"/>
      <c r="J36" s="213"/>
      <c r="K36" s="213"/>
      <c r="L36" s="402"/>
      <c r="M36" s="24"/>
    </row>
    <row r="37" spans="1:14" ht="15.75" x14ac:dyDescent="0.2">
      <c r="A37" s="12" t="s">
        <v>349</v>
      </c>
      <c r="B37" s="213"/>
      <c r="C37" s="285"/>
      <c r="D37" s="171"/>
      <c r="E37" s="11"/>
      <c r="F37" s="295"/>
      <c r="G37" s="297"/>
      <c r="H37" s="171"/>
      <c r="I37" s="408"/>
      <c r="J37" s="213"/>
      <c r="K37" s="213"/>
      <c r="L37" s="402"/>
      <c r="M37" s="24"/>
    </row>
    <row r="38" spans="1:14" ht="15.75" x14ac:dyDescent="0.2">
      <c r="A38" s="12" t="s">
        <v>350</v>
      </c>
      <c r="B38" s="213"/>
      <c r="C38" s="285"/>
      <c r="D38" s="406"/>
      <c r="E38" s="24"/>
      <c r="F38" s="295"/>
      <c r="G38" s="296"/>
      <c r="H38" s="171"/>
      <c r="I38" s="408"/>
      <c r="J38" s="213"/>
      <c r="K38" s="213"/>
      <c r="L38" s="402"/>
      <c r="M38" s="24"/>
    </row>
    <row r="39" spans="1:14" ht="15.75" x14ac:dyDescent="0.2">
      <c r="A39" s="18" t="s">
        <v>351</v>
      </c>
      <c r="B39" s="253"/>
      <c r="C39" s="291"/>
      <c r="D39" s="407"/>
      <c r="E39" s="36"/>
      <c r="F39" s="298"/>
      <c r="G39" s="299"/>
      <c r="H39" s="169"/>
      <c r="I39" s="36"/>
      <c r="J39" s="213"/>
      <c r="K39" s="213"/>
      <c r="L39" s="403"/>
      <c r="M39" s="36"/>
    </row>
    <row r="40" spans="1:14" ht="15.75" x14ac:dyDescent="0.25">
      <c r="A40" s="47"/>
      <c r="B40" s="230"/>
      <c r="C40" s="230"/>
      <c r="D40" s="698"/>
      <c r="E40" s="700"/>
      <c r="F40" s="698"/>
      <c r="G40" s="698"/>
      <c r="H40" s="698"/>
      <c r="I40" s="698"/>
      <c r="J40" s="698"/>
      <c r="K40" s="698"/>
      <c r="L40" s="698"/>
      <c r="M40" s="573"/>
    </row>
    <row r="41" spans="1:14" x14ac:dyDescent="0.2">
      <c r="A41" s="155"/>
    </row>
    <row r="42" spans="1:14" ht="15.75" x14ac:dyDescent="0.25">
      <c r="A42" s="147" t="s">
        <v>249</v>
      </c>
      <c r="B42" s="699"/>
      <c r="C42" s="699"/>
      <c r="D42" s="699"/>
      <c r="E42" s="572"/>
      <c r="F42" s="700"/>
      <c r="G42" s="700"/>
      <c r="H42" s="700"/>
      <c r="I42" s="573"/>
      <c r="J42" s="700"/>
      <c r="K42" s="700"/>
      <c r="L42" s="700"/>
      <c r="M42" s="573"/>
    </row>
    <row r="43" spans="1:14" ht="15.75" x14ac:dyDescent="0.25">
      <c r="A43" s="163"/>
      <c r="B43" s="571"/>
      <c r="C43" s="571"/>
      <c r="D43" s="571"/>
      <c r="E43" s="571"/>
      <c r="F43" s="573"/>
      <c r="G43" s="573"/>
      <c r="H43" s="573"/>
      <c r="I43" s="573"/>
      <c r="J43" s="573"/>
      <c r="K43" s="573"/>
      <c r="L43" s="573"/>
      <c r="M43" s="573"/>
    </row>
    <row r="44" spans="1:14" ht="15.75" x14ac:dyDescent="0.25">
      <c r="A44" s="224"/>
      <c r="B44" s="695" t="s">
        <v>0</v>
      </c>
      <c r="C44" s="696"/>
      <c r="D44" s="696"/>
      <c r="E44" s="220"/>
      <c r="F44" s="573"/>
      <c r="G44" s="573"/>
      <c r="H44" s="573"/>
      <c r="I44" s="573"/>
      <c r="J44" s="573"/>
      <c r="K44" s="573"/>
      <c r="L44" s="573"/>
      <c r="M44" s="573"/>
    </row>
    <row r="45" spans="1:14" s="3" customFormat="1" x14ac:dyDescent="0.2">
      <c r="A45" s="140"/>
      <c r="B45" s="152" t="s">
        <v>412</v>
      </c>
      <c r="C45" s="152" t="s">
        <v>413</v>
      </c>
      <c r="D45" s="162" t="s">
        <v>3</v>
      </c>
      <c r="E45" s="162" t="s">
        <v>29</v>
      </c>
      <c r="F45" s="174"/>
      <c r="G45" s="174"/>
      <c r="H45" s="173"/>
      <c r="I45" s="173"/>
      <c r="J45" s="174"/>
      <c r="K45" s="174"/>
      <c r="L45" s="173"/>
      <c r="M45" s="173"/>
      <c r="N45" s="148"/>
    </row>
    <row r="46" spans="1:14" s="3" customFormat="1" x14ac:dyDescent="0.2">
      <c r="A46" s="662"/>
      <c r="B46" s="221"/>
      <c r="C46" s="221"/>
      <c r="D46" s="222" t="s">
        <v>4</v>
      </c>
      <c r="E46" s="156" t="s">
        <v>30</v>
      </c>
      <c r="F46" s="173"/>
      <c r="G46" s="173"/>
      <c r="H46" s="173"/>
      <c r="I46" s="173"/>
      <c r="J46" s="173"/>
      <c r="K46" s="173"/>
      <c r="L46" s="173"/>
      <c r="M46" s="173"/>
      <c r="N46" s="148"/>
    </row>
    <row r="47" spans="1:14" s="3" customFormat="1" ht="15.75" x14ac:dyDescent="0.2">
      <c r="A47" s="14" t="s">
        <v>23</v>
      </c>
      <c r="B47" s="286">
        <v>335</v>
      </c>
      <c r="C47" s="287">
        <v>486</v>
      </c>
      <c r="D47" s="401">
        <f t="shared" ref="D47:D48" si="3">IF(B47=0, "    ---- ", IF(ABS(ROUND(100/B47*C47-100,1))&lt;999,ROUND(100/B47*C47-100,1),IF(ROUND(100/B47*C47-100,1)&gt;999,999,-999)))</f>
        <v>45.1</v>
      </c>
      <c r="E47" s="11">
        <f>IFERROR(100/'Skjema total MA'!C47*C47,0)</f>
        <v>1.5362392303027529E-2</v>
      </c>
      <c r="F47" s="145"/>
      <c r="G47" s="33"/>
      <c r="H47" s="159"/>
      <c r="I47" s="159"/>
      <c r="J47" s="37"/>
      <c r="K47" s="37"/>
      <c r="L47" s="159"/>
      <c r="M47" s="159"/>
      <c r="N47" s="148"/>
    </row>
    <row r="48" spans="1:14" s="3" customFormat="1" ht="15.75" x14ac:dyDescent="0.2">
      <c r="A48" s="38" t="s">
        <v>352</v>
      </c>
      <c r="B48" s="258">
        <v>335</v>
      </c>
      <c r="C48" s="259">
        <v>486</v>
      </c>
      <c r="D48" s="231">
        <f t="shared" si="3"/>
        <v>45.1</v>
      </c>
      <c r="E48" s="27">
        <f>IFERROR(100/'Skjema total MA'!C48*C48,0)</f>
        <v>2.833371718332902E-2</v>
      </c>
      <c r="F48" s="145"/>
      <c r="G48" s="33"/>
      <c r="H48" s="145"/>
      <c r="I48" s="145"/>
      <c r="J48" s="33"/>
      <c r="K48" s="33"/>
      <c r="L48" s="159"/>
      <c r="M48" s="159"/>
      <c r="N48" s="148"/>
    </row>
    <row r="49" spans="1:14" s="3" customFormat="1" ht="15.75" x14ac:dyDescent="0.2">
      <c r="A49" s="38" t="s">
        <v>353</v>
      </c>
      <c r="B49" s="44"/>
      <c r="C49" s="264"/>
      <c r="D49" s="231"/>
      <c r="E49" s="27"/>
      <c r="F49" s="145"/>
      <c r="G49" s="33"/>
      <c r="H49" s="145"/>
      <c r="I49" s="145"/>
      <c r="J49" s="37"/>
      <c r="K49" s="37"/>
      <c r="L49" s="159"/>
      <c r="M49" s="159"/>
      <c r="N49" s="148"/>
    </row>
    <row r="50" spans="1:14" s="3" customFormat="1" x14ac:dyDescent="0.2">
      <c r="A50" s="272" t="s">
        <v>6</v>
      </c>
      <c r="B50" s="295"/>
      <c r="C50" s="295"/>
      <c r="D50" s="231"/>
      <c r="E50" s="23"/>
      <c r="F50" s="145"/>
      <c r="G50" s="33"/>
      <c r="H50" s="145"/>
      <c r="I50" s="145"/>
      <c r="J50" s="33"/>
      <c r="K50" s="33"/>
      <c r="L50" s="159"/>
      <c r="M50" s="159"/>
      <c r="N50" s="148"/>
    </row>
    <row r="51" spans="1:14" s="3" customFormat="1" x14ac:dyDescent="0.2">
      <c r="A51" s="272" t="s">
        <v>7</v>
      </c>
      <c r="B51" s="295"/>
      <c r="C51" s="295"/>
      <c r="D51" s="231"/>
      <c r="E51" s="23"/>
      <c r="F51" s="145"/>
      <c r="G51" s="33"/>
      <c r="H51" s="145"/>
      <c r="I51" s="145"/>
      <c r="J51" s="33"/>
      <c r="K51" s="33"/>
      <c r="L51" s="159"/>
      <c r="M51" s="159"/>
      <c r="N51" s="148"/>
    </row>
    <row r="52" spans="1:14" s="3" customFormat="1" x14ac:dyDescent="0.2">
      <c r="A52" s="272" t="s">
        <v>8</v>
      </c>
      <c r="B52" s="295"/>
      <c r="C52" s="295"/>
      <c r="D52" s="231"/>
      <c r="E52" s="23"/>
      <c r="F52" s="145"/>
      <c r="G52" s="33"/>
      <c r="H52" s="145"/>
      <c r="I52" s="145"/>
      <c r="J52" s="33"/>
      <c r="K52" s="33"/>
      <c r="L52" s="159"/>
      <c r="M52" s="159"/>
      <c r="N52" s="148"/>
    </row>
    <row r="53" spans="1:14" s="3" customFormat="1" ht="15.75" x14ac:dyDescent="0.2">
      <c r="A53" s="39" t="s">
        <v>354</v>
      </c>
      <c r="B53" s="286"/>
      <c r="C53" s="287"/>
      <c r="D53" s="402"/>
      <c r="E53" s="11"/>
      <c r="F53" s="145"/>
      <c r="G53" s="33"/>
      <c r="H53" s="145"/>
      <c r="I53" s="145"/>
      <c r="J53" s="33"/>
      <c r="K53" s="33"/>
      <c r="L53" s="159"/>
      <c r="M53" s="159"/>
      <c r="N53" s="148"/>
    </row>
    <row r="54" spans="1:14" s="3" customFormat="1" ht="15.75" x14ac:dyDescent="0.2">
      <c r="A54" s="38" t="s">
        <v>352</v>
      </c>
      <c r="B54" s="258"/>
      <c r="C54" s="259"/>
      <c r="D54" s="231"/>
      <c r="E54" s="27"/>
      <c r="F54" s="145"/>
      <c r="G54" s="33"/>
      <c r="H54" s="145"/>
      <c r="I54" s="145"/>
      <c r="J54" s="33"/>
      <c r="K54" s="33"/>
      <c r="L54" s="159"/>
      <c r="M54" s="159"/>
      <c r="N54" s="148"/>
    </row>
    <row r="55" spans="1:14" s="3" customFormat="1" ht="15.75" x14ac:dyDescent="0.2">
      <c r="A55" s="38" t="s">
        <v>353</v>
      </c>
      <c r="B55" s="258"/>
      <c r="C55" s="259"/>
      <c r="D55" s="231"/>
      <c r="E55" s="27"/>
      <c r="F55" s="145"/>
      <c r="G55" s="33"/>
      <c r="H55" s="145"/>
      <c r="I55" s="145"/>
      <c r="J55" s="33"/>
      <c r="K55" s="33"/>
      <c r="L55" s="159"/>
      <c r="M55" s="159"/>
      <c r="N55" s="148"/>
    </row>
    <row r="56" spans="1:14" s="3" customFormat="1" ht="15.75" x14ac:dyDescent="0.2">
      <c r="A56" s="39" t="s">
        <v>355</v>
      </c>
      <c r="B56" s="286"/>
      <c r="C56" s="287"/>
      <c r="D56" s="402"/>
      <c r="E56" s="11"/>
      <c r="F56" s="145"/>
      <c r="G56" s="33"/>
      <c r="H56" s="145"/>
      <c r="I56" s="145"/>
      <c r="J56" s="33"/>
      <c r="K56" s="33"/>
      <c r="L56" s="159"/>
      <c r="M56" s="159"/>
      <c r="N56" s="148"/>
    </row>
    <row r="57" spans="1:14" s="3" customFormat="1" ht="15.75" x14ac:dyDescent="0.2">
      <c r="A57" s="38" t="s">
        <v>352</v>
      </c>
      <c r="B57" s="258"/>
      <c r="C57" s="259"/>
      <c r="D57" s="231"/>
      <c r="E57" s="27"/>
      <c r="F57" s="145"/>
      <c r="G57" s="33"/>
      <c r="H57" s="145"/>
      <c r="I57" s="145"/>
      <c r="J57" s="33"/>
      <c r="K57" s="33"/>
      <c r="L57" s="159"/>
      <c r="M57" s="159"/>
      <c r="N57" s="148"/>
    </row>
    <row r="58" spans="1:14" s="3" customFormat="1" ht="15.75" x14ac:dyDescent="0.2">
      <c r="A58" s="46" t="s">
        <v>353</v>
      </c>
      <c r="B58" s="260"/>
      <c r="C58" s="261"/>
      <c r="D58" s="232"/>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250</v>
      </c>
      <c r="C61" s="26"/>
      <c r="D61" s="26"/>
      <c r="E61" s="26"/>
      <c r="F61" s="26"/>
      <c r="G61" s="26"/>
      <c r="H61" s="26"/>
      <c r="I61" s="26"/>
      <c r="J61" s="26"/>
      <c r="K61" s="26"/>
      <c r="L61" s="26"/>
      <c r="M61" s="26"/>
    </row>
    <row r="62" spans="1:14" ht="15.75" x14ac:dyDescent="0.25">
      <c r="B62" s="694"/>
      <c r="C62" s="694"/>
      <c r="D62" s="694"/>
      <c r="E62" s="572"/>
      <c r="F62" s="694"/>
      <c r="G62" s="694"/>
      <c r="H62" s="694"/>
      <c r="I62" s="572"/>
      <c r="J62" s="694"/>
      <c r="K62" s="694"/>
      <c r="L62" s="694"/>
      <c r="M62" s="572"/>
    </row>
    <row r="63" spans="1:14" x14ac:dyDescent="0.2">
      <c r="A63" s="144"/>
      <c r="B63" s="695" t="s">
        <v>0</v>
      </c>
      <c r="C63" s="696"/>
      <c r="D63" s="697"/>
      <c r="E63" s="568"/>
      <c r="F63" s="696" t="s">
        <v>1</v>
      </c>
      <c r="G63" s="696"/>
      <c r="H63" s="696"/>
      <c r="I63" s="570"/>
      <c r="J63" s="695" t="s">
        <v>2</v>
      </c>
      <c r="K63" s="696"/>
      <c r="L63" s="696"/>
      <c r="M63" s="570"/>
    </row>
    <row r="64" spans="1:14" x14ac:dyDescent="0.2">
      <c r="A64" s="140"/>
      <c r="B64" s="152" t="s">
        <v>412</v>
      </c>
      <c r="C64" s="152" t="s">
        <v>413</v>
      </c>
      <c r="D64" s="222" t="s">
        <v>3</v>
      </c>
      <c r="E64" s="281" t="s">
        <v>29</v>
      </c>
      <c r="F64" s="152" t="s">
        <v>412</v>
      </c>
      <c r="G64" s="152" t="s">
        <v>413</v>
      </c>
      <c r="H64" s="222" t="s">
        <v>3</v>
      </c>
      <c r="I64" s="281" t="s">
        <v>29</v>
      </c>
      <c r="J64" s="152" t="s">
        <v>412</v>
      </c>
      <c r="K64" s="152" t="s">
        <v>413</v>
      </c>
      <c r="L64" s="222" t="s">
        <v>3</v>
      </c>
      <c r="M64" s="162" t="s">
        <v>29</v>
      </c>
    </row>
    <row r="65" spans="1:14" x14ac:dyDescent="0.2">
      <c r="A65" s="662"/>
      <c r="B65" s="156"/>
      <c r="C65" s="156"/>
      <c r="D65" s="223" t="s">
        <v>4</v>
      </c>
      <c r="E65" s="156" t="s">
        <v>30</v>
      </c>
      <c r="F65" s="161"/>
      <c r="G65" s="161"/>
      <c r="H65" s="222" t="s">
        <v>4</v>
      </c>
      <c r="I65" s="156" t="s">
        <v>30</v>
      </c>
      <c r="J65" s="161"/>
      <c r="K65" s="203"/>
      <c r="L65" s="156" t="s">
        <v>4</v>
      </c>
      <c r="M65" s="156" t="s">
        <v>30</v>
      </c>
    </row>
    <row r="66" spans="1:14" ht="15.75" x14ac:dyDescent="0.2">
      <c r="A66" s="14" t="s">
        <v>23</v>
      </c>
      <c r="B66" s="329"/>
      <c r="C66" s="329"/>
      <c r="D66" s="326"/>
      <c r="E66" s="11"/>
      <c r="F66" s="328"/>
      <c r="G66" s="328"/>
      <c r="H66" s="326"/>
      <c r="I66" s="24"/>
      <c r="J66" s="159"/>
      <c r="K66" s="292"/>
      <c r="L66" s="402"/>
      <c r="M66" s="11"/>
    </row>
    <row r="67" spans="1:14" x14ac:dyDescent="0.2">
      <c r="A67" s="393" t="s">
        <v>9</v>
      </c>
      <c r="B67" s="44"/>
      <c r="C67" s="145"/>
      <c r="D67" s="166"/>
      <c r="E67" s="23"/>
      <c r="F67" s="211"/>
      <c r="G67" s="145"/>
      <c r="H67" s="166"/>
      <c r="I67" s="23"/>
      <c r="J67" s="145"/>
      <c r="K67" s="44"/>
      <c r="L67" s="231"/>
      <c r="M67" s="27"/>
    </row>
    <row r="68" spans="1:14" x14ac:dyDescent="0.2">
      <c r="A68" s="21" t="s">
        <v>10</v>
      </c>
      <c r="B68" s="268"/>
      <c r="C68" s="269"/>
      <c r="D68" s="166"/>
      <c r="E68" s="23"/>
      <c r="F68" s="268"/>
      <c r="G68" s="269"/>
      <c r="H68" s="166"/>
      <c r="I68" s="23"/>
      <c r="J68" s="145"/>
      <c r="K68" s="44"/>
      <c r="L68" s="231"/>
      <c r="M68" s="27"/>
    </row>
    <row r="69" spans="1:14" ht="15.75" x14ac:dyDescent="0.2">
      <c r="A69" s="272" t="s">
        <v>356</v>
      </c>
      <c r="B69" s="295"/>
      <c r="C69" s="295"/>
      <c r="D69" s="166"/>
      <c r="E69" s="23"/>
      <c r="F69" s="295"/>
      <c r="G69" s="295"/>
      <c r="H69" s="166"/>
      <c r="I69" s="23"/>
      <c r="J69" s="295"/>
      <c r="K69" s="295"/>
      <c r="L69" s="166"/>
      <c r="M69" s="23"/>
    </row>
    <row r="70" spans="1:14" x14ac:dyDescent="0.2">
      <c r="A70" s="272" t="s">
        <v>12</v>
      </c>
      <c r="B70" s="270"/>
      <c r="C70" s="271"/>
      <c r="D70" s="166"/>
      <c r="E70" s="23"/>
      <c r="F70" s="270"/>
      <c r="G70" s="271"/>
      <c r="H70" s="166"/>
      <c r="I70" s="23"/>
      <c r="J70" s="270"/>
      <c r="K70" s="271"/>
      <c r="L70" s="166"/>
      <c r="M70" s="23"/>
    </row>
    <row r="71" spans="1:14" x14ac:dyDescent="0.2">
      <c r="A71" s="272" t="s">
        <v>13</v>
      </c>
      <c r="B71" s="212"/>
      <c r="C71" s="266"/>
      <c r="D71" s="166"/>
      <c r="E71" s="23"/>
      <c r="F71" s="212"/>
      <c r="G71" s="266"/>
      <c r="H71" s="166"/>
      <c r="I71" s="23"/>
      <c r="J71" s="212"/>
      <c r="K71" s="266"/>
      <c r="L71" s="166"/>
      <c r="M71" s="23"/>
    </row>
    <row r="72" spans="1:14" ht="15.75" x14ac:dyDescent="0.2">
      <c r="A72" s="272" t="s">
        <v>357</v>
      </c>
      <c r="B72" s="295"/>
      <c r="C72" s="295"/>
      <c r="D72" s="166"/>
      <c r="E72" s="23"/>
      <c r="F72" s="295"/>
      <c r="G72" s="295"/>
      <c r="H72" s="166"/>
      <c r="I72" s="23"/>
      <c r="J72" s="295"/>
      <c r="K72" s="295"/>
      <c r="L72" s="166"/>
      <c r="M72" s="23"/>
    </row>
    <row r="73" spans="1:14" x14ac:dyDescent="0.2">
      <c r="A73" s="272" t="s">
        <v>12</v>
      </c>
      <c r="B73" s="212"/>
      <c r="C73" s="266"/>
      <c r="D73" s="166"/>
      <c r="E73" s="23"/>
      <c r="F73" s="212"/>
      <c r="G73" s="266"/>
      <c r="H73" s="166"/>
      <c r="I73" s="23"/>
      <c r="J73" s="212"/>
      <c r="K73" s="266"/>
      <c r="L73" s="166"/>
      <c r="M73" s="23"/>
    </row>
    <row r="74" spans="1:14" s="3" customFormat="1" x14ac:dyDescent="0.2">
      <c r="A74" s="272" t="s">
        <v>13</v>
      </c>
      <c r="B74" s="212"/>
      <c r="C74" s="266"/>
      <c r="D74" s="166"/>
      <c r="E74" s="23"/>
      <c r="F74" s="212"/>
      <c r="G74" s="266"/>
      <c r="H74" s="166"/>
      <c r="I74" s="23"/>
      <c r="J74" s="212"/>
      <c r="K74" s="266"/>
      <c r="L74" s="166"/>
      <c r="M74" s="23"/>
      <c r="N74" s="148"/>
    </row>
    <row r="75" spans="1:14" s="3" customFormat="1" x14ac:dyDescent="0.2">
      <c r="A75" s="21" t="s">
        <v>326</v>
      </c>
      <c r="B75" s="211"/>
      <c r="C75" s="145"/>
      <c r="D75" s="166"/>
      <c r="E75" s="23"/>
      <c r="F75" s="211"/>
      <c r="G75" s="145"/>
      <c r="H75" s="166"/>
      <c r="I75" s="23"/>
      <c r="J75" s="145"/>
      <c r="K75" s="44"/>
      <c r="L75" s="231"/>
      <c r="M75" s="27"/>
      <c r="N75" s="148"/>
    </row>
    <row r="76" spans="1:14" s="3" customFormat="1" x14ac:dyDescent="0.2">
      <c r="A76" s="21" t="s">
        <v>325</v>
      </c>
      <c r="B76" s="211"/>
      <c r="C76" s="145"/>
      <c r="D76" s="166"/>
      <c r="E76" s="23"/>
      <c r="F76" s="211"/>
      <c r="G76" s="145"/>
      <c r="H76" s="166"/>
      <c r="I76" s="23"/>
      <c r="J76" s="145"/>
      <c r="K76" s="44"/>
      <c r="L76" s="231"/>
      <c r="M76" s="27"/>
      <c r="N76" s="148"/>
    </row>
    <row r="77" spans="1:14" ht="15.75" x14ac:dyDescent="0.2">
      <c r="A77" s="21" t="s">
        <v>358</v>
      </c>
      <c r="B77" s="211"/>
      <c r="C77" s="211"/>
      <c r="D77" s="166"/>
      <c r="E77" s="23"/>
      <c r="F77" s="211"/>
      <c r="G77" s="145"/>
      <c r="H77" s="166"/>
      <c r="I77" s="23"/>
      <c r="J77" s="145"/>
      <c r="K77" s="44"/>
      <c r="L77" s="231"/>
      <c r="M77" s="27"/>
    </row>
    <row r="78" spans="1:14" x14ac:dyDescent="0.2">
      <c r="A78" s="21" t="s">
        <v>9</v>
      </c>
      <c r="B78" s="211"/>
      <c r="C78" s="145"/>
      <c r="D78" s="166"/>
      <c r="E78" s="23"/>
      <c r="F78" s="211"/>
      <c r="G78" s="145"/>
      <c r="H78" s="166"/>
      <c r="I78" s="23"/>
      <c r="J78" s="145"/>
      <c r="K78" s="44"/>
      <c r="L78" s="231"/>
      <c r="M78" s="27"/>
    </row>
    <row r="79" spans="1:14" x14ac:dyDescent="0.2">
      <c r="A79" s="38" t="s">
        <v>398</v>
      </c>
      <c r="B79" s="268"/>
      <c r="C79" s="269"/>
      <c r="D79" s="166"/>
      <c r="E79" s="23"/>
      <c r="F79" s="268"/>
      <c r="G79" s="269"/>
      <c r="H79" s="166"/>
      <c r="I79" s="23"/>
      <c r="J79" s="145"/>
      <c r="K79" s="44"/>
      <c r="L79" s="231"/>
      <c r="M79" s="27"/>
    </row>
    <row r="80" spans="1:14" ht="15.75" x14ac:dyDescent="0.2">
      <c r="A80" s="272" t="s">
        <v>356</v>
      </c>
      <c r="B80" s="295"/>
      <c r="C80" s="295"/>
      <c r="D80" s="166"/>
      <c r="E80" s="23"/>
      <c r="F80" s="295"/>
      <c r="G80" s="295"/>
      <c r="H80" s="166"/>
      <c r="I80" s="23"/>
      <c r="J80" s="295"/>
      <c r="K80" s="295"/>
      <c r="L80" s="166"/>
      <c r="M80" s="23"/>
    </row>
    <row r="81" spans="1:13" x14ac:dyDescent="0.2">
      <c r="A81" s="272" t="s">
        <v>12</v>
      </c>
      <c r="B81" s="295"/>
      <c r="C81" s="295"/>
      <c r="D81" s="166"/>
      <c r="E81" s="23"/>
      <c r="F81" s="270"/>
      <c r="G81" s="271"/>
      <c r="H81" s="166"/>
      <c r="I81" s="23"/>
      <c r="J81" s="270"/>
      <c r="K81" s="271"/>
      <c r="L81" s="166"/>
      <c r="M81" s="23"/>
    </row>
    <row r="82" spans="1:13" x14ac:dyDescent="0.2">
      <c r="A82" s="272" t="s">
        <v>13</v>
      </c>
      <c r="B82" s="295"/>
      <c r="C82" s="295"/>
      <c r="D82" s="166"/>
      <c r="E82" s="23"/>
      <c r="F82" s="212"/>
      <c r="G82" s="266"/>
      <c r="H82" s="166"/>
      <c r="I82" s="23"/>
      <c r="J82" s="212"/>
      <c r="K82" s="266"/>
      <c r="L82" s="166"/>
      <c r="M82" s="23"/>
    </row>
    <row r="83" spans="1:13" ht="15.75" x14ac:dyDescent="0.2">
      <c r="A83" s="272" t="s">
        <v>357</v>
      </c>
      <c r="B83" s="295"/>
      <c r="C83" s="295"/>
      <c r="D83" s="166"/>
      <c r="E83" s="23"/>
      <c r="F83" s="295"/>
      <c r="G83" s="295"/>
      <c r="H83" s="166"/>
      <c r="I83" s="23"/>
      <c r="J83" s="295"/>
      <c r="K83" s="295"/>
      <c r="L83" s="166"/>
      <c r="M83" s="23"/>
    </row>
    <row r="84" spans="1:13" x14ac:dyDescent="0.2">
      <c r="A84" s="272" t="s">
        <v>12</v>
      </c>
      <c r="B84" s="212"/>
      <c r="C84" s="266"/>
      <c r="D84" s="166"/>
      <c r="E84" s="23"/>
      <c r="F84" s="212"/>
      <c r="G84" s="266"/>
      <c r="H84" s="166"/>
      <c r="I84" s="23"/>
      <c r="J84" s="212"/>
      <c r="K84" s="266"/>
      <c r="L84" s="166"/>
      <c r="M84" s="23"/>
    </row>
    <row r="85" spans="1:13" x14ac:dyDescent="0.2">
      <c r="A85" s="272" t="s">
        <v>13</v>
      </c>
      <c r="B85" s="212"/>
      <c r="C85" s="266"/>
      <c r="D85" s="166"/>
      <c r="E85" s="23"/>
      <c r="F85" s="212"/>
      <c r="G85" s="266"/>
      <c r="H85" s="166"/>
      <c r="I85" s="23"/>
      <c r="J85" s="212"/>
      <c r="K85" s="266"/>
      <c r="L85" s="166"/>
      <c r="M85" s="23"/>
    </row>
    <row r="86" spans="1:13" ht="15.75" x14ac:dyDescent="0.2">
      <c r="A86" s="21" t="s">
        <v>359</v>
      </c>
      <c r="B86" s="211"/>
      <c r="C86" s="145"/>
      <c r="D86" s="166"/>
      <c r="E86" s="23"/>
      <c r="F86" s="211"/>
      <c r="G86" s="145"/>
      <c r="H86" s="166"/>
      <c r="I86" s="23"/>
      <c r="J86" s="145"/>
      <c r="K86" s="44"/>
      <c r="L86" s="231"/>
      <c r="M86" s="27"/>
    </row>
    <row r="87" spans="1:13" ht="15.75" x14ac:dyDescent="0.2">
      <c r="A87" s="13" t="s">
        <v>341</v>
      </c>
      <c r="B87" s="329"/>
      <c r="C87" s="329"/>
      <c r="D87" s="171"/>
      <c r="E87" s="24"/>
      <c r="F87" s="328"/>
      <c r="G87" s="328"/>
      <c r="H87" s="171"/>
      <c r="I87" s="24"/>
      <c r="J87" s="159"/>
      <c r="K87" s="213"/>
      <c r="L87" s="402"/>
      <c r="M87" s="11"/>
    </row>
    <row r="88" spans="1:13" x14ac:dyDescent="0.2">
      <c r="A88" s="21" t="s">
        <v>9</v>
      </c>
      <c r="B88" s="211"/>
      <c r="C88" s="145"/>
      <c r="D88" s="166"/>
      <c r="E88" s="23"/>
      <c r="F88" s="211"/>
      <c r="G88" s="145"/>
      <c r="H88" s="166"/>
      <c r="I88" s="23"/>
      <c r="J88" s="145"/>
      <c r="K88" s="44"/>
      <c r="L88" s="231"/>
      <c r="M88" s="27"/>
    </row>
    <row r="89" spans="1:13" x14ac:dyDescent="0.2">
      <c r="A89" s="21" t="s">
        <v>10</v>
      </c>
      <c r="B89" s="211"/>
      <c r="C89" s="145"/>
      <c r="D89" s="166"/>
      <c r="E89" s="23"/>
      <c r="F89" s="211"/>
      <c r="G89" s="145"/>
      <c r="H89" s="166"/>
      <c r="I89" s="23"/>
      <c r="J89" s="145"/>
      <c r="K89" s="44"/>
      <c r="L89" s="231"/>
      <c r="M89" s="27"/>
    </row>
    <row r="90" spans="1:13" ht="15.75" x14ac:dyDescent="0.2">
      <c r="A90" s="272" t="s">
        <v>356</v>
      </c>
      <c r="B90" s="295"/>
      <c r="C90" s="295"/>
      <c r="D90" s="166"/>
      <c r="E90" s="23"/>
      <c r="F90" s="295"/>
      <c r="G90" s="295"/>
      <c r="H90" s="166"/>
      <c r="I90" s="23"/>
      <c r="J90" s="295"/>
      <c r="K90" s="295"/>
      <c r="L90" s="166"/>
      <c r="M90" s="23"/>
    </row>
    <row r="91" spans="1:13" x14ac:dyDescent="0.2">
      <c r="A91" s="272" t="s">
        <v>12</v>
      </c>
      <c r="B91" s="295"/>
      <c r="C91" s="295"/>
      <c r="D91" s="166"/>
      <c r="E91" s="23"/>
      <c r="F91" s="270"/>
      <c r="G91" s="271"/>
      <c r="H91" s="166"/>
      <c r="I91" s="23"/>
      <c r="J91" s="270"/>
      <c r="K91" s="271"/>
      <c r="L91" s="166"/>
      <c r="M91" s="23"/>
    </row>
    <row r="92" spans="1:13" x14ac:dyDescent="0.2">
      <c r="A92" s="272" t="s">
        <v>13</v>
      </c>
      <c r="B92" s="295"/>
      <c r="C92" s="295"/>
      <c r="D92" s="166"/>
      <c r="E92" s="23"/>
      <c r="F92" s="212"/>
      <c r="G92" s="266"/>
      <c r="H92" s="166"/>
      <c r="I92" s="23"/>
      <c r="J92" s="212"/>
      <c r="K92" s="266"/>
      <c r="L92" s="166"/>
      <c r="M92" s="23"/>
    </row>
    <row r="93" spans="1:13" ht="15.75" x14ac:dyDescent="0.2">
      <c r="A93" s="272" t="s">
        <v>357</v>
      </c>
      <c r="B93" s="295"/>
      <c r="C93" s="295"/>
      <c r="D93" s="166"/>
      <c r="E93" s="23"/>
      <c r="F93" s="295"/>
      <c r="G93" s="295"/>
      <c r="H93" s="166"/>
      <c r="I93" s="23"/>
      <c r="J93" s="295"/>
      <c r="K93" s="295"/>
      <c r="L93" s="166"/>
      <c r="M93" s="23"/>
    </row>
    <row r="94" spans="1:13" x14ac:dyDescent="0.2">
      <c r="A94" s="272" t="s">
        <v>12</v>
      </c>
      <c r="B94" s="212"/>
      <c r="C94" s="266"/>
      <c r="D94" s="166"/>
      <c r="E94" s="23"/>
      <c r="F94" s="212"/>
      <c r="G94" s="266"/>
      <c r="H94" s="166"/>
      <c r="I94" s="23"/>
      <c r="J94" s="212"/>
      <c r="K94" s="266"/>
      <c r="L94" s="166"/>
      <c r="M94" s="23"/>
    </row>
    <row r="95" spans="1:13" x14ac:dyDescent="0.2">
      <c r="A95" s="272" t="s">
        <v>13</v>
      </c>
      <c r="B95" s="212"/>
      <c r="C95" s="266"/>
      <c r="D95" s="166"/>
      <c r="E95" s="23"/>
      <c r="F95" s="212"/>
      <c r="G95" s="266"/>
      <c r="H95" s="166"/>
      <c r="I95" s="23"/>
      <c r="J95" s="212"/>
      <c r="K95" s="266"/>
      <c r="L95" s="166"/>
      <c r="M95" s="23"/>
    </row>
    <row r="96" spans="1:13" x14ac:dyDescent="0.2">
      <c r="A96" s="21" t="s">
        <v>324</v>
      </c>
      <c r="B96" s="211"/>
      <c r="C96" s="145"/>
      <c r="D96" s="166"/>
      <c r="E96" s="23"/>
      <c r="F96" s="211"/>
      <c r="G96" s="145"/>
      <c r="H96" s="166"/>
      <c r="I96" s="23"/>
      <c r="J96" s="145"/>
      <c r="K96" s="44"/>
      <c r="L96" s="231"/>
      <c r="M96" s="27"/>
    </row>
    <row r="97" spans="1:13" x14ac:dyDescent="0.2">
      <c r="A97" s="21" t="s">
        <v>323</v>
      </c>
      <c r="B97" s="211"/>
      <c r="C97" s="145"/>
      <c r="D97" s="166"/>
      <c r="E97" s="23"/>
      <c r="F97" s="211"/>
      <c r="G97" s="145"/>
      <c r="H97" s="166"/>
      <c r="I97" s="23"/>
      <c r="J97" s="145"/>
      <c r="K97" s="44"/>
      <c r="L97" s="231"/>
      <c r="M97" s="27"/>
    </row>
    <row r="98" spans="1:13" ht="15.75" x14ac:dyDescent="0.2">
      <c r="A98" s="21" t="s">
        <v>358</v>
      </c>
      <c r="B98" s="211"/>
      <c r="C98" s="211"/>
      <c r="D98" s="166"/>
      <c r="E98" s="23"/>
      <c r="F98" s="268"/>
      <c r="G98" s="268"/>
      <c r="H98" s="166"/>
      <c r="I98" s="23"/>
      <c r="J98" s="145"/>
      <c r="K98" s="44"/>
      <c r="L98" s="231"/>
      <c r="M98" s="27"/>
    </row>
    <row r="99" spans="1:13" x14ac:dyDescent="0.2">
      <c r="A99" s="21" t="s">
        <v>9</v>
      </c>
      <c r="B99" s="268"/>
      <c r="C99" s="269"/>
      <c r="D99" s="166"/>
      <c r="E99" s="23"/>
      <c r="F99" s="211"/>
      <c r="G99" s="145"/>
      <c r="H99" s="166"/>
      <c r="I99" s="23"/>
      <c r="J99" s="145"/>
      <c r="K99" s="44"/>
      <c r="L99" s="231"/>
      <c r="M99" s="27"/>
    </row>
    <row r="100" spans="1:13" ht="15.75" x14ac:dyDescent="0.2">
      <c r="A100" s="38" t="s">
        <v>399</v>
      </c>
      <c r="B100" s="268"/>
      <c r="C100" s="269"/>
      <c r="D100" s="166"/>
      <c r="E100" s="23"/>
      <c r="F100" s="211"/>
      <c r="G100" s="211"/>
      <c r="H100" s="166"/>
      <c r="I100" s="23"/>
      <c r="J100" s="145"/>
      <c r="K100" s="44"/>
      <c r="L100" s="231"/>
      <c r="M100" s="27"/>
    </row>
    <row r="101" spans="1:13" ht="15.75" x14ac:dyDescent="0.2">
      <c r="A101" s="38" t="s">
        <v>400</v>
      </c>
      <c r="B101" s="268"/>
      <c r="C101" s="268"/>
      <c r="D101" s="166"/>
      <c r="E101" s="23"/>
      <c r="F101" s="268"/>
      <c r="G101" s="268"/>
      <c r="H101" s="166"/>
      <c r="I101" s="23"/>
      <c r="J101" s="145"/>
      <c r="K101" s="44"/>
      <c r="L101" s="231"/>
      <c r="M101" s="27"/>
    </row>
    <row r="102" spans="1:13" ht="15.75" x14ac:dyDescent="0.2">
      <c r="A102" s="272" t="s">
        <v>356</v>
      </c>
      <c r="B102" s="295"/>
      <c r="C102" s="295"/>
      <c r="D102" s="166"/>
      <c r="E102" s="23"/>
      <c r="F102" s="295"/>
      <c r="G102" s="295"/>
      <c r="H102" s="166"/>
      <c r="I102" s="23"/>
      <c r="J102" s="295"/>
      <c r="K102" s="295"/>
      <c r="L102" s="166"/>
      <c r="M102" s="23"/>
    </row>
    <row r="103" spans="1:13" x14ac:dyDescent="0.2">
      <c r="A103" s="272" t="s">
        <v>12</v>
      </c>
      <c r="B103" s="295"/>
      <c r="C103" s="295"/>
      <c r="D103" s="166"/>
      <c r="E103" s="23"/>
      <c r="F103" s="270"/>
      <c r="G103" s="271"/>
      <c r="H103" s="166"/>
      <c r="I103" s="23"/>
      <c r="J103" s="270"/>
      <c r="K103" s="271"/>
      <c r="L103" s="166"/>
      <c r="M103" s="23"/>
    </row>
    <row r="104" spans="1:13" x14ac:dyDescent="0.2">
      <c r="A104" s="272" t="s">
        <v>13</v>
      </c>
      <c r="B104" s="295"/>
      <c r="C104" s="295"/>
      <c r="D104" s="166"/>
      <c r="E104" s="23"/>
      <c r="F104" s="212"/>
      <c r="G104" s="266"/>
      <c r="H104" s="166"/>
      <c r="I104" s="23"/>
      <c r="J104" s="212"/>
      <c r="K104" s="266"/>
      <c r="L104" s="166"/>
      <c r="M104" s="23"/>
    </row>
    <row r="105" spans="1:13" ht="15.75" x14ac:dyDescent="0.2">
      <c r="A105" s="272" t="s">
        <v>357</v>
      </c>
      <c r="B105" s="295"/>
      <c r="C105" s="295"/>
      <c r="D105" s="166"/>
      <c r="E105" s="23"/>
      <c r="F105" s="295"/>
      <c r="G105" s="295"/>
      <c r="H105" s="166"/>
      <c r="I105" s="23"/>
      <c r="J105" s="295"/>
      <c r="K105" s="295"/>
      <c r="L105" s="166"/>
      <c r="M105" s="23"/>
    </row>
    <row r="106" spans="1:13" x14ac:dyDescent="0.2">
      <c r="A106" s="272" t="s">
        <v>12</v>
      </c>
      <c r="B106" s="212"/>
      <c r="C106" s="266"/>
      <c r="D106" s="166"/>
      <c r="E106" s="23"/>
      <c r="F106" s="212"/>
      <c r="G106" s="266"/>
      <c r="H106" s="166"/>
      <c r="I106" s="23"/>
      <c r="J106" s="212"/>
      <c r="K106" s="266"/>
      <c r="L106" s="166"/>
      <c r="M106" s="23"/>
    </row>
    <row r="107" spans="1:13" x14ac:dyDescent="0.2">
      <c r="A107" s="272" t="s">
        <v>13</v>
      </c>
      <c r="B107" s="212"/>
      <c r="C107" s="266"/>
      <c r="D107" s="166"/>
      <c r="E107" s="23"/>
      <c r="F107" s="212"/>
      <c r="G107" s="266"/>
      <c r="H107" s="166"/>
      <c r="I107" s="23"/>
      <c r="J107" s="212"/>
      <c r="K107" s="266"/>
      <c r="L107" s="166"/>
      <c r="M107" s="23"/>
    </row>
    <row r="108" spans="1:13" ht="15.75" x14ac:dyDescent="0.2">
      <c r="A108" s="21" t="s">
        <v>359</v>
      </c>
      <c r="B108" s="211"/>
      <c r="C108" s="145"/>
      <c r="D108" s="166"/>
      <c r="E108" s="23"/>
      <c r="F108" s="211"/>
      <c r="G108" s="145"/>
      <c r="H108" s="166"/>
      <c r="I108" s="23"/>
      <c r="J108" s="145"/>
      <c r="K108" s="44"/>
      <c r="L108" s="231"/>
      <c r="M108" s="27"/>
    </row>
    <row r="109" spans="1:13" ht="15.75" x14ac:dyDescent="0.2">
      <c r="A109" s="21" t="s">
        <v>360</v>
      </c>
      <c r="B109" s="211"/>
      <c r="C109" s="211"/>
      <c r="D109" s="166"/>
      <c r="E109" s="23"/>
      <c r="F109" s="211"/>
      <c r="G109" s="211"/>
      <c r="H109" s="166"/>
      <c r="I109" s="23"/>
      <c r="J109" s="145"/>
      <c r="K109" s="44"/>
      <c r="L109" s="231"/>
      <c r="M109" s="27"/>
    </row>
    <row r="110" spans="1:13" ht="15.75" x14ac:dyDescent="0.2">
      <c r="A110" s="38" t="s">
        <v>416</v>
      </c>
      <c r="B110" s="211"/>
      <c r="C110" s="211"/>
      <c r="D110" s="166"/>
      <c r="E110" s="23"/>
      <c r="F110" s="211"/>
      <c r="G110" s="211"/>
      <c r="H110" s="166"/>
      <c r="I110" s="23"/>
      <c r="J110" s="145"/>
      <c r="K110" s="44"/>
      <c r="L110" s="231"/>
      <c r="M110" s="27"/>
    </row>
    <row r="111" spans="1:13" ht="15.75" x14ac:dyDescent="0.2">
      <c r="A111" s="21" t="s">
        <v>362</v>
      </c>
      <c r="B111" s="211"/>
      <c r="C111" s="211"/>
      <c r="D111" s="166"/>
      <c r="E111" s="23"/>
      <c r="F111" s="211"/>
      <c r="G111" s="211"/>
      <c r="H111" s="166"/>
      <c r="I111" s="23"/>
      <c r="J111" s="145"/>
      <c r="K111" s="44"/>
      <c r="L111" s="231"/>
      <c r="M111" s="27"/>
    </row>
    <row r="112" spans="1:13" ht="15.75" x14ac:dyDescent="0.2">
      <c r="A112" s="13" t="s">
        <v>342</v>
      </c>
      <c r="B112" s="284"/>
      <c r="C112" s="159"/>
      <c r="D112" s="171"/>
      <c r="E112" s="24"/>
      <c r="F112" s="284"/>
      <c r="G112" s="159"/>
      <c r="H112" s="171"/>
      <c r="I112" s="24"/>
      <c r="J112" s="159"/>
      <c r="K112" s="213"/>
      <c r="L112" s="402"/>
      <c r="M112" s="11"/>
    </row>
    <row r="113" spans="1:14" x14ac:dyDescent="0.2">
      <c r="A113" s="21" t="s">
        <v>9</v>
      </c>
      <c r="B113" s="211"/>
      <c r="C113" s="145"/>
      <c r="D113" s="166"/>
      <c r="E113" s="23"/>
      <c r="F113" s="211"/>
      <c r="G113" s="145"/>
      <c r="H113" s="166"/>
      <c r="I113" s="23"/>
      <c r="J113" s="145"/>
      <c r="K113" s="44"/>
      <c r="L113" s="231"/>
      <c r="M113" s="27"/>
    </row>
    <row r="114" spans="1:14" x14ac:dyDescent="0.2">
      <c r="A114" s="21" t="s">
        <v>10</v>
      </c>
      <c r="B114" s="211"/>
      <c r="C114" s="145"/>
      <c r="D114" s="166"/>
      <c r="E114" s="23"/>
      <c r="F114" s="211"/>
      <c r="G114" s="145"/>
      <c r="H114" s="166"/>
      <c r="I114" s="23"/>
      <c r="J114" s="145"/>
      <c r="K114" s="44"/>
      <c r="L114" s="231"/>
      <c r="M114" s="27"/>
    </row>
    <row r="115" spans="1:14" x14ac:dyDescent="0.2">
      <c r="A115" s="21" t="s">
        <v>26</v>
      </c>
      <c r="B115" s="211"/>
      <c r="C115" s="145"/>
      <c r="D115" s="166"/>
      <c r="E115" s="23"/>
      <c r="F115" s="211"/>
      <c r="G115" s="145"/>
      <c r="H115" s="166"/>
      <c r="I115" s="23"/>
      <c r="J115" s="145"/>
      <c r="K115" s="44"/>
      <c r="L115" s="231"/>
      <c r="M115" s="27"/>
    </row>
    <row r="116" spans="1:14" x14ac:dyDescent="0.2">
      <c r="A116" s="272" t="s">
        <v>15</v>
      </c>
      <c r="B116" s="258"/>
      <c r="C116" s="258"/>
      <c r="D116" s="166"/>
      <c r="E116" s="23"/>
      <c r="F116" s="665"/>
      <c r="G116" s="258"/>
      <c r="H116" s="166"/>
      <c r="I116" s="23"/>
      <c r="J116" s="667"/>
      <c r="K116" s="267"/>
      <c r="L116" s="166"/>
      <c r="M116" s="23"/>
    </row>
    <row r="117" spans="1:14" ht="15.75" x14ac:dyDescent="0.2">
      <c r="A117" s="21" t="s">
        <v>363</v>
      </c>
      <c r="B117" s="211"/>
      <c r="C117" s="211"/>
      <c r="D117" s="166"/>
      <c r="E117" s="23"/>
      <c r="F117" s="211"/>
      <c r="G117" s="211"/>
      <c r="H117" s="166"/>
      <c r="I117" s="23"/>
      <c r="J117" s="145"/>
      <c r="K117" s="44"/>
      <c r="L117" s="231"/>
      <c r="M117" s="27"/>
    </row>
    <row r="118" spans="1:14" ht="15.75" x14ac:dyDescent="0.2">
      <c r="A118" s="21" t="s">
        <v>364</v>
      </c>
      <c r="B118" s="211"/>
      <c r="C118" s="211"/>
      <c r="D118" s="166"/>
      <c r="E118" s="23"/>
      <c r="F118" s="211"/>
      <c r="G118" s="211"/>
      <c r="H118" s="166"/>
      <c r="I118" s="23"/>
      <c r="J118" s="145"/>
      <c r="K118" s="44"/>
      <c r="L118" s="231"/>
      <c r="M118" s="27"/>
    </row>
    <row r="119" spans="1:14" ht="15.75" x14ac:dyDescent="0.2">
      <c r="A119" s="21" t="s">
        <v>362</v>
      </c>
      <c r="B119" s="211"/>
      <c r="C119" s="211"/>
      <c r="D119" s="166"/>
      <c r="E119" s="23"/>
      <c r="F119" s="211"/>
      <c r="G119" s="211"/>
      <c r="H119" s="166"/>
      <c r="I119" s="23"/>
      <c r="J119" s="145"/>
      <c r="K119" s="44"/>
      <c r="L119" s="231"/>
      <c r="M119" s="27"/>
    </row>
    <row r="120" spans="1:14" ht="15.75" x14ac:dyDescent="0.2">
      <c r="A120" s="13" t="s">
        <v>343</v>
      </c>
      <c r="B120" s="284"/>
      <c r="C120" s="159"/>
      <c r="D120" s="171"/>
      <c r="E120" s="24"/>
      <c r="F120" s="284"/>
      <c r="G120" s="159"/>
      <c r="H120" s="171"/>
      <c r="I120" s="24"/>
      <c r="J120" s="159"/>
      <c r="K120" s="213"/>
      <c r="L120" s="402"/>
      <c r="M120" s="11"/>
    </row>
    <row r="121" spans="1:14" x14ac:dyDescent="0.2">
      <c r="A121" s="21" t="s">
        <v>9</v>
      </c>
      <c r="B121" s="211"/>
      <c r="C121" s="145"/>
      <c r="D121" s="166"/>
      <c r="E121" s="23"/>
      <c r="F121" s="211"/>
      <c r="G121" s="145"/>
      <c r="H121" s="166"/>
      <c r="I121" s="23"/>
      <c r="J121" s="145"/>
      <c r="K121" s="44"/>
      <c r="L121" s="231"/>
      <c r="M121" s="27"/>
    </row>
    <row r="122" spans="1:14" x14ac:dyDescent="0.2">
      <c r="A122" s="21" t="s">
        <v>10</v>
      </c>
      <c r="B122" s="211"/>
      <c r="C122" s="145"/>
      <c r="D122" s="166"/>
      <c r="E122" s="23"/>
      <c r="F122" s="211"/>
      <c r="G122" s="145"/>
      <c r="H122" s="166"/>
      <c r="I122" s="23"/>
      <c r="J122" s="145"/>
      <c r="K122" s="44"/>
      <c r="L122" s="231"/>
      <c r="M122" s="27"/>
    </row>
    <row r="123" spans="1:14" x14ac:dyDescent="0.2">
      <c r="A123" s="21" t="s">
        <v>26</v>
      </c>
      <c r="B123" s="211"/>
      <c r="C123" s="145"/>
      <c r="D123" s="166"/>
      <c r="E123" s="23"/>
      <c r="F123" s="211"/>
      <c r="G123" s="145"/>
      <c r="H123" s="166"/>
      <c r="I123" s="23"/>
      <c r="J123" s="145"/>
      <c r="K123" s="44"/>
      <c r="L123" s="231"/>
      <c r="M123" s="27"/>
    </row>
    <row r="124" spans="1:14" x14ac:dyDescent="0.2">
      <c r="A124" s="272" t="s">
        <v>14</v>
      </c>
      <c r="B124" s="258"/>
      <c r="C124" s="258"/>
      <c r="D124" s="166"/>
      <c r="E124" s="23"/>
      <c r="F124" s="665"/>
      <c r="G124" s="258"/>
      <c r="H124" s="166"/>
      <c r="I124" s="23"/>
      <c r="J124" s="667"/>
      <c r="K124" s="267"/>
      <c r="L124" s="166"/>
      <c r="M124" s="23"/>
    </row>
    <row r="125" spans="1:14" ht="15.75" x14ac:dyDescent="0.2">
      <c r="A125" s="21" t="s">
        <v>369</v>
      </c>
      <c r="B125" s="211"/>
      <c r="C125" s="211"/>
      <c r="D125" s="166"/>
      <c r="E125" s="23"/>
      <c r="F125" s="211"/>
      <c r="G125" s="211"/>
      <c r="H125" s="166"/>
      <c r="I125" s="23"/>
      <c r="J125" s="145"/>
      <c r="K125" s="44"/>
      <c r="L125" s="231"/>
      <c r="M125" s="27"/>
    </row>
    <row r="126" spans="1:14" ht="15.75" x14ac:dyDescent="0.2">
      <c r="A126" s="21" t="s">
        <v>361</v>
      </c>
      <c r="B126" s="211"/>
      <c r="C126" s="211"/>
      <c r="D126" s="166"/>
      <c r="E126" s="23"/>
      <c r="F126" s="211"/>
      <c r="G126" s="211"/>
      <c r="H126" s="166"/>
      <c r="I126" s="23"/>
      <c r="J126" s="145"/>
      <c r="K126" s="44"/>
      <c r="L126" s="231"/>
      <c r="M126" s="27"/>
    </row>
    <row r="127" spans="1:14" ht="15.75" x14ac:dyDescent="0.2">
      <c r="A127" s="10" t="s">
        <v>362</v>
      </c>
      <c r="B127" s="45"/>
      <c r="C127" s="45"/>
      <c r="D127" s="167"/>
      <c r="E127" s="22"/>
      <c r="F127" s="666"/>
      <c r="G127" s="45"/>
      <c r="H127" s="167"/>
      <c r="I127" s="22"/>
      <c r="J127" s="668"/>
      <c r="K127" s="45"/>
      <c r="L127" s="232"/>
      <c r="M127" s="22"/>
    </row>
    <row r="128" spans="1:14" x14ac:dyDescent="0.2">
      <c r="A128" s="155"/>
      <c r="L128" s="26"/>
      <c r="M128" s="26"/>
      <c r="N128" s="26"/>
    </row>
    <row r="129" spans="1:14" x14ac:dyDescent="0.2">
      <c r="L129" s="26"/>
      <c r="M129" s="26"/>
      <c r="N129" s="26"/>
    </row>
    <row r="130" spans="1:14" ht="15.75" x14ac:dyDescent="0.25">
      <c r="A130" s="165" t="s">
        <v>27</v>
      </c>
    </row>
    <row r="131" spans="1:14" ht="15.75" x14ac:dyDescent="0.25">
      <c r="B131" s="694"/>
      <c r="C131" s="694"/>
      <c r="D131" s="694"/>
      <c r="E131" s="572"/>
      <c r="F131" s="694"/>
      <c r="G131" s="694"/>
      <c r="H131" s="694"/>
      <c r="I131" s="572"/>
      <c r="J131" s="694"/>
      <c r="K131" s="694"/>
      <c r="L131" s="694"/>
      <c r="M131" s="572"/>
    </row>
    <row r="132" spans="1:14" s="3" customFormat="1" x14ac:dyDescent="0.2">
      <c r="A132" s="144"/>
      <c r="B132" s="695" t="s">
        <v>0</v>
      </c>
      <c r="C132" s="696"/>
      <c r="D132" s="696"/>
      <c r="E132" s="569"/>
      <c r="F132" s="695" t="s">
        <v>1</v>
      </c>
      <c r="G132" s="696"/>
      <c r="H132" s="696"/>
      <c r="I132" s="570"/>
      <c r="J132" s="695" t="s">
        <v>2</v>
      </c>
      <c r="K132" s="696"/>
      <c r="L132" s="696"/>
      <c r="M132" s="570"/>
      <c r="N132" s="148"/>
    </row>
    <row r="133" spans="1:14" s="3" customFormat="1" x14ac:dyDescent="0.2">
      <c r="A133" s="140"/>
      <c r="B133" s="152" t="s">
        <v>412</v>
      </c>
      <c r="C133" s="152" t="s">
        <v>413</v>
      </c>
      <c r="D133" s="222" t="s">
        <v>3</v>
      </c>
      <c r="E133" s="281" t="s">
        <v>29</v>
      </c>
      <c r="F133" s="152" t="s">
        <v>412</v>
      </c>
      <c r="G133" s="152" t="s">
        <v>413</v>
      </c>
      <c r="H133" s="203" t="s">
        <v>3</v>
      </c>
      <c r="I133" s="162" t="s">
        <v>29</v>
      </c>
      <c r="J133" s="152" t="s">
        <v>412</v>
      </c>
      <c r="K133" s="152" t="s">
        <v>413</v>
      </c>
      <c r="L133" s="223" t="s">
        <v>3</v>
      </c>
      <c r="M133" s="162" t="s">
        <v>29</v>
      </c>
      <c r="N133" s="148"/>
    </row>
    <row r="134" spans="1:14" s="3" customFormat="1" x14ac:dyDescent="0.2">
      <c r="A134" s="662"/>
      <c r="B134" s="156"/>
      <c r="C134" s="156"/>
      <c r="D134" s="223" t="s">
        <v>4</v>
      </c>
      <c r="E134" s="156" t="s">
        <v>30</v>
      </c>
      <c r="F134" s="161"/>
      <c r="G134" s="161"/>
      <c r="H134" s="203" t="s">
        <v>4</v>
      </c>
      <c r="I134" s="156" t="s">
        <v>30</v>
      </c>
      <c r="J134" s="156"/>
      <c r="K134" s="156"/>
      <c r="L134" s="150" t="s">
        <v>4</v>
      </c>
      <c r="M134" s="156" t="s">
        <v>30</v>
      </c>
      <c r="N134" s="148"/>
    </row>
    <row r="135" spans="1:14" s="3" customFormat="1" ht="15.75" x14ac:dyDescent="0.2">
      <c r="A135" s="14" t="s">
        <v>365</v>
      </c>
      <c r="B135" s="213"/>
      <c r="C135" s="285"/>
      <c r="D135" s="326"/>
      <c r="E135" s="11"/>
      <c r="F135" s="292"/>
      <c r="G135" s="293"/>
      <c r="H135" s="405"/>
      <c r="I135" s="24"/>
      <c r="J135" s="294"/>
      <c r="K135" s="294"/>
      <c r="L135" s="401"/>
      <c r="M135" s="11"/>
      <c r="N135" s="148"/>
    </row>
    <row r="136" spans="1:14" s="3" customFormat="1" ht="15.75" x14ac:dyDescent="0.2">
      <c r="A136" s="13" t="s">
        <v>370</v>
      </c>
      <c r="B136" s="213"/>
      <c r="C136" s="285"/>
      <c r="D136" s="171"/>
      <c r="E136" s="11"/>
      <c r="F136" s="213"/>
      <c r="G136" s="285"/>
      <c r="H136" s="406"/>
      <c r="I136" s="24"/>
      <c r="J136" s="284"/>
      <c r="K136" s="284"/>
      <c r="L136" s="402"/>
      <c r="M136" s="11"/>
      <c r="N136" s="148"/>
    </row>
    <row r="137" spans="1:14" s="3" customFormat="1" ht="15.75" x14ac:dyDescent="0.2">
      <c r="A137" s="13" t="s">
        <v>367</v>
      </c>
      <c r="B137" s="213"/>
      <c r="C137" s="285"/>
      <c r="D137" s="171"/>
      <c r="E137" s="11"/>
      <c r="F137" s="213"/>
      <c r="G137" s="285"/>
      <c r="H137" s="406"/>
      <c r="I137" s="24"/>
      <c r="J137" s="284"/>
      <c r="K137" s="284"/>
      <c r="L137" s="402"/>
      <c r="M137" s="11"/>
      <c r="N137" s="148"/>
    </row>
    <row r="138" spans="1:14" s="3" customFormat="1" ht="15.75" x14ac:dyDescent="0.2">
      <c r="A138" s="41" t="s">
        <v>368</v>
      </c>
      <c r="B138" s="253"/>
      <c r="C138" s="291"/>
      <c r="D138" s="169"/>
      <c r="E138" s="9"/>
      <c r="F138" s="253"/>
      <c r="G138" s="291"/>
      <c r="H138" s="407"/>
      <c r="I138" s="36"/>
      <c r="J138" s="290"/>
      <c r="K138" s="290"/>
      <c r="L138" s="403"/>
      <c r="M138" s="36"/>
      <c r="N138" s="148"/>
    </row>
    <row r="139" spans="1:14" s="3" customFormat="1"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68"/>
      <c r="B141" s="33"/>
      <c r="C141" s="33"/>
      <c r="D141" s="159"/>
      <c r="E141" s="159"/>
      <c r="F141" s="33"/>
      <c r="G141" s="33"/>
      <c r="H141" s="159"/>
      <c r="I141" s="159"/>
      <c r="J141" s="33"/>
      <c r="K141" s="33"/>
      <c r="L141" s="159"/>
      <c r="M141" s="159"/>
      <c r="N141" s="148"/>
    </row>
    <row r="142" spans="1:14" x14ac:dyDescent="0.2">
      <c r="A142" s="146"/>
      <c r="B142" s="146"/>
      <c r="C142" s="146"/>
      <c r="D142" s="146"/>
      <c r="E142" s="146"/>
      <c r="F142" s="146"/>
      <c r="G142" s="146"/>
      <c r="H142" s="146"/>
      <c r="I142" s="146"/>
      <c r="J142" s="146"/>
      <c r="K142" s="146"/>
      <c r="L142" s="146"/>
      <c r="M142" s="146"/>
      <c r="N142" s="146"/>
    </row>
    <row r="143" spans="1:14" ht="15.75" x14ac:dyDescent="0.25">
      <c r="B143" s="142"/>
      <c r="C143" s="142"/>
      <c r="D143" s="142"/>
      <c r="E143" s="142"/>
      <c r="F143" s="142"/>
      <c r="G143" s="142"/>
      <c r="H143" s="142"/>
      <c r="I143" s="142"/>
      <c r="J143" s="142"/>
      <c r="K143" s="142"/>
      <c r="L143" s="142"/>
      <c r="M143" s="142"/>
      <c r="N143" s="142"/>
    </row>
    <row r="144" spans="1:14" ht="15.75" x14ac:dyDescent="0.25">
      <c r="B144" s="157"/>
      <c r="C144" s="157"/>
      <c r="D144" s="157"/>
      <c r="E144" s="157"/>
      <c r="F144" s="157"/>
      <c r="G144" s="157"/>
      <c r="H144" s="157"/>
      <c r="I144" s="157"/>
      <c r="J144" s="157"/>
      <c r="K144" s="157"/>
      <c r="L144" s="157"/>
      <c r="M144" s="157"/>
      <c r="N144" s="157"/>
    </row>
    <row r="145" spans="2:14" ht="15.75" x14ac:dyDescent="0.25">
      <c r="B145" s="157"/>
      <c r="C145" s="157"/>
      <c r="D145" s="157"/>
      <c r="E145" s="157"/>
      <c r="F145" s="157"/>
      <c r="G145" s="157"/>
      <c r="H145" s="157"/>
      <c r="I145" s="157"/>
      <c r="J145" s="157"/>
      <c r="K145" s="157"/>
      <c r="L145" s="157"/>
      <c r="M145" s="157"/>
      <c r="N145" s="157"/>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1:D131"/>
    <mergeCell ref="F131:H131"/>
    <mergeCell ref="J131:L131"/>
    <mergeCell ref="B132:D132"/>
    <mergeCell ref="F132:H132"/>
    <mergeCell ref="J132:L132"/>
  </mergeCells>
  <conditionalFormatting sqref="B116">
    <cfRule type="expression" dxfId="264" priority="42">
      <formula>kvartal &lt; 4</formula>
    </cfRule>
  </conditionalFormatting>
  <conditionalFormatting sqref="C116">
    <cfRule type="expression" dxfId="263" priority="41">
      <formula>kvartal &lt; 4</formula>
    </cfRule>
  </conditionalFormatting>
  <conditionalFormatting sqref="B124">
    <cfRule type="expression" dxfId="262" priority="40">
      <formula>kvartal &lt; 4</formula>
    </cfRule>
  </conditionalFormatting>
  <conditionalFormatting sqref="C124">
    <cfRule type="expression" dxfId="261" priority="39">
      <formula>kvartal &lt; 4</formula>
    </cfRule>
  </conditionalFormatting>
  <conditionalFormatting sqref="F116">
    <cfRule type="expression" dxfId="260" priority="28">
      <formula>kvartal &lt; 4</formula>
    </cfRule>
  </conditionalFormatting>
  <conditionalFormatting sqref="G116">
    <cfRule type="expression" dxfId="259" priority="27">
      <formula>kvartal &lt; 4</formula>
    </cfRule>
  </conditionalFormatting>
  <conditionalFormatting sqref="F124:G124">
    <cfRule type="expression" dxfId="258" priority="26">
      <formula>kvartal &lt; 4</formula>
    </cfRule>
  </conditionalFormatting>
  <conditionalFormatting sqref="J116:K116">
    <cfRule type="expression" dxfId="257" priority="9">
      <formula>kvartal &lt; 4</formula>
    </cfRule>
  </conditionalFormatting>
  <conditionalFormatting sqref="J124:K124">
    <cfRule type="expression" dxfId="256" priority="8">
      <formula>kvartal &lt; 4</formula>
    </cfRule>
  </conditionalFormatting>
  <conditionalFormatting sqref="A50:A52">
    <cfRule type="expression" dxfId="255" priority="7">
      <formula>kvartal &lt; 4</formula>
    </cfRule>
  </conditionalFormatting>
  <conditionalFormatting sqref="A69:A74">
    <cfRule type="expression" dxfId="254" priority="6">
      <formula>kvartal &lt; 4</formula>
    </cfRule>
  </conditionalFormatting>
  <conditionalFormatting sqref="A80:A85">
    <cfRule type="expression" dxfId="253" priority="5">
      <formula>kvartal &lt; 4</formula>
    </cfRule>
  </conditionalFormatting>
  <conditionalFormatting sqref="A90:A95">
    <cfRule type="expression" dxfId="252" priority="4">
      <formula>kvartal &lt; 4</formula>
    </cfRule>
  </conditionalFormatting>
  <conditionalFormatting sqref="A102:A107">
    <cfRule type="expression" dxfId="251" priority="3">
      <formula>kvartal &lt; 4</formula>
    </cfRule>
  </conditionalFormatting>
  <conditionalFormatting sqref="A116">
    <cfRule type="expression" dxfId="250" priority="2">
      <formula>kvartal &lt; 4</formula>
    </cfRule>
  </conditionalFormatting>
  <conditionalFormatting sqref="A124">
    <cfRule type="expression" dxfId="249" priority="1">
      <formula>kvartal &lt; 4</formula>
    </cfRule>
  </conditionalFormatting>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T61"/>
  <sheetViews>
    <sheetView showGridLines="0" zoomScale="70" zoomScaleNormal="70" workbookViewId="0">
      <pane xSplit="1" ySplit="8" topLeftCell="B9" activePane="bottomRight" state="frozen"/>
      <selection activeCell="L39" sqref="L39"/>
      <selection pane="topRight" activeCell="L39" sqref="L39"/>
      <selection pane="bottomLeft" activeCell="L39" sqref="L39"/>
      <selection pane="bottomRight" activeCell="A4" sqref="A4"/>
    </sheetView>
  </sheetViews>
  <sheetFormatPr baseColWidth="10" defaultColWidth="11.42578125" defaultRowHeight="12.75" x14ac:dyDescent="0.2"/>
  <cols>
    <col min="1" max="1" width="90" style="470" customWidth="1"/>
    <col min="2" max="4" width="11.7109375" style="470" customWidth="1"/>
    <col min="5" max="7" width="11.7109375" style="440" customWidth="1"/>
    <col min="8" max="46" width="11.7109375" style="470" customWidth="1"/>
    <col min="47" max="16384" width="11.42578125" style="470"/>
  </cols>
  <sheetData>
    <row r="1" spans="1:46" ht="20.25" x14ac:dyDescent="0.3">
      <c r="A1" s="468" t="s">
        <v>261</v>
      </c>
      <c r="B1" s="446" t="s">
        <v>52</v>
      </c>
      <c r="C1" s="469"/>
      <c r="D1" s="469"/>
      <c r="H1" s="469"/>
      <c r="I1" s="469"/>
      <c r="J1" s="469"/>
      <c r="K1" s="469"/>
      <c r="L1" s="469"/>
      <c r="M1" s="469"/>
      <c r="N1" s="469"/>
      <c r="O1" s="469"/>
      <c r="P1" s="469"/>
    </row>
    <row r="2" spans="1:46" ht="20.25" x14ac:dyDescent="0.3">
      <c r="A2" s="468" t="s">
        <v>232</v>
      </c>
      <c r="B2" s="471"/>
      <c r="C2" s="471"/>
      <c r="D2" s="471"/>
      <c r="E2" s="441"/>
      <c r="F2" s="441"/>
      <c r="G2" s="44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1"/>
      <c r="AO2" s="471"/>
      <c r="AP2" s="471"/>
      <c r="AQ2" s="471"/>
      <c r="AR2" s="471"/>
      <c r="AS2" s="471"/>
      <c r="AT2" s="471"/>
    </row>
    <row r="3" spans="1:46" ht="18.75" x14ac:dyDescent="0.3">
      <c r="A3" s="472" t="s">
        <v>262</v>
      </c>
      <c r="B3" s="473"/>
      <c r="C3" s="473"/>
      <c r="D3" s="473"/>
      <c r="E3" s="651"/>
      <c r="F3" s="651"/>
      <c r="G3" s="651"/>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Q3" s="473"/>
      <c r="AR3" s="473"/>
      <c r="AS3" s="473"/>
      <c r="AT3" s="473"/>
    </row>
    <row r="4" spans="1:46" ht="18.75" customHeight="1" x14ac:dyDescent="0.25">
      <c r="A4" s="450" t="s">
        <v>409</v>
      </c>
      <c r="B4" s="474"/>
      <c r="C4" s="474"/>
      <c r="D4" s="475"/>
      <c r="E4" s="455"/>
      <c r="F4" s="454"/>
      <c r="G4" s="456"/>
      <c r="H4" s="476"/>
      <c r="I4" s="474"/>
      <c r="J4" s="475"/>
      <c r="K4" s="476"/>
      <c r="L4" s="474"/>
      <c r="M4" s="475"/>
      <c r="N4" s="476"/>
      <c r="O4" s="474"/>
      <c r="P4" s="475"/>
      <c r="Q4" s="477"/>
      <c r="R4" s="477"/>
      <c r="S4" s="477"/>
      <c r="T4" s="478"/>
      <c r="U4" s="477"/>
      <c r="V4" s="479"/>
      <c r="W4" s="478"/>
      <c r="X4" s="477"/>
      <c r="Y4" s="479"/>
      <c r="Z4" s="478"/>
      <c r="AA4" s="477"/>
      <c r="AB4" s="479"/>
      <c r="AC4" s="478"/>
      <c r="AD4" s="477"/>
      <c r="AE4" s="479"/>
      <c r="AF4" s="478"/>
      <c r="AG4" s="477"/>
      <c r="AH4" s="479"/>
      <c r="AI4" s="478"/>
      <c r="AJ4" s="477"/>
      <c r="AK4" s="479"/>
      <c r="AL4" s="478"/>
      <c r="AM4" s="477"/>
      <c r="AN4" s="479"/>
      <c r="AO4" s="480"/>
      <c r="AP4" s="481"/>
      <c r="AQ4" s="482"/>
      <c r="AR4" s="478"/>
      <c r="AS4" s="477"/>
      <c r="AT4" s="483"/>
    </row>
    <row r="5" spans="1:46" ht="18.75" customHeight="1" x14ac:dyDescent="0.3">
      <c r="A5" s="484" t="s">
        <v>101</v>
      </c>
      <c r="B5" s="701" t="s">
        <v>152</v>
      </c>
      <c r="C5" s="702"/>
      <c r="D5" s="703"/>
      <c r="E5" s="716" t="s">
        <v>153</v>
      </c>
      <c r="F5" s="717"/>
      <c r="G5" s="718"/>
      <c r="H5" s="701" t="s">
        <v>153</v>
      </c>
      <c r="I5" s="702"/>
      <c r="J5" s="703"/>
      <c r="K5" s="701" t="s">
        <v>380</v>
      </c>
      <c r="L5" s="702"/>
      <c r="M5" s="703"/>
      <c r="N5" s="701" t="s">
        <v>154</v>
      </c>
      <c r="O5" s="702"/>
      <c r="P5" s="703"/>
      <c r="Q5" s="701" t="s">
        <v>155</v>
      </c>
      <c r="R5" s="702"/>
      <c r="S5" s="703"/>
      <c r="T5" s="701" t="s">
        <v>156</v>
      </c>
      <c r="U5" s="702"/>
      <c r="V5" s="703"/>
      <c r="W5" s="637"/>
      <c r="X5" s="638"/>
      <c r="Y5" s="639"/>
      <c r="Z5" s="637"/>
      <c r="AA5" s="638"/>
      <c r="AB5" s="639"/>
      <c r="AC5" s="701" t="s">
        <v>157</v>
      </c>
      <c r="AD5" s="702"/>
      <c r="AE5" s="703"/>
      <c r="AF5" s="637"/>
      <c r="AG5" s="638"/>
      <c r="AH5" s="639"/>
      <c r="AI5" s="637"/>
      <c r="AJ5" s="638"/>
      <c r="AK5" s="639"/>
      <c r="AL5" s="701" t="s">
        <v>72</v>
      </c>
      <c r="AM5" s="702"/>
      <c r="AN5" s="703"/>
      <c r="AO5" s="710" t="s">
        <v>2</v>
      </c>
      <c r="AP5" s="711"/>
      <c r="AQ5" s="712"/>
      <c r="AR5" s="701" t="s">
        <v>263</v>
      </c>
      <c r="AS5" s="702"/>
      <c r="AT5" s="703"/>
    </row>
    <row r="6" spans="1:46" ht="21" customHeight="1" x14ac:dyDescent="0.3">
      <c r="A6" s="485"/>
      <c r="B6" s="704" t="s">
        <v>158</v>
      </c>
      <c r="C6" s="705"/>
      <c r="D6" s="706"/>
      <c r="E6" s="713" t="s">
        <v>408</v>
      </c>
      <c r="F6" s="714"/>
      <c r="G6" s="715"/>
      <c r="H6" s="704" t="s">
        <v>159</v>
      </c>
      <c r="I6" s="705"/>
      <c r="J6" s="706"/>
      <c r="K6" s="704" t="s">
        <v>159</v>
      </c>
      <c r="L6" s="705"/>
      <c r="M6" s="706"/>
      <c r="N6" s="704" t="s">
        <v>159</v>
      </c>
      <c r="O6" s="705"/>
      <c r="P6" s="706"/>
      <c r="Q6" s="704" t="s">
        <v>160</v>
      </c>
      <c r="R6" s="705"/>
      <c r="S6" s="706"/>
      <c r="T6" s="704" t="s">
        <v>90</v>
      </c>
      <c r="U6" s="705"/>
      <c r="V6" s="706"/>
      <c r="W6" s="704" t="s">
        <v>63</v>
      </c>
      <c r="X6" s="705"/>
      <c r="Y6" s="706"/>
      <c r="Z6" s="704" t="s">
        <v>65</v>
      </c>
      <c r="AA6" s="705"/>
      <c r="AB6" s="706"/>
      <c r="AC6" s="704" t="s">
        <v>158</v>
      </c>
      <c r="AD6" s="705"/>
      <c r="AE6" s="706"/>
      <c r="AF6" s="704" t="s">
        <v>71</v>
      </c>
      <c r="AG6" s="705"/>
      <c r="AH6" s="706"/>
      <c r="AI6" s="704" t="s">
        <v>67</v>
      </c>
      <c r="AJ6" s="705"/>
      <c r="AK6" s="706"/>
      <c r="AL6" s="704" t="s">
        <v>159</v>
      </c>
      <c r="AM6" s="705"/>
      <c r="AN6" s="706"/>
      <c r="AO6" s="707" t="s">
        <v>264</v>
      </c>
      <c r="AP6" s="708"/>
      <c r="AQ6" s="709"/>
      <c r="AR6" s="704" t="s">
        <v>265</v>
      </c>
      <c r="AS6" s="705"/>
      <c r="AT6" s="706"/>
    </row>
    <row r="7" spans="1:46" ht="18.75" customHeight="1" x14ac:dyDescent="0.3">
      <c r="A7" s="485"/>
      <c r="B7" s="484"/>
      <c r="C7" s="484"/>
      <c r="D7" s="486" t="s">
        <v>80</v>
      </c>
      <c r="E7" s="652"/>
      <c r="F7" s="652"/>
      <c r="G7" s="653" t="s">
        <v>80</v>
      </c>
      <c r="H7" s="484"/>
      <c r="I7" s="484"/>
      <c r="J7" s="486" t="s">
        <v>80</v>
      </c>
      <c r="K7" s="484"/>
      <c r="L7" s="484"/>
      <c r="M7" s="486" t="s">
        <v>80</v>
      </c>
      <c r="N7" s="484"/>
      <c r="O7" s="484"/>
      <c r="P7" s="486" t="s">
        <v>80</v>
      </c>
      <c r="Q7" s="484"/>
      <c r="R7" s="484"/>
      <c r="S7" s="486" t="s">
        <v>80</v>
      </c>
      <c r="T7" s="484"/>
      <c r="U7" s="484"/>
      <c r="V7" s="486" t="s">
        <v>80</v>
      </c>
      <c r="W7" s="484"/>
      <c r="X7" s="484"/>
      <c r="Y7" s="486" t="s">
        <v>80</v>
      </c>
      <c r="Z7" s="484"/>
      <c r="AA7" s="484"/>
      <c r="AB7" s="486" t="s">
        <v>80</v>
      </c>
      <c r="AC7" s="484"/>
      <c r="AD7" s="484"/>
      <c r="AE7" s="486" t="s">
        <v>80</v>
      </c>
      <c r="AF7" s="484"/>
      <c r="AG7" s="484"/>
      <c r="AH7" s="486" t="s">
        <v>80</v>
      </c>
      <c r="AI7" s="484"/>
      <c r="AJ7" s="484"/>
      <c r="AK7" s="486" t="s">
        <v>80</v>
      </c>
      <c r="AL7" s="484"/>
      <c r="AM7" s="484"/>
      <c r="AN7" s="486" t="s">
        <v>80</v>
      </c>
      <c r="AO7" s="484"/>
      <c r="AP7" s="484"/>
      <c r="AQ7" s="486" t="s">
        <v>80</v>
      </c>
      <c r="AR7" s="484"/>
      <c r="AS7" s="484"/>
      <c r="AT7" s="486" t="s">
        <v>80</v>
      </c>
    </row>
    <row r="8" spans="1:46" ht="18.75" customHeight="1" x14ac:dyDescent="0.25">
      <c r="A8" s="487" t="s">
        <v>266</v>
      </c>
      <c r="B8" s="606">
        <v>2020</v>
      </c>
      <c r="C8" s="606">
        <v>2021</v>
      </c>
      <c r="D8" s="488" t="s">
        <v>82</v>
      </c>
      <c r="E8" s="606">
        <f>$B$8</f>
        <v>2020</v>
      </c>
      <c r="F8" s="606">
        <f>$C$8</f>
        <v>2021</v>
      </c>
      <c r="G8" s="654" t="s">
        <v>82</v>
      </c>
      <c r="H8" s="606">
        <f>$B$8</f>
        <v>2020</v>
      </c>
      <c r="I8" s="606">
        <f>$C$8</f>
        <v>2021</v>
      </c>
      <c r="J8" s="488" t="s">
        <v>82</v>
      </c>
      <c r="K8" s="606">
        <f>$B$8</f>
        <v>2020</v>
      </c>
      <c r="L8" s="606">
        <f>$C$8</f>
        <v>2021</v>
      </c>
      <c r="M8" s="488" t="s">
        <v>82</v>
      </c>
      <c r="N8" s="606">
        <f>$B$8</f>
        <v>2020</v>
      </c>
      <c r="O8" s="606">
        <f>$C$8</f>
        <v>2021</v>
      </c>
      <c r="P8" s="488" t="s">
        <v>82</v>
      </c>
      <c r="Q8" s="606">
        <f>$B$8</f>
        <v>2020</v>
      </c>
      <c r="R8" s="606">
        <f>$C$8</f>
        <v>2021</v>
      </c>
      <c r="S8" s="488" t="s">
        <v>82</v>
      </c>
      <c r="T8" s="606">
        <f>$B$8</f>
        <v>2020</v>
      </c>
      <c r="U8" s="606">
        <f>$C$8</f>
        <v>2021</v>
      </c>
      <c r="V8" s="488" t="s">
        <v>82</v>
      </c>
      <c r="W8" s="606">
        <f>$B$8</f>
        <v>2020</v>
      </c>
      <c r="X8" s="606">
        <f>$C$8</f>
        <v>2021</v>
      </c>
      <c r="Y8" s="488" t="s">
        <v>82</v>
      </c>
      <c r="Z8" s="606">
        <f>$B$8</f>
        <v>2020</v>
      </c>
      <c r="AA8" s="606">
        <f>$C$8</f>
        <v>2021</v>
      </c>
      <c r="AB8" s="488" t="s">
        <v>82</v>
      </c>
      <c r="AC8" s="606">
        <f>$B$8</f>
        <v>2020</v>
      </c>
      <c r="AD8" s="606">
        <f>$C$8</f>
        <v>2021</v>
      </c>
      <c r="AE8" s="488" t="s">
        <v>82</v>
      </c>
      <c r="AF8" s="606">
        <f>$B$8</f>
        <v>2020</v>
      </c>
      <c r="AG8" s="606">
        <f>$C$8</f>
        <v>2021</v>
      </c>
      <c r="AH8" s="488" t="s">
        <v>82</v>
      </c>
      <c r="AI8" s="606">
        <f>$B$8</f>
        <v>2020</v>
      </c>
      <c r="AJ8" s="606">
        <f>$C$8</f>
        <v>2021</v>
      </c>
      <c r="AK8" s="488" t="s">
        <v>82</v>
      </c>
      <c r="AL8" s="606">
        <f>$B$8</f>
        <v>2020</v>
      </c>
      <c r="AM8" s="606">
        <f>$C$8</f>
        <v>2021</v>
      </c>
      <c r="AN8" s="488" t="s">
        <v>82</v>
      </c>
      <c r="AO8" s="606">
        <f>$B$8</f>
        <v>2020</v>
      </c>
      <c r="AP8" s="606">
        <f>$C$8</f>
        <v>2021</v>
      </c>
      <c r="AQ8" s="488" t="s">
        <v>82</v>
      </c>
      <c r="AR8" s="606">
        <f>$B$8</f>
        <v>2020</v>
      </c>
      <c r="AS8" s="606">
        <f>$C$8</f>
        <v>2021</v>
      </c>
      <c r="AT8" s="488" t="s">
        <v>82</v>
      </c>
    </row>
    <row r="9" spans="1:46" ht="18.75" customHeight="1" x14ac:dyDescent="0.3">
      <c r="A9" s="485" t="s">
        <v>267</v>
      </c>
      <c r="B9" s="576"/>
      <c r="C9" s="552"/>
      <c r="D9" s="490"/>
      <c r="E9" s="576"/>
      <c r="F9" s="552"/>
      <c r="G9" s="554"/>
      <c r="H9" s="576"/>
      <c r="I9" s="552"/>
      <c r="J9" s="490"/>
      <c r="K9" s="576"/>
      <c r="L9" s="552"/>
      <c r="M9" s="490"/>
      <c r="N9" s="576"/>
      <c r="O9" s="552"/>
      <c r="P9" s="490"/>
      <c r="Q9" s="576"/>
      <c r="R9" s="552"/>
      <c r="S9" s="489"/>
      <c r="T9" s="623"/>
      <c r="U9" s="491"/>
      <c r="V9" s="490"/>
      <c r="W9" s="611"/>
      <c r="X9" s="554"/>
      <c r="Y9" s="490"/>
      <c r="Z9" s="576"/>
      <c r="AA9" s="552"/>
      <c r="AB9" s="490"/>
      <c r="AC9" s="611"/>
      <c r="AD9" s="554"/>
      <c r="AE9" s="490"/>
      <c r="AF9" s="576"/>
      <c r="AG9" s="552"/>
      <c r="AH9" s="490"/>
      <c r="AI9" s="576"/>
      <c r="AJ9" s="552"/>
      <c r="AK9" s="490"/>
      <c r="AL9" s="576"/>
      <c r="AM9" s="552"/>
      <c r="AN9" s="490"/>
      <c r="AO9" s="490"/>
      <c r="AP9" s="490"/>
      <c r="AQ9" s="490"/>
      <c r="AR9" s="492"/>
      <c r="AS9" s="492"/>
      <c r="AT9" s="492"/>
    </row>
    <row r="10" spans="1:46" s="471" customFormat="1" ht="18.75" customHeight="1" x14ac:dyDescent="0.3">
      <c r="A10" s="493" t="s">
        <v>268</v>
      </c>
      <c r="B10" s="577"/>
      <c r="C10" s="411"/>
      <c r="D10" s="495"/>
      <c r="E10" s="577"/>
      <c r="F10" s="411"/>
      <c r="G10" s="314"/>
      <c r="H10" s="577"/>
      <c r="I10" s="411"/>
      <c r="J10" s="495"/>
      <c r="K10" s="577"/>
      <c r="L10" s="411"/>
      <c r="M10" s="495"/>
      <c r="N10" s="577"/>
      <c r="O10" s="411"/>
      <c r="P10" s="495"/>
      <c r="Q10" s="577"/>
      <c r="R10" s="411"/>
      <c r="S10" s="494"/>
      <c r="T10" s="614"/>
      <c r="U10" s="496"/>
      <c r="V10" s="495"/>
      <c r="W10" s="578"/>
      <c r="X10" s="314"/>
      <c r="Y10" s="495"/>
      <c r="Z10" s="577"/>
      <c r="AA10" s="411"/>
      <c r="AB10" s="495"/>
      <c r="AC10" s="578"/>
      <c r="AD10" s="314"/>
      <c r="AE10" s="495"/>
      <c r="AF10" s="577"/>
      <c r="AG10" s="411"/>
      <c r="AH10" s="495"/>
      <c r="AI10" s="577"/>
      <c r="AJ10" s="411"/>
      <c r="AK10" s="495"/>
      <c r="AL10" s="577"/>
      <c r="AM10" s="411"/>
      <c r="AN10" s="495"/>
      <c r="AO10" s="495"/>
      <c r="AP10" s="495"/>
      <c r="AQ10" s="495"/>
      <c r="AR10" s="497"/>
      <c r="AS10" s="497"/>
      <c r="AT10" s="497"/>
    </row>
    <row r="11" spans="1:46" s="471" customFormat="1" ht="18.75" customHeight="1" x14ac:dyDescent="0.3">
      <c r="A11" s="493" t="s">
        <v>269</v>
      </c>
      <c r="B11" s="578">
        <f>665.41+0.27</f>
        <v>665.68</v>
      </c>
      <c r="C11" s="314">
        <f>717.488-5.879</f>
        <v>711.60900000000004</v>
      </c>
      <c r="D11" s="495">
        <f t="shared" ref="D11:D16" si="0">IF(B11=0, "    ---- ", IF(ABS(ROUND(100/B11*C11-100,1))&lt;999,ROUND(100/B11*C11-100,1),IF(ROUND(100/B11*C11-100,1)&gt;999,999,-999)))</f>
        <v>6.9</v>
      </c>
      <c r="E11" s="578">
        <v>180.2</v>
      </c>
      <c r="F11" s="314"/>
      <c r="G11" s="314">
        <f t="shared" ref="G11:G30" si="1">IF(E11=0, "    ---- ", IF(ABS(ROUND(100/E11*F11-100,1))&lt;999,ROUND(100/E11*F11-100,1),IF(ROUND(100/E11*F11-100,1)&gt;999,999,-999)))</f>
        <v>-100</v>
      </c>
      <c r="H11" s="578">
        <v>4282.2</v>
      </c>
      <c r="I11" s="314">
        <v>4599.5741955399999</v>
      </c>
      <c r="J11" s="495">
        <f t="shared" ref="J11:J17" si="2">IF(H11=0, "    ---- ", IF(ABS(ROUND(100/H11*I11-100,1))&lt;999,ROUND(100/H11*I11-100,1),IF(ROUND(100/H11*I11-100,1)&gt;999,999,-999)))</f>
        <v>7.4</v>
      </c>
      <c r="K11" s="578">
        <v>919.3587940299999</v>
      </c>
      <c r="L11" s="314">
        <v>966.56933345000004</v>
      </c>
      <c r="M11" s="495">
        <f t="shared" ref="M11:M17" si="3">IF(K11=0, "    ---- ", IF(ABS(ROUND(100/K11*L11-100,1))&lt;999,ROUND(100/K11*L11-100,1),IF(ROUND(100/K11*L11-100,1)&gt;999,999,-999)))</f>
        <v>5.0999999999999996</v>
      </c>
      <c r="N11" s="578">
        <v>711.65700000000004</v>
      </c>
      <c r="O11" s="314">
        <v>565.35400000000004</v>
      </c>
      <c r="P11" s="495">
        <f t="shared" ref="P11:P17" si="4">IF(N11=0, "    ---- ", IF(ABS(ROUND(100/N11*O11-100,1))&lt;999,ROUND(100/N11*O11-100,1),IF(ROUND(100/N11*O11-100,1)&gt;999,999,-999)))</f>
        <v>-20.6</v>
      </c>
      <c r="Q11" s="578">
        <v>1036.3</v>
      </c>
      <c r="R11" s="314">
        <v>1146.9000000000001</v>
      </c>
      <c r="S11" s="495">
        <f t="shared" ref="S11:S16" si="5">IF(Q11=0, "    ---- ", IF(ABS(ROUND(100/Q11*R11-100,1))&lt;999,ROUND(100/Q11*R11-100,1),IF(ROUND(100/Q11*R11-100,1)&gt;999,999,-999)))</f>
        <v>10.7</v>
      </c>
      <c r="T11" s="578">
        <v>8.9698688000000004</v>
      </c>
      <c r="U11" s="314">
        <v>8.8402157599999995</v>
      </c>
      <c r="V11" s="495">
        <f>IF(T11=0, "    ---- ", IF(ABS(ROUND(100/T11*U11-100,1))&lt;999,ROUND(100/T11*U11-100,1),IF(ROUND(100/T11*U11-100,1)&gt;999,999,-999)))</f>
        <v>-1.4</v>
      </c>
      <c r="W11" s="578">
        <v>7085.8173088100002</v>
      </c>
      <c r="X11" s="314">
        <v>7040.9092229600001</v>
      </c>
      <c r="Y11" s="495">
        <f t="shared" ref="Y11:Y17" si="6">IF(W11=0, "    ---- ", IF(ABS(ROUND(100/W11*X11-100,1))&lt;999,ROUND(100/W11*X11-100,1),IF(ROUND(100/W11*X11-100,1)&gt;999,999,-999)))</f>
        <v>-0.6</v>
      </c>
      <c r="Z11" s="578">
        <v>3734.64</v>
      </c>
      <c r="AA11" s="314">
        <v>5287.33</v>
      </c>
      <c r="AB11" s="495">
        <f t="shared" ref="AB11:AB17" si="7">IF(Z11=0, "    ---- ", IF(ABS(ROUND(100/Z11*AA11-100,1))&lt;999,ROUND(100/Z11*AA11-100,1),IF(ROUND(100/Z11*AA11-100,1)&gt;999,999,-999)))</f>
        <v>41.6</v>
      </c>
      <c r="AC11" s="578">
        <v>596</v>
      </c>
      <c r="AD11" s="314">
        <v>823</v>
      </c>
      <c r="AE11" s="495">
        <f t="shared" ref="AE11:AE17" si="8">IF(AC11=0, "    ---- ", IF(ABS(ROUND(100/AC11*AD11-100,1))&lt;999,ROUND(100/AC11*AD11-100,1),IF(ROUND(100/AC11*AD11-100,1)&gt;999,999,-999)))</f>
        <v>38.1</v>
      </c>
      <c r="AF11" s="578">
        <v>40.693550899999998</v>
      </c>
      <c r="AG11" s="314">
        <v>43.468250900000001</v>
      </c>
      <c r="AH11" s="495">
        <f t="shared" ref="AH11:AH16" si="9">IF(AF11=0, "    ---- ", IF(ABS(ROUND(100/AF11*AG11-100,1))&lt;999,ROUND(100/AF11*AG11-100,1),IF(ROUND(100/AF11*AG11-100,1)&gt;999,999,-999)))</f>
        <v>6.8</v>
      </c>
      <c r="AI11" s="578">
        <v>1435.1081610900003</v>
      </c>
      <c r="AJ11" s="314">
        <v>1622.2565225100002</v>
      </c>
      <c r="AK11" s="495">
        <f t="shared" ref="AK11:AK17" si="10">IF(AI11=0, "    ---- ", IF(ABS(ROUND(100/AI11*AJ11-100,1))&lt;999,ROUND(100/AI11*AJ11-100,1),IF(ROUND(100/AI11*AJ11-100,1)&gt;999,999,-999)))</f>
        <v>13</v>
      </c>
      <c r="AL11" s="578">
        <v>5966</v>
      </c>
      <c r="AM11" s="314">
        <v>5906</v>
      </c>
      <c r="AN11" s="495">
        <f t="shared" ref="AN11:AN17" si="11">IF(AL11=0, "    ---- ", IF(ABS(ROUND(100/AL11*AM11-100,1))&lt;999,ROUND(100/AL11*AM11-100,1),IF(ROUND(100/AL11*AM11-100,1)&gt;999,999,-999)))</f>
        <v>-1</v>
      </c>
      <c r="AO11" s="495">
        <f>B11+H11+K11+N11+Q11+W11+Z11+AC11+AI11+AL11+E11</f>
        <v>26612.961263929999</v>
      </c>
      <c r="AP11" s="495">
        <f>C11+I11+L11+O11+R11+X11+AA11+AD11+AJ11+AM11+F11</f>
        <v>28669.502274460003</v>
      </c>
      <c r="AQ11" s="495">
        <f t="shared" ref="AQ11:AQ45" si="12">IF(AO11=0, "    ---- ", IF(ABS(ROUND(100/AO11*AP11-100,1))&lt;999,ROUND(100/AO11*AP11-100,1),IF(ROUND(100/AO11*AP11-100,1)&gt;999,999,-999)))</f>
        <v>7.7</v>
      </c>
      <c r="AR11" s="498">
        <f>+B11+H11+K11+N11+Q11+T11+W11+E11+Z11+AC11+AF11+AI11+AL11</f>
        <v>26662.624683630002</v>
      </c>
      <c r="AS11" s="498">
        <f>+C11+I11+L11+O11+R11+U11+X11+F11+AA11+AD11+AG11+AJ11+AM11</f>
        <v>28721.810741120004</v>
      </c>
      <c r="AT11" s="495">
        <f t="shared" ref="AT11:AT17" si="13">IF(AR11=0, "    ---- ", IF(ABS(ROUND(100/AR11*AS11-100,1))&lt;999,ROUND(100/AR11*AS11-100,1),IF(ROUND(100/AR11*AS11-100,1)&gt;999,999,-999)))</f>
        <v>7.7</v>
      </c>
    </row>
    <row r="12" spans="1:46" s="471" customFormat="1" ht="18.75" customHeight="1" x14ac:dyDescent="0.3">
      <c r="A12" s="493" t="s">
        <v>270</v>
      </c>
      <c r="B12" s="578">
        <v>-29.346</v>
      </c>
      <c r="C12" s="314">
        <v>-30.338999999999999</v>
      </c>
      <c r="D12" s="495">
        <f t="shared" si="0"/>
        <v>3.4</v>
      </c>
      <c r="E12" s="578"/>
      <c r="F12" s="314"/>
      <c r="G12" s="314" t="str">
        <f t="shared" si="1"/>
        <v xml:space="preserve">    ---- </v>
      </c>
      <c r="H12" s="578">
        <v>-103.36</v>
      </c>
      <c r="I12" s="314">
        <v>-129.59891203000001</v>
      </c>
      <c r="J12" s="495">
        <f t="shared" si="2"/>
        <v>25.4</v>
      </c>
      <c r="K12" s="578">
        <v>-46.094411450000003</v>
      </c>
      <c r="L12" s="314">
        <v>-40.406013629999997</v>
      </c>
      <c r="M12" s="495">
        <f t="shared" si="3"/>
        <v>-12.3</v>
      </c>
      <c r="N12" s="578">
        <v>-0.34</v>
      </c>
      <c r="O12" s="314">
        <v>-6.1870000000000003</v>
      </c>
      <c r="P12" s="495">
        <f t="shared" si="4"/>
        <v>999</v>
      </c>
      <c r="Q12" s="578">
        <v>-25.7</v>
      </c>
      <c r="R12" s="314">
        <v>-25.6</v>
      </c>
      <c r="S12" s="495">
        <f t="shared" si="5"/>
        <v>-0.4</v>
      </c>
      <c r="T12" s="578"/>
      <c r="U12" s="314"/>
      <c r="V12" s="495"/>
      <c r="W12" s="578"/>
      <c r="X12" s="314">
        <v>0</v>
      </c>
      <c r="Y12" s="495" t="str">
        <f t="shared" si="6"/>
        <v xml:space="preserve">    ---- </v>
      </c>
      <c r="Z12" s="578">
        <v>-23</v>
      </c>
      <c r="AA12" s="314">
        <v>-21</v>
      </c>
      <c r="AB12" s="495">
        <f t="shared" si="7"/>
        <v>-8.6999999999999993</v>
      </c>
      <c r="AC12" s="578"/>
      <c r="AD12" s="314"/>
      <c r="AE12" s="495"/>
      <c r="AF12" s="578"/>
      <c r="AG12" s="314"/>
      <c r="AH12" s="495"/>
      <c r="AI12" s="578">
        <v>-2.306</v>
      </c>
      <c r="AJ12" s="314">
        <v>1.2010000000000001</v>
      </c>
      <c r="AK12" s="495">
        <f t="shared" si="10"/>
        <v>-152.1</v>
      </c>
      <c r="AL12" s="578">
        <v>-6</v>
      </c>
      <c r="AM12" s="314">
        <v>-6</v>
      </c>
      <c r="AN12" s="495">
        <f t="shared" si="11"/>
        <v>0</v>
      </c>
      <c r="AO12" s="495">
        <f t="shared" ref="AO12:AP17" si="14">B12+H12+K12+N12+Q12+W12+Z12+AC12+AI12+AL12+E12</f>
        <v>-236.14641144999999</v>
      </c>
      <c r="AP12" s="495">
        <f t="shared" si="14"/>
        <v>-257.92992565999998</v>
      </c>
      <c r="AQ12" s="495">
        <f t="shared" si="12"/>
        <v>9.1999999999999993</v>
      </c>
      <c r="AR12" s="498">
        <f t="shared" ref="AR12:AS17" si="15">+B12+H12+K12+N12+Q12+T12+W12+E12+Z12+AC12+AF12+AI12+AL12</f>
        <v>-236.14641144999999</v>
      </c>
      <c r="AS12" s="498">
        <f t="shared" si="15"/>
        <v>-257.92992565999998</v>
      </c>
      <c r="AT12" s="495">
        <f t="shared" si="13"/>
        <v>9.1999999999999993</v>
      </c>
    </row>
    <row r="13" spans="1:46" s="471" customFormat="1" ht="18.75" customHeight="1" x14ac:dyDescent="0.3">
      <c r="A13" s="493" t="s">
        <v>271</v>
      </c>
      <c r="B13" s="578">
        <v>272.15699999999998</v>
      </c>
      <c r="C13" s="314">
        <v>546.68299999999999</v>
      </c>
      <c r="D13" s="495">
        <f t="shared" si="0"/>
        <v>100.9</v>
      </c>
      <c r="E13" s="578">
        <v>133.19999999999999</v>
      </c>
      <c r="F13" s="314"/>
      <c r="G13" s="314">
        <f t="shared" si="1"/>
        <v>-100</v>
      </c>
      <c r="H13" s="578">
        <v>1136.2860000000001</v>
      </c>
      <c r="I13" s="314">
        <v>4056.3662176899998</v>
      </c>
      <c r="J13" s="495">
        <f t="shared" si="2"/>
        <v>257</v>
      </c>
      <c r="K13" s="578"/>
      <c r="L13" s="314"/>
      <c r="M13" s="495" t="str">
        <f t="shared" si="3"/>
        <v xml:space="preserve">    ---- </v>
      </c>
      <c r="N13" s="578">
        <v>39.81</v>
      </c>
      <c r="O13" s="314"/>
      <c r="P13" s="495">
        <f t="shared" si="4"/>
        <v>-100</v>
      </c>
      <c r="Q13" s="578">
        <v>437</v>
      </c>
      <c r="R13" s="314">
        <v>1196.0999999999999</v>
      </c>
      <c r="S13" s="495">
        <f t="shared" si="5"/>
        <v>173.7</v>
      </c>
      <c r="T13" s="578"/>
      <c r="U13" s="314"/>
      <c r="V13" s="495"/>
      <c r="W13" s="578">
        <v>2502.9346030000002</v>
      </c>
      <c r="X13" s="314">
        <v>0</v>
      </c>
      <c r="Y13" s="495">
        <f t="shared" si="6"/>
        <v>-100</v>
      </c>
      <c r="Z13" s="578">
        <v>2345</v>
      </c>
      <c r="AA13" s="314">
        <v>1572</v>
      </c>
      <c r="AB13" s="495">
        <f t="shared" si="7"/>
        <v>-33</v>
      </c>
      <c r="AC13" s="578">
        <v>0</v>
      </c>
      <c r="AD13" s="314">
        <v>13</v>
      </c>
      <c r="AE13" s="495"/>
      <c r="AF13" s="578">
        <v>38.703149000000003</v>
      </c>
      <c r="AG13" s="314">
        <v>30.489736000000001</v>
      </c>
      <c r="AH13" s="495">
        <f t="shared" si="9"/>
        <v>-21.2</v>
      </c>
      <c r="AI13" s="578">
        <v>440.66673795000008</v>
      </c>
      <c r="AJ13" s="314">
        <v>1721.5162105399997</v>
      </c>
      <c r="AK13" s="495">
        <f t="shared" si="10"/>
        <v>290.7</v>
      </c>
      <c r="AL13" s="578">
        <v>4638</v>
      </c>
      <c r="AM13" s="314">
        <v>7814</v>
      </c>
      <c r="AN13" s="495">
        <f t="shared" si="11"/>
        <v>68.5</v>
      </c>
      <c r="AO13" s="495">
        <f t="shared" si="14"/>
        <v>11945.054340950002</v>
      </c>
      <c r="AP13" s="495">
        <f t="shared" si="14"/>
        <v>16919.665428230001</v>
      </c>
      <c r="AQ13" s="495">
        <f t="shared" si="12"/>
        <v>41.6</v>
      </c>
      <c r="AR13" s="498">
        <f t="shared" si="15"/>
        <v>11983.75748995</v>
      </c>
      <c r="AS13" s="498">
        <f t="shared" si="15"/>
        <v>16950.15516423</v>
      </c>
      <c r="AT13" s="495">
        <f t="shared" si="13"/>
        <v>41.4</v>
      </c>
    </row>
    <row r="14" spans="1:46" s="471" customFormat="1" ht="18.75" customHeight="1" x14ac:dyDescent="0.3">
      <c r="A14" s="493" t="s">
        <v>272</v>
      </c>
      <c r="B14" s="607">
        <f>SUM(B11:B13)</f>
        <v>908.49099999999999</v>
      </c>
      <c r="C14" s="608">
        <f>SUM(C11:C13)</f>
        <v>1227.953</v>
      </c>
      <c r="D14" s="495">
        <f t="shared" si="0"/>
        <v>35.200000000000003</v>
      </c>
      <c r="E14" s="577">
        <f>SUM(E11:E13)</f>
        <v>313.39999999999998</v>
      </c>
      <c r="F14" s="411"/>
      <c r="G14" s="314">
        <f t="shared" si="1"/>
        <v>-100</v>
      </c>
      <c r="H14" s="577">
        <f>SUM(H11:H13)</f>
        <v>5315.1260000000002</v>
      </c>
      <c r="I14" s="411">
        <f>SUM(I11:I13)</f>
        <v>8526.3415012000005</v>
      </c>
      <c r="J14" s="495">
        <f t="shared" si="2"/>
        <v>60.4</v>
      </c>
      <c r="K14" s="577">
        <v>873.26438257999985</v>
      </c>
      <c r="L14" s="411">
        <f>SUM(L11:L13)</f>
        <v>926.16331982000008</v>
      </c>
      <c r="M14" s="495">
        <f t="shared" si="3"/>
        <v>6.1</v>
      </c>
      <c r="N14" s="577">
        <f>SUM(N11:N13)</f>
        <v>751.12699999999995</v>
      </c>
      <c r="O14" s="411">
        <f>SUM(O11:O13)</f>
        <v>559.16700000000003</v>
      </c>
      <c r="P14" s="495">
        <f t="shared" si="4"/>
        <v>-25.6</v>
      </c>
      <c r="Q14" s="577">
        <f>SUM(Q11:Q13)</f>
        <v>1447.6</v>
      </c>
      <c r="R14" s="411">
        <f>SUM(R11:R13)</f>
        <v>2317.4</v>
      </c>
      <c r="S14" s="495">
        <f t="shared" si="5"/>
        <v>60.1</v>
      </c>
      <c r="T14" s="577">
        <f>SUM(T11:T13)</f>
        <v>8.9698688000000004</v>
      </c>
      <c r="U14" s="411">
        <f>SUM(U11:U13)</f>
        <v>8.8402157599999995</v>
      </c>
      <c r="V14" s="495">
        <f>IF(T14=0, "    ---- ", IF(ABS(ROUND(100/T14*U14-100,1))&lt;999,ROUND(100/T14*U14-100,1),IF(ROUND(100/T14*U14-100,1)&gt;999,999,-999)))</f>
        <v>-1.4</v>
      </c>
      <c r="W14" s="577">
        <v>9588.7519118100008</v>
      </c>
      <c r="X14" s="411">
        <v>7040.9092229600001</v>
      </c>
      <c r="Y14" s="495">
        <f t="shared" si="6"/>
        <v>-26.6</v>
      </c>
      <c r="Z14" s="577">
        <f>SUM(Z11:Z13)</f>
        <v>6056.6399999999994</v>
      </c>
      <c r="AA14" s="411">
        <f>SUM(AA11:AA13)</f>
        <v>6838.33</v>
      </c>
      <c r="AB14" s="495">
        <f t="shared" si="7"/>
        <v>12.9</v>
      </c>
      <c r="AC14" s="577">
        <f>SUM(AC11:AC13)</f>
        <v>596</v>
      </c>
      <c r="AD14" s="411">
        <f>SUM(AD11:AD13)</f>
        <v>836</v>
      </c>
      <c r="AE14" s="495">
        <f t="shared" si="8"/>
        <v>40.299999999999997</v>
      </c>
      <c r="AF14" s="577">
        <f>SUM(AF11:AF13)</f>
        <v>79.396699900000002</v>
      </c>
      <c r="AG14" s="411">
        <f>SUM(AG11:AG13)</f>
        <v>73.957986900000009</v>
      </c>
      <c r="AH14" s="495">
        <f t="shared" si="9"/>
        <v>-6.9</v>
      </c>
      <c r="AI14" s="577">
        <f>SUM(AI11:AI13)</f>
        <v>1873.4688990400005</v>
      </c>
      <c r="AJ14" s="411">
        <f>SUM(AJ11:AJ13)</f>
        <v>3344.9737330500002</v>
      </c>
      <c r="AK14" s="495">
        <f t="shared" si="10"/>
        <v>78.5</v>
      </c>
      <c r="AL14" s="577">
        <f>SUM(AL11:AL13)</f>
        <v>10598</v>
      </c>
      <c r="AM14" s="411">
        <f>SUM(AM11:AM13)</f>
        <v>13714</v>
      </c>
      <c r="AN14" s="495">
        <f t="shared" si="11"/>
        <v>29.4</v>
      </c>
      <c r="AO14" s="495">
        <f t="shared" si="14"/>
        <v>38321.86919343</v>
      </c>
      <c r="AP14" s="495">
        <f t="shared" si="14"/>
        <v>45331.237777030001</v>
      </c>
      <c r="AQ14" s="495">
        <f t="shared" si="12"/>
        <v>18.3</v>
      </c>
      <c r="AR14" s="498">
        <f t="shared" si="15"/>
        <v>38410.235762130003</v>
      </c>
      <c r="AS14" s="498">
        <f t="shared" si="15"/>
        <v>45414.035979690001</v>
      </c>
      <c r="AT14" s="495">
        <f t="shared" si="13"/>
        <v>18.2</v>
      </c>
    </row>
    <row r="15" spans="1:46" s="471" customFormat="1" ht="18.75" customHeight="1" x14ac:dyDescent="0.3">
      <c r="A15" s="493" t="s">
        <v>273</v>
      </c>
      <c r="B15" s="193">
        <v>-13.523999999999999</v>
      </c>
      <c r="C15" s="421">
        <v>-0.52</v>
      </c>
      <c r="D15" s="495">
        <f t="shared" si="0"/>
        <v>-96.2</v>
      </c>
      <c r="E15" s="193">
        <v>3.5</v>
      </c>
      <c r="F15" s="421"/>
      <c r="G15" s="314">
        <f t="shared" si="1"/>
        <v>-100</v>
      </c>
      <c r="H15" s="193">
        <v>-5843.9740000000002</v>
      </c>
      <c r="I15" s="421">
        <v>1582.7881698599997</v>
      </c>
      <c r="J15" s="495">
        <f t="shared" si="2"/>
        <v>-127.1</v>
      </c>
      <c r="K15" s="612">
        <v>-36.439256470000004</v>
      </c>
      <c r="L15" s="555">
        <v>28.438645959999992</v>
      </c>
      <c r="M15" s="495">
        <f t="shared" si="3"/>
        <v>-178</v>
      </c>
      <c r="N15" s="612">
        <v>-41.066000000000003</v>
      </c>
      <c r="O15" s="555">
        <v>16.571999999999999</v>
      </c>
      <c r="P15" s="495">
        <f t="shared" si="4"/>
        <v>-140.4</v>
      </c>
      <c r="Q15" s="193">
        <v>-8.6</v>
      </c>
      <c r="R15" s="421">
        <v>65.3</v>
      </c>
      <c r="S15" s="495">
        <f t="shared" si="5"/>
        <v>-859.3</v>
      </c>
      <c r="T15" s="604"/>
      <c r="U15" s="553"/>
      <c r="V15" s="495"/>
      <c r="W15" s="193">
        <v>-21205.454565060001</v>
      </c>
      <c r="X15" s="421">
        <v>8892.5592317499995</v>
      </c>
      <c r="Y15" s="495">
        <f t="shared" si="6"/>
        <v>-141.9</v>
      </c>
      <c r="Z15" s="193">
        <v>-437.89</v>
      </c>
      <c r="AA15" s="421">
        <v>1314.15</v>
      </c>
      <c r="AB15" s="495">
        <f t="shared" si="7"/>
        <v>-400.1</v>
      </c>
      <c r="AC15" s="193">
        <v>-4209</v>
      </c>
      <c r="AD15" s="421">
        <v>3233</v>
      </c>
      <c r="AE15" s="495">
        <f t="shared" si="8"/>
        <v>-176.8</v>
      </c>
      <c r="AF15" s="604"/>
      <c r="AG15" s="553"/>
      <c r="AH15" s="495"/>
      <c r="AI15" s="616">
        <v>-952.69749095999998</v>
      </c>
      <c r="AJ15" s="500">
        <v>284.73867136000001</v>
      </c>
      <c r="AK15" s="495">
        <f t="shared" si="10"/>
        <v>-129.9</v>
      </c>
      <c r="AL15" s="193">
        <v>1255</v>
      </c>
      <c r="AM15" s="421">
        <v>11</v>
      </c>
      <c r="AN15" s="495">
        <f t="shared" si="11"/>
        <v>-99.1</v>
      </c>
      <c r="AO15" s="495">
        <f t="shared" si="14"/>
        <v>-31490.14531249</v>
      </c>
      <c r="AP15" s="495">
        <f t="shared" si="14"/>
        <v>15428.026718929999</v>
      </c>
      <c r="AQ15" s="495">
        <f t="shared" si="12"/>
        <v>-149</v>
      </c>
      <c r="AR15" s="498">
        <f t="shared" si="15"/>
        <v>-31490.14531249</v>
      </c>
      <c r="AS15" s="498">
        <f t="shared" si="15"/>
        <v>15428.026718929999</v>
      </c>
      <c r="AT15" s="495">
        <f t="shared" si="13"/>
        <v>-149</v>
      </c>
    </row>
    <row r="16" spans="1:46" s="471" customFormat="1" ht="18.75" customHeight="1" x14ac:dyDescent="0.3">
      <c r="A16" s="493" t="s">
        <v>274</v>
      </c>
      <c r="B16" s="193">
        <v>-2479.1529999999998</v>
      </c>
      <c r="C16" s="421">
        <v>772.12800000000004</v>
      </c>
      <c r="D16" s="495">
        <f t="shared" si="0"/>
        <v>-131.1</v>
      </c>
      <c r="E16" s="193">
        <v>-606.20000000000005</v>
      </c>
      <c r="F16" s="421"/>
      <c r="G16" s="655">
        <f t="shared" si="1"/>
        <v>-100</v>
      </c>
      <c r="H16" s="193">
        <v>-12961.332</v>
      </c>
      <c r="I16" s="421">
        <v>4316.718050999998</v>
      </c>
      <c r="J16" s="495">
        <f t="shared" si="2"/>
        <v>-133.30000000000001</v>
      </c>
      <c r="K16" s="612"/>
      <c r="L16" s="555"/>
      <c r="M16" s="495" t="str">
        <f t="shared" si="3"/>
        <v xml:space="preserve">    ---- </v>
      </c>
      <c r="N16" s="612">
        <v>-477.90600000000001</v>
      </c>
      <c r="O16" s="555"/>
      <c r="P16" s="495">
        <f t="shared" si="4"/>
        <v>-100</v>
      </c>
      <c r="Q16" s="193">
        <v>-3648.2</v>
      </c>
      <c r="R16" s="421">
        <v>1108.7</v>
      </c>
      <c r="S16" s="494">
        <f t="shared" si="5"/>
        <v>-130.4</v>
      </c>
      <c r="T16" s="604"/>
      <c r="U16" s="553"/>
      <c r="V16" s="501"/>
      <c r="W16" s="193">
        <v>-129.91958181999999</v>
      </c>
      <c r="X16" s="421">
        <v>38.759396049999999</v>
      </c>
      <c r="Y16" s="501">
        <f t="shared" si="6"/>
        <v>-129.80000000000001</v>
      </c>
      <c r="Z16" s="193">
        <v>-9350.11</v>
      </c>
      <c r="AA16" s="421">
        <v>3394.01</v>
      </c>
      <c r="AB16" s="495">
        <f t="shared" si="7"/>
        <v>-136.30000000000001</v>
      </c>
      <c r="AC16" s="193"/>
      <c r="AD16" s="421"/>
      <c r="AE16" s="495"/>
      <c r="AF16" s="612">
        <v>-257.31517472000002</v>
      </c>
      <c r="AG16" s="553">
        <v>104.81221446000001</v>
      </c>
      <c r="AH16" s="495">
        <f t="shared" si="9"/>
        <v>-140.69999999999999</v>
      </c>
      <c r="AI16" s="616">
        <v>-5510.7116976399993</v>
      </c>
      <c r="AJ16" s="500">
        <v>2235.2823584700004</v>
      </c>
      <c r="AK16" s="495">
        <f t="shared" si="10"/>
        <v>-140.6</v>
      </c>
      <c r="AL16" s="193">
        <v>-14830</v>
      </c>
      <c r="AM16" s="421">
        <v>5766</v>
      </c>
      <c r="AN16" s="495">
        <f t="shared" si="11"/>
        <v>-138.9</v>
      </c>
      <c r="AO16" s="495">
        <f t="shared" si="14"/>
        <v>-49993.532279459992</v>
      </c>
      <c r="AP16" s="495">
        <f t="shared" si="14"/>
        <v>17631.597805519996</v>
      </c>
      <c r="AQ16" s="495">
        <f t="shared" si="12"/>
        <v>-135.30000000000001</v>
      </c>
      <c r="AR16" s="498">
        <f t="shared" si="15"/>
        <v>-50250.847454179995</v>
      </c>
      <c r="AS16" s="498">
        <f t="shared" si="15"/>
        <v>17736.410019979998</v>
      </c>
      <c r="AT16" s="495">
        <f t="shared" si="13"/>
        <v>-135.30000000000001</v>
      </c>
    </row>
    <row r="17" spans="1:46" s="471" customFormat="1" ht="18.75" customHeight="1" x14ac:dyDescent="0.3">
      <c r="A17" s="493" t="s">
        <v>275</v>
      </c>
      <c r="B17" s="193"/>
      <c r="C17" s="421"/>
      <c r="D17" s="495"/>
      <c r="E17" s="193">
        <v>3.5</v>
      </c>
      <c r="F17" s="421"/>
      <c r="G17" s="314">
        <f t="shared" si="1"/>
        <v>-100</v>
      </c>
      <c r="H17" s="193">
        <v>6.2320000000000002</v>
      </c>
      <c r="I17" s="421">
        <v>13.110498710000002</v>
      </c>
      <c r="J17" s="495">
        <f t="shared" si="2"/>
        <v>110.4</v>
      </c>
      <c r="K17" s="612">
        <v>2.7644885299999995</v>
      </c>
      <c r="L17" s="555">
        <v>1.8480886400000001</v>
      </c>
      <c r="M17" s="495">
        <f t="shared" si="3"/>
        <v>-33.1</v>
      </c>
      <c r="N17" s="612">
        <v>68.659000000000006</v>
      </c>
      <c r="O17" s="555">
        <v>3.3000000000000002E-2</v>
      </c>
      <c r="P17" s="495">
        <f t="shared" si="4"/>
        <v>-100</v>
      </c>
      <c r="Q17" s="193">
        <v>43.5</v>
      </c>
      <c r="R17" s="421">
        <v>51.3</v>
      </c>
      <c r="S17" s="495"/>
      <c r="T17" s="604"/>
      <c r="U17" s="553"/>
      <c r="V17" s="495"/>
      <c r="W17" s="193">
        <v>295.271051</v>
      </c>
      <c r="X17" s="421">
        <v>306.01140299999997</v>
      </c>
      <c r="Y17" s="495">
        <f t="shared" si="6"/>
        <v>3.6</v>
      </c>
      <c r="Z17" s="193">
        <v>51.47</v>
      </c>
      <c r="AA17" s="421">
        <v>82.75</v>
      </c>
      <c r="AB17" s="495">
        <f t="shared" si="7"/>
        <v>60.8</v>
      </c>
      <c r="AC17" s="193">
        <v>54</v>
      </c>
      <c r="AD17" s="421">
        <v>3</v>
      </c>
      <c r="AE17" s="495">
        <f t="shared" si="8"/>
        <v>-94.4</v>
      </c>
      <c r="AF17" s="604"/>
      <c r="AG17" s="553"/>
      <c r="AH17" s="495"/>
      <c r="AI17" s="616">
        <v>56.224908640000002</v>
      </c>
      <c r="AJ17" s="500">
        <v>79.060050080000011</v>
      </c>
      <c r="AK17" s="495">
        <f t="shared" si="10"/>
        <v>40.6</v>
      </c>
      <c r="AL17" s="193">
        <v>185</v>
      </c>
      <c r="AM17" s="421">
        <v>188</v>
      </c>
      <c r="AN17" s="495">
        <f t="shared" si="11"/>
        <v>1.6</v>
      </c>
      <c r="AO17" s="495">
        <f t="shared" si="14"/>
        <v>766.62144817000001</v>
      </c>
      <c r="AP17" s="495">
        <f t="shared" si="14"/>
        <v>725.11304042999996</v>
      </c>
      <c r="AQ17" s="495">
        <f t="shared" si="12"/>
        <v>-5.4</v>
      </c>
      <c r="AR17" s="498">
        <f t="shared" si="15"/>
        <v>766.62144817000001</v>
      </c>
      <c r="AS17" s="498">
        <f t="shared" si="15"/>
        <v>725.11304042999996</v>
      </c>
      <c r="AT17" s="495">
        <f t="shared" si="13"/>
        <v>-5.4</v>
      </c>
    </row>
    <row r="18" spans="1:46" s="471" customFormat="1" ht="18.75" customHeight="1" x14ac:dyDescent="0.3">
      <c r="A18" s="493" t="s">
        <v>276</v>
      </c>
      <c r="B18" s="193"/>
      <c r="C18" s="421"/>
      <c r="D18" s="495"/>
      <c r="E18" s="193"/>
      <c r="F18" s="421"/>
      <c r="G18" s="314"/>
      <c r="H18" s="193"/>
      <c r="I18" s="421"/>
      <c r="J18" s="495"/>
      <c r="K18" s="612"/>
      <c r="L18" s="555"/>
      <c r="M18" s="495"/>
      <c r="N18" s="612"/>
      <c r="O18" s="555"/>
      <c r="P18" s="495"/>
      <c r="Q18" s="193"/>
      <c r="R18" s="421"/>
      <c r="S18" s="494"/>
      <c r="T18" s="604"/>
      <c r="U18" s="553"/>
      <c r="V18" s="495"/>
      <c r="W18" s="193"/>
      <c r="X18" s="421"/>
      <c r="Y18" s="495"/>
      <c r="Z18" s="619"/>
      <c r="AA18" s="502"/>
      <c r="AB18" s="495"/>
      <c r="AC18" s="193"/>
      <c r="AD18" s="421"/>
      <c r="AE18" s="495"/>
      <c r="AF18" s="604"/>
      <c r="AG18" s="553"/>
      <c r="AH18" s="495"/>
      <c r="AI18" s="616"/>
      <c r="AJ18" s="500"/>
      <c r="AK18" s="495"/>
      <c r="AL18" s="193"/>
      <c r="AM18" s="421"/>
      <c r="AN18" s="495"/>
      <c r="AO18" s="495"/>
      <c r="AP18" s="495"/>
      <c r="AQ18" s="495"/>
      <c r="AR18" s="503"/>
      <c r="AS18" s="503"/>
      <c r="AT18" s="497"/>
    </row>
    <row r="19" spans="1:46" s="471" customFormat="1" ht="18.75" customHeight="1" x14ac:dyDescent="0.3">
      <c r="A19" s="493" t="s">
        <v>277</v>
      </c>
      <c r="B19" s="577">
        <f>-297.914+11.13</f>
        <v>-286.78399999999999</v>
      </c>
      <c r="C19" s="411">
        <f>-193.122+10.876</f>
        <v>-182.24600000000001</v>
      </c>
      <c r="D19" s="495">
        <f>IF(B19=0, "    ---- ", IF(ABS(ROUND(100/B19*C19-100,1))&lt;999,ROUND(100/B19*C19-100,1),IF(ROUND(100/B19*C19-100,1)&gt;999,999,-999)))</f>
        <v>-36.5</v>
      </c>
      <c r="E19" s="577">
        <v>-24.2</v>
      </c>
      <c r="F19" s="411"/>
      <c r="G19" s="314">
        <f t="shared" si="1"/>
        <v>-100</v>
      </c>
      <c r="H19" s="577">
        <v>-3735.3530000000001</v>
      </c>
      <c r="I19" s="411">
        <v>-3627.2435379300009</v>
      </c>
      <c r="J19" s="495">
        <f>IF(H19=0, "    ---- ", IF(ABS(ROUND(100/H19*I19-100,1))&lt;999,ROUND(100/H19*I19-100,1),IF(ROUND(100/H19*I19-100,1)&gt;999,999,-999)))</f>
        <v>-2.9</v>
      </c>
      <c r="K19" s="577">
        <v>-329.35843246000002</v>
      </c>
      <c r="L19" s="411">
        <v>-355.30508230000004</v>
      </c>
      <c r="M19" s="495">
        <f>IF(K19=0, "    ---- ", IF(ABS(ROUND(100/K19*L19-100,1))&lt;999,ROUND(100/K19*L19-100,1),IF(ROUND(100/K19*L19-100,1)&gt;999,999,-999)))</f>
        <v>7.9</v>
      </c>
      <c r="N19" s="577">
        <v>-34.496000000000002</v>
      </c>
      <c r="O19" s="411">
        <v>-32.494</v>
      </c>
      <c r="P19" s="495">
        <f>IF(N19=0, "    ---- ", IF(ABS(ROUND(100/N19*O19-100,1))&lt;999,ROUND(100/N19*O19-100,1),IF(ROUND(100/N19*O19-100,1)&gt;999,999,-999)))</f>
        <v>-5.8</v>
      </c>
      <c r="Q19" s="577">
        <f>-155.8-0.4</f>
        <v>-156.20000000000002</v>
      </c>
      <c r="R19" s="411">
        <v>-181.6</v>
      </c>
      <c r="S19" s="495">
        <f>IF(Q19=0, "    ---- ", IF(ABS(ROUND(100/Q19*R19-100,1))&lt;999,ROUND(100/Q19*R19-100,1),IF(ROUND(100/Q19*R19-100,1)&gt;999,999,-999)))</f>
        <v>16.3</v>
      </c>
      <c r="T19" s="577">
        <v>-4.6502949999999998</v>
      </c>
      <c r="U19" s="411">
        <v>-5.2515320000000001</v>
      </c>
      <c r="V19" s="495">
        <f>IF(T19=0, "    ---- ", IF(ABS(ROUND(100/T19*U19-100,1))&lt;999,ROUND(100/T19*U19-100,1),IF(ROUND(100/T19*U19-100,1)&gt;999,999,-999)))</f>
        <v>12.9</v>
      </c>
      <c r="W19" s="193">
        <v>-5100.5808209999996</v>
      </c>
      <c r="X19" s="411">
        <v>-5335.073378</v>
      </c>
      <c r="Y19" s="495">
        <f>IF(W19=0, "    ---- ", IF(ABS(ROUND(100/W19*X19-100,1))&lt;999,ROUND(100/W19*X19-100,1),IF(ROUND(100/W19*X19-100,1)&gt;999,999,-999)))</f>
        <v>4.5999999999999996</v>
      </c>
      <c r="Z19" s="577">
        <v>-3354.51</v>
      </c>
      <c r="AA19" s="411">
        <v>-1525.97</v>
      </c>
      <c r="AB19" s="495">
        <f>IF(Z19=0, "    ---- ", IF(ABS(ROUND(100/Z19*AA19-100,1))&lt;999,ROUND(100/Z19*AA19-100,1),IF(ROUND(100/Z19*AA19-100,1)&gt;999,999,-999)))</f>
        <v>-54.5</v>
      </c>
      <c r="AC19" s="577">
        <v>-766</v>
      </c>
      <c r="AD19" s="411">
        <v>-755</v>
      </c>
      <c r="AE19" s="495">
        <f>IF(AC19=0, "    ---- ", IF(ABS(ROUND(100/AC19*AD19-100,1))&lt;999,ROUND(100/AC19*AD19-100,1),IF(ROUND(100/AC19*AD19-100,1)&gt;999,999,-999)))</f>
        <v>-1.4</v>
      </c>
      <c r="AF19" s="577">
        <v>-86.818258420000006</v>
      </c>
      <c r="AG19" s="411">
        <v>-46.485803480000001</v>
      </c>
      <c r="AH19" s="495">
        <f>IF(AF19=0, "    ---- ", IF(ABS(ROUND(100/AF19*AG19-100,1))&lt;999,ROUND(100/AF19*AG19-100,1),IF(ROUND(100/AF19*AG19-100,1)&gt;999,999,-999)))</f>
        <v>-46.5</v>
      </c>
      <c r="AI19" s="617">
        <v>-403.24928158999995</v>
      </c>
      <c r="AJ19" s="504">
        <v>-397.74662798999992</v>
      </c>
      <c r="AK19" s="495">
        <f>IF(AI19=0, "    ---- ", IF(ABS(ROUND(100/AI19*AJ19-100,1))&lt;999,ROUND(100/AI19*AJ19-100,1),IF(ROUND(100/AI19*AJ19-100,1)&gt;999,999,-999)))</f>
        <v>-1.4</v>
      </c>
      <c r="AL19" s="577">
        <v>-3488</v>
      </c>
      <c r="AM19" s="411">
        <f>-3065+7</f>
        <v>-3058</v>
      </c>
      <c r="AN19" s="495">
        <f>IF(AL19=0, "    ---- ", IF(ABS(ROUND(100/AL19*AM19-100,1))&lt;999,ROUND(100/AL19*AM19-100,1),IF(ROUND(100/AL19*AM19-100,1)&gt;999,999,-999)))</f>
        <v>-12.3</v>
      </c>
      <c r="AO19" s="495">
        <f t="shared" ref="AO19:AP21" si="16">B19+H19+K19+N19+Q19+W19+Z19+AC19+AI19+AL19+E19</f>
        <v>-17678.731535050003</v>
      </c>
      <c r="AP19" s="495">
        <f t="shared" si="16"/>
        <v>-15450.67862622</v>
      </c>
      <c r="AQ19" s="495">
        <f t="shared" si="12"/>
        <v>-12.6</v>
      </c>
      <c r="AR19" s="498">
        <f t="shared" ref="AR19:AS21" si="17">+B19+H19+K19+N19+Q19+T19+W19+E19+Z19+AC19+AF19+AI19+AL19</f>
        <v>-17770.200088470003</v>
      </c>
      <c r="AS19" s="498">
        <f t="shared" si="17"/>
        <v>-15502.4159617</v>
      </c>
      <c r="AT19" s="495">
        <f>IF(AR19=0, "    ---- ", IF(ABS(ROUND(100/AR19*AS19-100,1))&lt;999,ROUND(100/AR19*AS19-100,1),IF(ROUND(100/AR19*AS19-100,1)&gt;999,999,-999)))</f>
        <v>-12.8</v>
      </c>
    </row>
    <row r="20" spans="1:46" s="471" customFormat="1" ht="18.75" customHeight="1" x14ac:dyDescent="0.3">
      <c r="A20" s="493" t="s">
        <v>339</v>
      </c>
      <c r="B20" s="578">
        <v>-240.268</v>
      </c>
      <c r="C20" s="314">
        <v>-618.60199999999998</v>
      </c>
      <c r="D20" s="495">
        <f>IF(B20=0, "    ---- ", IF(ABS(ROUND(100/B20*C20-100,1))&lt;999,ROUND(100/B20*C20-100,1),IF(ROUND(100/B20*C20-100,1)&gt;999,999,-999)))</f>
        <v>157.5</v>
      </c>
      <c r="E20" s="578">
        <v>-20.6</v>
      </c>
      <c r="F20" s="314"/>
      <c r="G20" s="314">
        <f t="shared" si="1"/>
        <v>-100</v>
      </c>
      <c r="H20" s="578">
        <v>-4592.7340000000004</v>
      </c>
      <c r="I20" s="314">
        <v>-4183.9956177599997</v>
      </c>
      <c r="J20" s="495">
        <f>IF(H20=0, "    ---- ", IF(ABS(ROUND(100/H20*I20-100,1))&lt;999,ROUND(100/H20*I20-100,1),IF(ROUND(100/H20*I20-100,1)&gt;999,999,-999)))</f>
        <v>-8.9</v>
      </c>
      <c r="K20" s="578"/>
      <c r="L20" s="314">
        <v>36.321869530000001</v>
      </c>
      <c r="M20" s="495" t="str">
        <f>IF(K20=0, "    ---- ", IF(ABS(ROUND(100/K20*L20-100,1))&lt;999,ROUND(100/K20*L20-100,1),IF(ROUND(100/K20*L20-100,1)&gt;999,999,-999)))</f>
        <v xml:space="preserve">    ---- </v>
      </c>
      <c r="N20" s="578">
        <v>-61.012999999999998</v>
      </c>
      <c r="O20" s="314"/>
      <c r="P20" s="495">
        <f>IF(N20=0, "    ---- ", IF(ABS(ROUND(100/N20*O20-100,1))&lt;999,ROUND(100/N20*O20-100,1),IF(ROUND(100/N20*O20-100,1)&gt;999,999,-999)))</f>
        <v>-100</v>
      </c>
      <c r="Q20" s="578">
        <v>-1463.7</v>
      </c>
      <c r="R20" s="314">
        <v>-1431.6</v>
      </c>
      <c r="S20" s="495">
        <f>IF(Q20=0, "    ---- ", IF(ABS(ROUND(100/Q20*R20-100,1))&lt;999,ROUND(100/Q20*R20-100,1),IF(ROUND(100/Q20*R20-100,1)&gt;999,999,-999)))</f>
        <v>-2.2000000000000002</v>
      </c>
      <c r="T20" s="578"/>
      <c r="U20" s="314"/>
      <c r="V20" s="495"/>
      <c r="W20" s="193">
        <v>-6377.2656059999999</v>
      </c>
      <c r="X20" s="314">
        <v>-8418.8035180000006</v>
      </c>
      <c r="Y20" s="495">
        <f>IF(W20=0, "    ---- ", IF(ABS(ROUND(100/W20*X20-100,1))&lt;999,ROUND(100/W20*X20-100,1),IF(ROUND(100/W20*X20-100,1)&gt;999,999,-999)))</f>
        <v>32</v>
      </c>
      <c r="Z20" s="618">
        <v>-939</v>
      </c>
      <c r="AA20" s="505">
        <v>-1813</v>
      </c>
      <c r="AB20" s="495">
        <f>IF(Z20=0, "    ---- ", IF(ABS(ROUND(100/Z20*AA20-100,1))&lt;999,ROUND(100/Z20*AA20-100,1),IF(ROUND(100/Z20*AA20-100,1)&gt;999,999,-999)))</f>
        <v>93.1</v>
      </c>
      <c r="AC20" s="618">
        <v>-41</v>
      </c>
      <c r="AD20" s="505">
        <v>0</v>
      </c>
      <c r="AE20" s="495"/>
      <c r="AF20" s="578">
        <v>-4.52384567</v>
      </c>
      <c r="AG20" s="411">
        <v>-9.9322434000000008</v>
      </c>
      <c r="AH20" s="495">
        <f>IF(AF20=0, "    ---- ", IF(ABS(ROUND(100/AF20*AG20-100,1))&lt;999,ROUND(100/AF20*AG20-100,1),IF(ROUND(100/AF20*AG20-100,1)&gt;999,999,-999)))</f>
        <v>119.6</v>
      </c>
      <c r="AI20" s="618">
        <v>-237.26544795000001</v>
      </c>
      <c r="AJ20" s="505">
        <v>-1504.8587970100002</v>
      </c>
      <c r="AK20" s="495">
        <f>IF(AI20=0, "    ---- ", IF(ABS(ROUND(100/AI20*AJ20-100,1))&lt;999,ROUND(100/AI20*AJ20-100,1),IF(ROUND(100/AI20*AJ20-100,1)&gt;999,999,-999)))</f>
        <v>534.29999999999995</v>
      </c>
      <c r="AL20" s="578">
        <v>-1682</v>
      </c>
      <c r="AM20" s="314">
        <v>-2726</v>
      </c>
      <c r="AN20" s="495">
        <f>IF(AL20=0, "    ---- ", IF(ABS(ROUND(100/AL20*AM20-100,1))&lt;999,ROUND(100/AL20*AM20-100,1),IF(ROUND(100/AL20*AM20-100,1)&gt;999,999,-999)))</f>
        <v>62.1</v>
      </c>
      <c r="AO20" s="495">
        <f t="shared" si="16"/>
        <v>-15654.846053950001</v>
      </c>
      <c r="AP20" s="495">
        <f t="shared" si="16"/>
        <v>-20660.538063240001</v>
      </c>
      <c r="AQ20" s="495">
        <f t="shared" si="12"/>
        <v>32</v>
      </c>
      <c r="AR20" s="498">
        <f t="shared" si="17"/>
        <v>-15659.369899620002</v>
      </c>
      <c r="AS20" s="498">
        <f t="shared" si="17"/>
        <v>-20670.47030664</v>
      </c>
      <c r="AT20" s="495">
        <f>IF(AR20=0, "    ---- ", IF(ABS(ROUND(100/AR20*AS20-100,1))&lt;999,ROUND(100/AR20*AS20-100,1),IF(ROUND(100/AR20*AS20-100,1)&gt;999,999,-999)))</f>
        <v>32</v>
      </c>
    </row>
    <row r="21" spans="1:46" s="471" customFormat="1" ht="18.75" customHeight="1" x14ac:dyDescent="0.3">
      <c r="A21" s="493" t="s">
        <v>278</v>
      </c>
      <c r="B21" s="577">
        <f>SUM(B19:B20)</f>
        <v>-527.05200000000002</v>
      </c>
      <c r="C21" s="411">
        <f>SUM(C19:C20)</f>
        <v>-800.84799999999996</v>
      </c>
      <c r="D21" s="495">
        <f>IF(B21=0, "    ---- ", IF(ABS(ROUND(100/B21*C21-100,1))&lt;999,ROUND(100/B21*C21-100,1),IF(ROUND(100/B21*C21-100,1)&gt;999,999,-999)))</f>
        <v>51.9</v>
      </c>
      <c r="E21" s="577">
        <f>SUM(E19:E20)</f>
        <v>-44.8</v>
      </c>
      <c r="F21" s="411"/>
      <c r="G21" s="314">
        <f t="shared" si="1"/>
        <v>-100</v>
      </c>
      <c r="H21" s="577">
        <f>SUM(H19:H20)</f>
        <v>-8328.0869999999995</v>
      </c>
      <c r="I21" s="411">
        <f>SUM(I19:I20)</f>
        <v>-7811.2391556900002</v>
      </c>
      <c r="J21" s="495">
        <f>IF(H21=0, "    ---- ", IF(ABS(ROUND(100/H21*I21-100,1))&lt;999,ROUND(100/H21*I21-100,1),IF(ROUND(100/H21*I21-100,1)&gt;999,999,-999)))</f>
        <v>-6.2</v>
      </c>
      <c r="K21" s="577">
        <v>-329.35843246000002</v>
      </c>
      <c r="L21" s="411">
        <f>SUM(L19:L20)</f>
        <v>-318.98321277000002</v>
      </c>
      <c r="M21" s="495">
        <f>IF(K21=0, "    ---- ", IF(ABS(ROUND(100/K21*L21-100,1))&lt;999,ROUND(100/K21*L21-100,1),IF(ROUND(100/K21*L21-100,1)&gt;999,999,-999)))</f>
        <v>-3.2</v>
      </c>
      <c r="N21" s="577">
        <f>SUM(N19:N20)</f>
        <v>-95.509</v>
      </c>
      <c r="O21" s="411">
        <f>SUM(O19:O20)</f>
        <v>-32.494</v>
      </c>
      <c r="P21" s="495">
        <f>IF(N21=0, "    ---- ", IF(ABS(ROUND(100/N21*O21-100,1))&lt;999,ROUND(100/N21*O21-100,1),IF(ROUND(100/N21*O21-100,1)&gt;999,999,-999)))</f>
        <v>-66</v>
      </c>
      <c r="Q21" s="577">
        <f>SUM(Q19:Q20)</f>
        <v>-1619.9</v>
      </c>
      <c r="R21" s="411">
        <f>SUM(R19:R20)</f>
        <v>-1613.1999999999998</v>
      </c>
      <c r="S21" s="495">
        <f>IF(Q21=0, "    ---- ", IF(ABS(ROUND(100/Q21*R21-100,1))&lt;999,ROUND(100/Q21*R21-100,1),IF(ROUND(100/Q21*R21-100,1)&gt;999,999,-999)))</f>
        <v>-0.4</v>
      </c>
      <c r="T21" s="577">
        <f>SUM(T19:T20)</f>
        <v>-4.6502949999999998</v>
      </c>
      <c r="U21" s="411">
        <f>SUM(U19:U20)</f>
        <v>-5.2515320000000001</v>
      </c>
      <c r="V21" s="495">
        <f>IF(T21=0, "    ---- ", IF(ABS(ROUND(100/T21*U21-100,1))&lt;999,ROUND(100/T21*U21-100,1),IF(ROUND(100/T21*U21-100,1)&gt;999,999,-999)))</f>
        <v>12.9</v>
      </c>
      <c r="W21" s="577">
        <v>-11477.846427</v>
      </c>
      <c r="X21" s="411">
        <v>-13753.876896000002</v>
      </c>
      <c r="Y21" s="495">
        <f>IF(W21=0, "    ---- ", IF(ABS(ROUND(100/W21*X21-100,1))&lt;999,ROUND(100/W21*X21-100,1),IF(ROUND(100/W21*X21-100,1)&gt;999,999,-999)))</f>
        <v>19.8</v>
      </c>
      <c r="Z21" s="577">
        <f>SUM(Z19:Z20)</f>
        <v>-4293.51</v>
      </c>
      <c r="AA21" s="411">
        <f>SUM(AA19:AA20)</f>
        <v>-3338.9700000000003</v>
      </c>
      <c r="AB21" s="495">
        <f>IF(Z21=0, "    ---- ", IF(ABS(ROUND(100/Z21*AA21-100,1))&lt;999,ROUND(100/Z21*AA21-100,1),IF(ROUND(100/Z21*AA21-100,1)&gt;999,999,-999)))</f>
        <v>-22.2</v>
      </c>
      <c r="AC21" s="577">
        <f>SUM(AC19:AC20)</f>
        <v>-807</v>
      </c>
      <c r="AD21" s="411">
        <f>SUM(AD19:AD20)</f>
        <v>-755</v>
      </c>
      <c r="AE21" s="495">
        <f>IF(AC21=0, "    ---- ", IF(ABS(ROUND(100/AC21*AD21-100,1))&lt;999,ROUND(100/AC21*AD21-100,1),IF(ROUND(100/AC21*AD21-100,1)&gt;999,999,-999)))</f>
        <v>-6.4</v>
      </c>
      <c r="AF21" s="577">
        <f>SUM(AF19:AF20)</f>
        <v>-91.342104090000007</v>
      </c>
      <c r="AG21" s="411">
        <f>SUM(AG19:AG20)</f>
        <v>-56.418046880000006</v>
      </c>
      <c r="AH21" s="495">
        <f>IF(AF21=0, "    ---- ", IF(ABS(ROUND(100/AF21*AG21-100,1))&lt;999,ROUND(100/AF21*AG21-100,1),IF(ROUND(100/AF21*AG21-100,1)&gt;999,999,-999)))</f>
        <v>-38.200000000000003</v>
      </c>
      <c r="AI21" s="577">
        <f>SUM(AI19:AI20)</f>
        <v>-640.51472953999996</v>
      </c>
      <c r="AJ21" s="411">
        <f>SUM(AJ19:AJ20)</f>
        <v>-1902.6054250000002</v>
      </c>
      <c r="AK21" s="495">
        <f>IF(AI21=0, "    ---- ", IF(ABS(ROUND(100/AI21*AJ21-100,1))&lt;999,ROUND(100/AI21*AJ21-100,1),IF(ROUND(100/AI21*AJ21-100,1)&gt;999,999,-999)))</f>
        <v>197</v>
      </c>
      <c r="AL21" s="577">
        <f>SUM(AL19:AL20)</f>
        <v>-5170</v>
      </c>
      <c r="AM21" s="411">
        <f>SUM(AM19:AM20)</f>
        <v>-5784</v>
      </c>
      <c r="AN21" s="495">
        <f>IF(AL21=0, "    ---- ", IF(ABS(ROUND(100/AL21*AM21-100,1))&lt;999,ROUND(100/AL21*AM21-100,1),IF(ROUND(100/AL21*AM21-100,1)&gt;999,999,-999)))</f>
        <v>11.9</v>
      </c>
      <c r="AO21" s="495">
        <f t="shared" si="16"/>
        <v>-33333.577589000008</v>
      </c>
      <c r="AP21" s="495">
        <f t="shared" si="16"/>
        <v>-36111.216689460009</v>
      </c>
      <c r="AQ21" s="495">
        <f t="shared" si="12"/>
        <v>8.3000000000000007</v>
      </c>
      <c r="AR21" s="498">
        <f t="shared" si="17"/>
        <v>-33429.569988089992</v>
      </c>
      <c r="AS21" s="498">
        <f t="shared" si="17"/>
        <v>-36172.886268340008</v>
      </c>
      <c r="AT21" s="495">
        <f>IF(AR21=0, "    ---- ", IF(ABS(ROUND(100/AR21*AS21-100,1))&lt;999,ROUND(100/AR21*AS21-100,1),IF(ROUND(100/AR21*AS21-100,1)&gt;999,999,-999)))</f>
        <v>8.1999999999999993</v>
      </c>
    </row>
    <row r="22" spans="1:46" s="471" customFormat="1" ht="18.75" customHeight="1" x14ac:dyDescent="0.3">
      <c r="A22" s="493" t="s">
        <v>279</v>
      </c>
      <c r="B22" s="193"/>
      <c r="C22" s="421"/>
      <c r="D22" s="495"/>
      <c r="E22" s="604"/>
      <c r="F22" s="553"/>
      <c r="G22" s="314"/>
      <c r="H22" s="193"/>
      <c r="I22" s="421"/>
      <c r="J22" s="495"/>
      <c r="K22" s="604"/>
      <c r="L22" s="553"/>
      <c r="M22" s="495"/>
      <c r="N22" s="604"/>
      <c r="O22" s="553"/>
      <c r="P22" s="495"/>
      <c r="Q22" s="193"/>
      <c r="R22" s="421"/>
      <c r="S22" s="495"/>
      <c r="T22" s="604"/>
      <c r="U22" s="553"/>
      <c r="V22" s="495"/>
      <c r="W22" s="193"/>
      <c r="X22" s="421"/>
      <c r="Y22" s="495"/>
      <c r="Z22" s="604"/>
      <c r="AA22" s="553"/>
      <c r="AB22" s="495"/>
      <c r="AC22" s="604"/>
      <c r="AD22" s="553"/>
      <c r="AE22" s="495"/>
      <c r="AF22" s="604"/>
      <c r="AG22" s="553"/>
      <c r="AH22" s="495"/>
      <c r="AI22" s="604"/>
      <c r="AJ22" s="553"/>
      <c r="AK22" s="495"/>
      <c r="AL22" s="193"/>
      <c r="AM22" s="421"/>
      <c r="AN22" s="495"/>
      <c r="AO22" s="495"/>
      <c r="AP22" s="495"/>
      <c r="AQ22" s="495"/>
      <c r="AR22" s="495"/>
      <c r="AS22" s="495"/>
      <c r="AT22" s="495"/>
    </row>
    <row r="23" spans="1:46" s="471" customFormat="1" ht="18.75" customHeight="1" x14ac:dyDescent="0.3">
      <c r="A23" s="493" t="s">
        <v>280</v>
      </c>
      <c r="B23" s="578">
        <f>-22.09+4.164</f>
        <v>-17.926000000000002</v>
      </c>
      <c r="C23" s="314">
        <f>-35.773+17.234</f>
        <v>-18.539000000000001</v>
      </c>
      <c r="D23" s="495">
        <f t="shared" ref="D23:D29" si="18">IF(B23=0, "    ---- ", IF(ABS(ROUND(100/B23*C23-100,1))&lt;999,ROUND(100/B23*C23-100,1),IF(ROUND(100/B23*C23-100,1)&gt;999,999,-999)))</f>
        <v>3.4</v>
      </c>
      <c r="E23" s="578">
        <v>-20</v>
      </c>
      <c r="F23" s="314"/>
      <c r="G23" s="314">
        <f t="shared" si="1"/>
        <v>-100</v>
      </c>
      <c r="H23" s="578">
        <v>1024.72</v>
      </c>
      <c r="I23" s="314">
        <v>296.60422095999996</v>
      </c>
      <c r="J23" s="495">
        <f t="shared" ref="J23:J29" si="19">IF(H23=0, "    ---- ", IF(ABS(ROUND(100/H23*I23-100,1))&lt;999,ROUND(100/H23*I23-100,1),IF(ROUND(100/H23*I23-100,1)&gt;999,999,-999)))</f>
        <v>-71.099999999999994</v>
      </c>
      <c r="K23" s="578">
        <v>-513.8405320999999</v>
      </c>
      <c r="L23" s="314">
        <v>-237.89240616000063</v>
      </c>
      <c r="M23" s="495">
        <f>IF(K23=0, "    ---- ", IF(ABS(ROUND(100/K23*L23-100,1))&lt;999,ROUND(100/K23*L23-100,1),IF(ROUND(100/K23*L23-100,1)&gt;999,999,-999)))</f>
        <v>-53.7</v>
      </c>
      <c r="N23" s="578">
        <v>-499.904</v>
      </c>
      <c r="O23" s="314">
        <v>-489.339</v>
      </c>
      <c r="P23" s="495">
        <f>IF(N23=0, "    ---- ", IF(ABS(ROUND(100/N23*O23-100,1))&lt;999,ROUND(100/N23*O23-100,1),IF(ROUND(100/N23*O23-100,1)&gt;999,999,-999)))</f>
        <v>-2.1</v>
      </c>
      <c r="Q23" s="578">
        <f>-112.3+22.4</f>
        <v>-89.9</v>
      </c>
      <c r="R23" s="314">
        <v>-164.3</v>
      </c>
      <c r="S23" s="495">
        <f t="shared" ref="S23:S31" si="20">IF(Q23=0, "    ---- ", IF(ABS(ROUND(100/Q23*R23-100,1))&lt;999,ROUND(100/Q23*R23-100,1),IF(ROUND(100/Q23*R23-100,1)&gt;999,999,-999)))</f>
        <v>82.8</v>
      </c>
      <c r="T23" s="578">
        <v>0.41096220999999999</v>
      </c>
      <c r="U23" s="314">
        <v>5.3560540000000003</v>
      </c>
      <c r="V23" s="495"/>
      <c r="W23" s="193">
        <v>-747.17215900999997</v>
      </c>
      <c r="X23" s="314">
        <v>4800.4944059999998</v>
      </c>
      <c r="Y23" s="495">
        <f t="shared" ref="Y23:Y30" si="21">IF(W23=0, "    ---- ", IF(ABS(ROUND(100/W23*X23-100,1))&lt;999,ROUND(100/W23*X23-100,1),IF(ROUND(100/W23*X23-100,1)&gt;999,999,-999)))</f>
        <v>-742.5</v>
      </c>
      <c r="Z23" s="578">
        <v>-313</v>
      </c>
      <c r="AA23" s="314">
        <v>-270.10000000000002</v>
      </c>
      <c r="AB23" s="495">
        <f t="shared" ref="AB23:AB29" si="22">IF(Z23=0, "    ---- ", IF(ABS(ROUND(100/Z23*AA23-100,1))&lt;999,ROUND(100/Z23*AA23-100,1),IF(ROUND(100/Z23*AA23-100,1)&gt;999,999,-999)))</f>
        <v>-13.7</v>
      </c>
      <c r="AC23" s="578">
        <v>-87</v>
      </c>
      <c r="AD23" s="314">
        <v>-380</v>
      </c>
      <c r="AE23" s="495">
        <f t="shared" ref="AE23:AE29" si="23">IF(AC23=0, "    ---- ", IF(ABS(ROUND(100/AC23*AD23-100,1))&lt;999,ROUND(100/AC23*AD23-100,1),IF(ROUND(100/AC23*AD23-100,1)&gt;999,999,-999)))</f>
        <v>336.8</v>
      </c>
      <c r="AF23" s="578"/>
      <c r="AG23" s="314"/>
      <c r="AH23" s="495"/>
      <c r="AI23" s="578">
        <v>-166.31881845000001</v>
      </c>
      <c r="AJ23" s="314">
        <v>-198.85092699</v>
      </c>
      <c r="AK23" s="495">
        <f t="shared" ref="AK23:AK29" si="24">IF(AI23=0, "    ---- ", IF(ABS(ROUND(100/AI23*AJ23-100,1))&lt;999,ROUND(100/AI23*AJ23-100,1),IF(ROUND(100/AI23*AJ23-100,1)&gt;999,999,-999)))</f>
        <v>19.600000000000001</v>
      </c>
      <c r="AL23" s="578">
        <v>-1023</v>
      </c>
      <c r="AM23" s="314">
        <v>-7358</v>
      </c>
      <c r="AN23" s="495">
        <f t="shared" ref="AN23:AN29" si="25">IF(AL23=0, "    ---- ", IF(ABS(ROUND(100/AL23*AM23-100,1))&lt;999,ROUND(100/AL23*AM23-100,1),IF(ROUND(100/AL23*AM23-100,1)&gt;999,999,-999)))</f>
        <v>619.29999999999995</v>
      </c>
      <c r="AO23" s="495">
        <f t="shared" ref="AO23:AP33" si="26">B23+H23+K23+N23+Q23+W23+Z23+AC23+AI23+AL23+E23</f>
        <v>-2453.3415095599998</v>
      </c>
      <c r="AP23" s="495">
        <f t="shared" si="26"/>
        <v>-4019.922706190001</v>
      </c>
      <c r="AQ23" s="495">
        <f t="shared" si="12"/>
        <v>63.9</v>
      </c>
      <c r="AR23" s="495"/>
      <c r="AS23" s="495"/>
      <c r="AT23" s="495"/>
    </row>
    <row r="24" spans="1:46" s="471" customFormat="1" ht="18.75" customHeight="1" x14ac:dyDescent="0.3">
      <c r="A24" s="493" t="s">
        <v>281</v>
      </c>
      <c r="B24" s="578"/>
      <c r="C24" s="314"/>
      <c r="D24" s="495"/>
      <c r="E24" s="578"/>
      <c r="F24" s="314"/>
      <c r="G24" s="314" t="str">
        <f t="shared" si="1"/>
        <v xml:space="preserve">    ---- </v>
      </c>
      <c r="H24" s="578">
        <v>6.6280000000000001</v>
      </c>
      <c r="I24" s="314">
        <v>-20.661720899999999</v>
      </c>
      <c r="J24" s="495">
        <f t="shared" si="19"/>
        <v>-411.7</v>
      </c>
      <c r="K24" s="578"/>
      <c r="L24" s="314"/>
      <c r="M24" s="495" t="str">
        <f>IF(K24=0, "    ---- ", IF(ABS(ROUND(100/K24*L24-100,1))&lt;999,ROUND(100/K24*L24-100,1),IF(ROUND(100/K24*L24-100,1)&gt;999,999,-999)))</f>
        <v xml:space="preserve">    ---- </v>
      </c>
      <c r="N24" s="578"/>
      <c r="O24" s="314"/>
      <c r="P24" s="495" t="str">
        <f>IF(N24=0, "    ---- ", IF(ABS(ROUND(100/N24*O24-100,1))&lt;999,ROUND(100/N24*O24-100,1),IF(ROUND(100/N24*O24-100,1)&gt;999,999,-999)))</f>
        <v xml:space="preserve">    ---- </v>
      </c>
      <c r="Q24" s="578"/>
      <c r="R24" s="314">
        <v>0.3</v>
      </c>
      <c r="S24" s="495" t="str">
        <f t="shared" si="20"/>
        <v xml:space="preserve">    ---- </v>
      </c>
      <c r="T24" s="578"/>
      <c r="U24" s="314"/>
      <c r="V24" s="495"/>
      <c r="W24" s="193"/>
      <c r="X24" s="314">
        <v>0</v>
      </c>
      <c r="Y24" s="495" t="str">
        <f t="shared" si="21"/>
        <v xml:space="preserve">    ---- </v>
      </c>
      <c r="Z24" s="578">
        <v>2</v>
      </c>
      <c r="AA24" s="314">
        <v>27</v>
      </c>
      <c r="AB24" s="495">
        <f t="shared" si="22"/>
        <v>999</v>
      </c>
      <c r="AC24" s="578"/>
      <c r="AD24" s="314"/>
      <c r="AE24" s="495" t="str">
        <f t="shared" si="23"/>
        <v xml:space="preserve">    ---- </v>
      </c>
      <c r="AF24" s="578"/>
      <c r="AG24" s="314"/>
      <c r="AH24" s="495"/>
      <c r="AI24" s="578">
        <v>105.91202971999999</v>
      </c>
      <c r="AJ24" s="314">
        <v>-120.10838437000001</v>
      </c>
      <c r="AK24" s="495">
        <f t="shared" si="24"/>
        <v>-213.4</v>
      </c>
      <c r="AL24" s="578">
        <v>42</v>
      </c>
      <c r="AM24" s="314">
        <v>-434</v>
      </c>
      <c r="AN24" s="495">
        <f t="shared" si="25"/>
        <v>-999</v>
      </c>
      <c r="AO24" s="495">
        <f t="shared" si="26"/>
        <v>156.54002972000001</v>
      </c>
      <c r="AP24" s="495">
        <f t="shared" si="26"/>
        <v>-547.47010526999998</v>
      </c>
      <c r="AQ24" s="495">
        <f t="shared" si="12"/>
        <v>-449.7</v>
      </c>
      <c r="AR24" s="495"/>
      <c r="AS24" s="495"/>
      <c r="AT24" s="495"/>
    </row>
    <row r="25" spans="1:46" s="471" customFormat="1" ht="18.75" customHeight="1" x14ac:dyDescent="0.3">
      <c r="A25" s="493" t="s">
        <v>282</v>
      </c>
      <c r="B25" s="578">
        <v>18.536999999999999</v>
      </c>
      <c r="C25" s="314">
        <v>4.452</v>
      </c>
      <c r="D25" s="495">
        <f t="shared" si="18"/>
        <v>-76</v>
      </c>
      <c r="E25" s="578">
        <v>9.8000000000000007</v>
      </c>
      <c r="F25" s="314"/>
      <c r="G25" s="314">
        <f t="shared" si="1"/>
        <v>-100</v>
      </c>
      <c r="H25" s="578">
        <v>5557.1989999999996</v>
      </c>
      <c r="I25" s="314">
        <v>1609.3180409000001</v>
      </c>
      <c r="J25" s="495">
        <f t="shared" si="19"/>
        <v>-71</v>
      </c>
      <c r="K25" s="578">
        <v>-1.0000001639127731E-8</v>
      </c>
      <c r="L25" s="314">
        <v>46.184984669999999</v>
      </c>
      <c r="M25" s="495"/>
      <c r="N25" s="578">
        <v>6.88</v>
      </c>
      <c r="O25" s="314"/>
      <c r="P25" s="495"/>
      <c r="Q25" s="578">
        <v>21.2</v>
      </c>
      <c r="R25" s="314">
        <v>-0.7</v>
      </c>
      <c r="S25" s="495">
        <f t="shared" si="20"/>
        <v>-103.3</v>
      </c>
      <c r="T25" s="578"/>
      <c r="U25" s="314"/>
      <c r="V25" s="495"/>
      <c r="W25" s="193">
        <v>24029.870881999999</v>
      </c>
      <c r="X25" s="314">
        <v>-1437.84956175</v>
      </c>
      <c r="Y25" s="495">
        <f t="shared" si="21"/>
        <v>-106</v>
      </c>
      <c r="Z25" s="578">
        <v>904</v>
      </c>
      <c r="AA25" s="314">
        <v>-34</v>
      </c>
      <c r="AB25" s="495">
        <f t="shared" si="22"/>
        <v>-103.8</v>
      </c>
      <c r="AC25" s="578">
        <v>6945</v>
      </c>
      <c r="AD25" s="314">
        <v>-535</v>
      </c>
      <c r="AE25" s="495">
        <f t="shared" si="23"/>
        <v>-107.7</v>
      </c>
      <c r="AF25" s="578"/>
      <c r="AG25" s="314"/>
      <c r="AH25" s="495"/>
      <c r="AI25" s="578">
        <v>840.44291337000004</v>
      </c>
      <c r="AJ25" s="314">
        <v>132.54795267</v>
      </c>
      <c r="AK25" s="495">
        <f t="shared" si="24"/>
        <v>-84.2</v>
      </c>
      <c r="AL25" s="578">
        <v>221</v>
      </c>
      <c r="AM25" s="314">
        <v>1621</v>
      </c>
      <c r="AN25" s="495">
        <f t="shared" si="25"/>
        <v>633.5</v>
      </c>
      <c r="AO25" s="495">
        <f t="shared" si="26"/>
        <v>38553.929795360003</v>
      </c>
      <c r="AP25" s="495">
        <f t="shared" si="26"/>
        <v>1405.9534164900001</v>
      </c>
      <c r="AQ25" s="495">
        <f t="shared" si="12"/>
        <v>-96.4</v>
      </c>
      <c r="AR25" s="495"/>
      <c r="AS25" s="495"/>
      <c r="AT25" s="495"/>
    </row>
    <row r="26" spans="1:46" s="471" customFormat="1" ht="18.75" customHeight="1" x14ac:dyDescent="0.3">
      <c r="A26" s="493" t="s">
        <v>283</v>
      </c>
      <c r="B26" s="578"/>
      <c r="C26" s="314"/>
      <c r="D26" s="495"/>
      <c r="E26" s="578">
        <v>-0.1</v>
      </c>
      <c r="F26" s="314"/>
      <c r="G26" s="314">
        <f t="shared" si="1"/>
        <v>-100</v>
      </c>
      <c r="H26" s="578">
        <v>-3.3050000000000002</v>
      </c>
      <c r="I26" s="314">
        <v>-2.5769564900000002</v>
      </c>
      <c r="J26" s="495">
        <f t="shared" si="19"/>
        <v>-22</v>
      </c>
      <c r="K26" s="578"/>
      <c r="L26" s="314"/>
      <c r="M26" s="495"/>
      <c r="N26" s="578"/>
      <c r="O26" s="314"/>
      <c r="P26" s="495"/>
      <c r="Q26" s="578">
        <v>1.6</v>
      </c>
      <c r="R26" s="314">
        <v>1.6</v>
      </c>
      <c r="S26" s="495"/>
      <c r="T26" s="578"/>
      <c r="U26" s="314"/>
      <c r="V26" s="495"/>
      <c r="W26" s="193">
        <v>-61.397748999999997</v>
      </c>
      <c r="X26" s="314">
        <v>-188.96504400000001</v>
      </c>
      <c r="Y26" s="495">
        <f t="shared" si="21"/>
        <v>207.8</v>
      </c>
      <c r="Z26" s="578">
        <v>-0.31000000000000005</v>
      </c>
      <c r="AA26" s="314">
        <v>-1</v>
      </c>
      <c r="AB26" s="495">
        <f t="shared" si="22"/>
        <v>222.6</v>
      </c>
      <c r="AC26" s="578">
        <v>-8</v>
      </c>
      <c r="AD26" s="314">
        <v>-26</v>
      </c>
      <c r="AE26" s="495">
        <f t="shared" si="23"/>
        <v>225</v>
      </c>
      <c r="AF26" s="578"/>
      <c r="AG26" s="314"/>
      <c r="AH26" s="495"/>
      <c r="AI26" s="578">
        <v>-1.112339</v>
      </c>
      <c r="AJ26" s="314">
        <v>-0.89190599999999998</v>
      </c>
      <c r="AK26" s="495">
        <f t="shared" si="24"/>
        <v>-19.8</v>
      </c>
      <c r="AL26" s="578"/>
      <c r="AM26" s="314">
        <v>-1</v>
      </c>
      <c r="AN26" s="495" t="str">
        <f t="shared" si="25"/>
        <v xml:space="preserve">    ---- </v>
      </c>
      <c r="AO26" s="495">
        <f t="shared" si="26"/>
        <v>-72.625087999999991</v>
      </c>
      <c r="AP26" s="495">
        <f t="shared" si="26"/>
        <v>-218.83390649</v>
      </c>
      <c r="AQ26" s="495">
        <f t="shared" si="12"/>
        <v>201.3</v>
      </c>
      <c r="AR26" s="495"/>
      <c r="AS26" s="495"/>
      <c r="AT26" s="495"/>
    </row>
    <row r="27" spans="1:46" s="471" customFormat="1" ht="18.75" customHeight="1" x14ac:dyDescent="0.3">
      <c r="A27" s="493" t="s">
        <v>284</v>
      </c>
      <c r="B27" s="578">
        <v>-0.27</v>
      </c>
      <c r="C27" s="314">
        <v>1.3879999999999999</v>
      </c>
      <c r="D27" s="495">
        <f t="shared" si="18"/>
        <v>-614.1</v>
      </c>
      <c r="E27" s="578"/>
      <c r="F27" s="314"/>
      <c r="G27" s="314"/>
      <c r="H27" s="578">
        <v>-326.20699999999999</v>
      </c>
      <c r="I27" s="314">
        <v>-311.53329618999999</v>
      </c>
      <c r="J27" s="495">
        <f t="shared" si="19"/>
        <v>-4.5</v>
      </c>
      <c r="K27" s="578"/>
      <c r="L27" s="314"/>
      <c r="M27" s="495" t="str">
        <f>IF(K27=0, "    ---- ", IF(ABS(ROUND(100/K27*L27-100,1))&lt;999,ROUND(100/K27*L27-100,1),IF(ROUND(100/K27*L27-100,1)&gt;999,999,-999)))</f>
        <v xml:space="preserve">    ---- </v>
      </c>
      <c r="N27" s="578">
        <v>-1.0960000000000001</v>
      </c>
      <c r="O27" s="314">
        <v>-2.548</v>
      </c>
      <c r="P27" s="495">
        <f>IF(N27=0, "    ---- ", IF(ABS(ROUND(100/N27*O27-100,1))&lt;999,ROUND(100/N27*O27-100,1),IF(ROUND(100/N27*O27-100,1)&gt;999,999,-999)))</f>
        <v>132.5</v>
      </c>
      <c r="Q27" s="578"/>
      <c r="R27" s="314"/>
      <c r="S27" s="495"/>
      <c r="T27" s="578"/>
      <c r="U27" s="314"/>
      <c r="V27" s="495"/>
      <c r="W27" s="578"/>
      <c r="X27" s="314"/>
      <c r="Y27" s="495"/>
      <c r="Z27" s="578"/>
      <c r="AA27" s="314">
        <v>0</v>
      </c>
      <c r="AB27" s="495" t="str">
        <f t="shared" si="22"/>
        <v xml:space="preserve">    ---- </v>
      </c>
      <c r="AC27" s="578">
        <v>-3</v>
      </c>
      <c r="AD27" s="314">
        <v>-2</v>
      </c>
      <c r="AE27" s="495"/>
      <c r="AF27" s="578"/>
      <c r="AG27" s="314"/>
      <c r="AH27" s="495"/>
      <c r="AI27" s="578"/>
      <c r="AJ27" s="314">
        <v>0</v>
      </c>
      <c r="AK27" s="495" t="str">
        <f t="shared" si="24"/>
        <v xml:space="preserve">    ---- </v>
      </c>
      <c r="AL27" s="578">
        <v>-133</v>
      </c>
      <c r="AM27" s="314">
        <v>-8</v>
      </c>
      <c r="AN27" s="495">
        <f t="shared" si="25"/>
        <v>-94</v>
      </c>
      <c r="AO27" s="495">
        <f t="shared" si="26"/>
        <v>-463.57299999999998</v>
      </c>
      <c r="AP27" s="495">
        <f t="shared" si="26"/>
        <v>-322.69329619000001</v>
      </c>
      <c r="AQ27" s="495">
        <f t="shared" si="12"/>
        <v>-30.4</v>
      </c>
      <c r="AR27" s="495"/>
      <c r="AS27" s="495"/>
      <c r="AT27" s="495"/>
    </row>
    <row r="28" spans="1:46" s="471" customFormat="1" ht="18.75" customHeight="1" x14ac:dyDescent="0.3">
      <c r="A28" s="493" t="s">
        <v>285</v>
      </c>
      <c r="B28" s="578"/>
      <c r="C28" s="314"/>
      <c r="D28" s="495"/>
      <c r="E28" s="578"/>
      <c r="F28" s="314"/>
      <c r="G28" s="314" t="str">
        <f t="shared" si="1"/>
        <v xml:space="preserve">    ---- </v>
      </c>
      <c r="H28" s="578">
        <v>2.931</v>
      </c>
      <c r="I28" s="314">
        <v>21.23</v>
      </c>
      <c r="J28" s="495">
        <f t="shared" si="19"/>
        <v>624.29999999999995</v>
      </c>
      <c r="K28" s="578"/>
      <c r="L28" s="314"/>
      <c r="M28" s="495"/>
      <c r="N28" s="578"/>
      <c r="O28" s="314"/>
      <c r="P28" s="495"/>
      <c r="Q28" s="578"/>
      <c r="R28" s="314"/>
      <c r="S28" s="495" t="str">
        <f t="shared" si="20"/>
        <v xml:space="preserve">    ---- </v>
      </c>
      <c r="T28" s="578"/>
      <c r="U28" s="314"/>
      <c r="V28" s="495"/>
      <c r="W28" s="193"/>
      <c r="X28" s="314">
        <v>0</v>
      </c>
      <c r="Y28" s="495" t="str">
        <f t="shared" si="21"/>
        <v xml:space="preserve">    ---- </v>
      </c>
      <c r="Z28" s="578">
        <v>1</v>
      </c>
      <c r="AA28" s="314">
        <v>1</v>
      </c>
      <c r="AB28" s="495">
        <f t="shared" si="22"/>
        <v>0</v>
      </c>
      <c r="AC28" s="578"/>
      <c r="AD28" s="314"/>
      <c r="AE28" s="495"/>
      <c r="AF28" s="578"/>
      <c r="AG28" s="314"/>
      <c r="AH28" s="495"/>
      <c r="AI28" s="578"/>
      <c r="AJ28" s="314">
        <v>0</v>
      </c>
      <c r="AK28" s="495" t="str">
        <f t="shared" si="24"/>
        <v xml:space="preserve">    ---- </v>
      </c>
      <c r="AL28" s="578">
        <v>-5</v>
      </c>
      <c r="AM28" s="314">
        <v>445</v>
      </c>
      <c r="AN28" s="495">
        <f t="shared" si="25"/>
        <v>-999</v>
      </c>
      <c r="AO28" s="495">
        <f t="shared" si="26"/>
        <v>-1.069</v>
      </c>
      <c r="AP28" s="495">
        <f t="shared" si="26"/>
        <v>467.23</v>
      </c>
      <c r="AQ28" s="495">
        <f t="shared" si="12"/>
        <v>-999</v>
      </c>
      <c r="AR28" s="495"/>
      <c r="AS28" s="495"/>
      <c r="AT28" s="495"/>
    </row>
    <row r="29" spans="1:46" s="471" customFormat="1" ht="18.75" customHeight="1" x14ac:dyDescent="0.3">
      <c r="A29" s="493" t="s">
        <v>286</v>
      </c>
      <c r="B29" s="578">
        <f>SUM(B23:B28)</f>
        <v>0.34099999999999708</v>
      </c>
      <c r="C29" s="314">
        <f>SUM(C23:C28)</f>
        <v>-12.699000000000002</v>
      </c>
      <c r="D29" s="495">
        <f t="shared" si="18"/>
        <v>-999</v>
      </c>
      <c r="E29" s="578">
        <f>SUM(E23:E28)</f>
        <v>-10.299999999999999</v>
      </c>
      <c r="F29" s="314"/>
      <c r="G29" s="314">
        <f t="shared" si="1"/>
        <v>-100</v>
      </c>
      <c r="H29" s="578">
        <f>SUM(H23:H28)</f>
        <v>6261.9659999999985</v>
      </c>
      <c r="I29" s="314">
        <f>SUM(I23:I28)</f>
        <v>1592.3802882800001</v>
      </c>
      <c r="J29" s="495">
        <f t="shared" si="19"/>
        <v>-74.599999999999994</v>
      </c>
      <c r="K29" s="578">
        <v>-513.84053210999991</v>
      </c>
      <c r="L29" s="314">
        <f>SUM(L23:L28)</f>
        <v>-191.70742149000063</v>
      </c>
      <c r="M29" s="495">
        <f>IF(K29=0, "    ---- ", IF(ABS(ROUND(100/K29*L29-100,1))&lt;999,ROUND(100/K29*L29-100,1),IF(ROUND(100/K29*L29-100,1)&gt;999,999,-999)))</f>
        <v>-62.7</v>
      </c>
      <c r="N29" s="578">
        <f>SUM(N23:N28)</f>
        <v>-494.12</v>
      </c>
      <c r="O29" s="314">
        <f>SUM(O23:O28)</f>
        <v>-491.887</v>
      </c>
      <c r="P29" s="495">
        <f>IF(N29=0, "    ---- ", IF(ABS(ROUND(100/N29*O29-100,1))&lt;999,ROUND(100/N29*O29-100,1),IF(ROUND(100/N29*O29-100,1)&gt;999,999,-999)))</f>
        <v>-0.5</v>
      </c>
      <c r="Q29" s="578">
        <f>SUM(Q23:Q28)</f>
        <v>-67.100000000000009</v>
      </c>
      <c r="R29" s="314">
        <f>SUM(R23:R28)</f>
        <v>-163.1</v>
      </c>
      <c r="S29" s="495">
        <f t="shared" si="20"/>
        <v>143.1</v>
      </c>
      <c r="T29" s="578">
        <f>SUM(T23:T28)</f>
        <v>0.41096220999999999</v>
      </c>
      <c r="U29" s="314">
        <f>SUM(U23:U28)</f>
        <v>5.3560540000000003</v>
      </c>
      <c r="V29" s="495"/>
      <c r="W29" s="578">
        <v>23221.300973990001</v>
      </c>
      <c r="X29" s="314">
        <v>3173.6798002499995</v>
      </c>
      <c r="Y29" s="495">
        <f t="shared" si="21"/>
        <v>-86.3</v>
      </c>
      <c r="Z29" s="578">
        <f>SUM(Z23:Z28)</f>
        <v>593.69000000000005</v>
      </c>
      <c r="AA29" s="314">
        <f>SUM(AA23:AA28)</f>
        <v>-277.10000000000002</v>
      </c>
      <c r="AB29" s="495">
        <f t="shared" si="22"/>
        <v>-146.69999999999999</v>
      </c>
      <c r="AC29" s="578">
        <f>SUM(AC23:AC28)</f>
        <v>6847</v>
      </c>
      <c r="AD29" s="314">
        <f>SUM(AD23:AD28)</f>
        <v>-943</v>
      </c>
      <c r="AE29" s="495">
        <f t="shared" si="23"/>
        <v>-113.8</v>
      </c>
      <c r="AF29" s="578"/>
      <c r="AG29" s="314">
        <f>SUM(AG23:AG28)</f>
        <v>0</v>
      </c>
      <c r="AH29" s="495"/>
      <c r="AI29" s="578">
        <f>SUM(AI23:AI28)</f>
        <v>778.92378564000001</v>
      </c>
      <c r="AJ29" s="314">
        <f>SUM(AJ23:AJ28)</f>
        <v>-187.30326469000002</v>
      </c>
      <c r="AK29" s="495">
        <f t="shared" si="24"/>
        <v>-124</v>
      </c>
      <c r="AL29" s="578">
        <f>SUM(AL23:AL28)</f>
        <v>-898</v>
      </c>
      <c r="AM29" s="314">
        <f>SUM(AM23:AM28)</f>
        <v>-5735</v>
      </c>
      <c r="AN29" s="495">
        <f t="shared" si="25"/>
        <v>538.6</v>
      </c>
      <c r="AO29" s="495">
        <f t="shared" si="26"/>
        <v>35719.861227519999</v>
      </c>
      <c r="AP29" s="495">
        <f t="shared" si="26"/>
        <v>-3235.7365976500009</v>
      </c>
      <c r="AQ29" s="495">
        <f t="shared" si="12"/>
        <v>-109.1</v>
      </c>
      <c r="AR29" s="495"/>
      <c r="AS29" s="495"/>
      <c r="AT29" s="495"/>
    </row>
    <row r="30" spans="1:46" s="471" customFormat="1" ht="18.75" customHeight="1" x14ac:dyDescent="0.3">
      <c r="A30" s="493" t="s">
        <v>287</v>
      </c>
      <c r="B30" s="578">
        <v>2207.2060000000001</v>
      </c>
      <c r="C30" s="314">
        <v>-1097.519</v>
      </c>
      <c r="D30" s="495">
        <f>IF(B30=0, "    ---- ", IF(ABS(ROUND(100/B30*C30-100,1))&lt;999,ROUND(100/B30*C30-100,1),IF(ROUND(100/B30*C30-100,1)&gt;999,999,-999)))</f>
        <v>-149.69999999999999</v>
      </c>
      <c r="E30" s="578">
        <v>350.6</v>
      </c>
      <c r="F30" s="314"/>
      <c r="G30" s="314">
        <f t="shared" si="1"/>
        <v>-100</v>
      </c>
      <c r="H30" s="578">
        <v>14378.741</v>
      </c>
      <c r="I30" s="314">
        <v>-5887.6430225599997</v>
      </c>
      <c r="J30" s="495">
        <f>IF(H30=0, "    ---- ", IF(ABS(ROUND(100/H30*I30-100,1))&lt;999,ROUND(100/H30*I30-100,1),IF(ROUND(100/H30*I30-100,1)&gt;999,999,-999)))</f>
        <v>-140.9</v>
      </c>
      <c r="K30" s="578"/>
      <c r="L30" s="314"/>
      <c r="M30" s="495"/>
      <c r="N30" s="578">
        <v>402.18400000000003</v>
      </c>
      <c r="O30" s="314"/>
      <c r="P30" s="495"/>
      <c r="Q30" s="578">
        <v>3924.6</v>
      </c>
      <c r="R30" s="314">
        <v>-1631.7</v>
      </c>
      <c r="S30" s="495">
        <f t="shared" si="20"/>
        <v>-141.6</v>
      </c>
      <c r="T30" s="578"/>
      <c r="U30" s="314"/>
      <c r="V30" s="495"/>
      <c r="W30" s="193">
        <v>513.62107400000002</v>
      </c>
      <c r="X30" s="314">
        <v>3.0654560000000002</v>
      </c>
      <c r="Y30" s="495">
        <f t="shared" si="21"/>
        <v>-99.4</v>
      </c>
      <c r="Z30" s="578">
        <v>7831.91</v>
      </c>
      <c r="AA30" s="314">
        <v>-6684.29</v>
      </c>
      <c r="AB30" s="495">
        <f>IF(Z30=0, "    ---- ", IF(ABS(ROUND(100/Z30*AA30-100,1))&lt;999,ROUND(100/Z30*AA30-100,1),IF(ROUND(100/Z30*AA30-100,1)&gt;999,999,-999)))</f>
        <v>-185.3</v>
      </c>
      <c r="AC30" s="578"/>
      <c r="AD30" s="314"/>
      <c r="AE30" s="495"/>
      <c r="AF30" s="578">
        <v>271.55769846999999</v>
      </c>
      <c r="AG30" s="314">
        <v>-119.53727236</v>
      </c>
      <c r="AH30" s="495">
        <f>IF(AF30=0, "    ---- ", IF(ABS(ROUND(100/AF30*AG30-100,1))&lt;999,ROUND(100/AF30*AG30-100,1),IF(ROUND(100/AF30*AG30-100,1)&gt;999,999,-999)))</f>
        <v>-144</v>
      </c>
      <c r="AI30" s="578">
        <v>4387.8757333200001</v>
      </c>
      <c r="AJ30" s="314">
        <v>-3567.1634894900012</v>
      </c>
      <c r="AK30" s="495">
        <f>IF(AI30=0, "    ---- ", IF(ABS(ROUND(100/AI30*AJ30-100,1))&lt;999,ROUND(100/AI30*AJ30-100,1),IF(ROUND(100/AI30*AJ30-100,1)&gt;999,999,-999)))</f>
        <v>-181.3</v>
      </c>
      <c r="AL30" s="578">
        <v>9354</v>
      </c>
      <c r="AM30" s="314">
        <v>-7261</v>
      </c>
      <c r="AN30" s="495">
        <f>IF(AL30=0, "    ---- ", IF(ABS(ROUND(100/AL30*AM30-100,1))&lt;999,ROUND(100/AL30*AM30-100,1),IF(ROUND(100/AL30*AM30-100,1)&gt;999,999,-999)))</f>
        <v>-177.6</v>
      </c>
      <c r="AO30" s="495">
        <f t="shared" si="26"/>
        <v>43350.737807319994</v>
      </c>
      <c r="AP30" s="495">
        <f t="shared" si="26"/>
        <v>-26126.250056050001</v>
      </c>
      <c r="AQ30" s="495">
        <f t="shared" si="12"/>
        <v>-160.30000000000001</v>
      </c>
      <c r="AR30" s="495"/>
      <c r="AS30" s="495"/>
      <c r="AT30" s="495"/>
    </row>
    <row r="31" spans="1:46" s="471" customFormat="1" ht="18.75" customHeight="1" x14ac:dyDescent="0.3">
      <c r="A31" s="493" t="s">
        <v>288</v>
      </c>
      <c r="B31" s="578"/>
      <c r="C31" s="314"/>
      <c r="D31" s="495" t="str">
        <f>IF(B31=0, "    ---- ", IF(ABS(ROUND(100/B31*C31-100,1))&lt;999,ROUND(100/B31*C31-100,1),IF(ROUND(100/B31*C31-100,1)&gt;999,999,-999)))</f>
        <v xml:space="preserve">    ---- </v>
      </c>
      <c r="E31" s="578">
        <v>-2</v>
      </c>
      <c r="F31" s="314"/>
      <c r="G31" s="314"/>
      <c r="H31" s="578">
        <v>-31.954000000000001</v>
      </c>
      <c r="I31" s="314">
        <v>-1743.8234192899999</v>
      </c>
      <c r="J31" s="495">
        <f>IF(H31=0, "    ---- ", IF(ABS(ROUND(100/H31*I31-100,1))&lt;999,ROUND(100/H31*I31-100,1),IF(ROUND(100/H31*I31-100,1)&gt;999,999,-999)))</f>
        <v>999</v>
      </c>
      <c r="K31" s="578"/>
      <c r="L31" s="314"/>
      <c r="M31" s="495"/>
      <c r="N31" s="578"/>
      <c r="O31" s="314"/>
      <c r="P31" s="495"/>
      <c r="Q31" s="578">
        <v>41.5</v>
      </c>
      <c r="R31" s="314">
        <v>-14.4</v>
      </c>
      <c r="S31" s="495">
        <f t="shared" si="20"/>
        <v>-134.69999999999999</v>
      </c>
      <c r="T31" s="578"/>
      <c r="U31" s="314"/>
      <c r="V31" s="495"/>
      <c r="W31" s="193">
        <v>-100</v>
      </c>
      <c r="X31" s="314">
        <v>0</v>
      </c>
      <c r="Y31" s="495">
        <f>IF(W31=0, "    ---- ", IF(ABS(ROUND(100/W31*X31-100,1))&lt;999,ROUND(100/W31*X31-100,1),IF(ROUND(100/W31*X31-100,1)&gt;999,999,-999)))</f>
        <v>-100</v>
      </c>
      <c r="Z31" s="578">
        <v>-106.79</v>
      </c>
      <c r="AA31" s="314">
        <v>-893.12</v>
      </c>
      <c r="AB31" s="495">
        <f>IF(Z31=0, "    ---- ", IF(ABS(ROUND(100/Z31*AA31-100,1))&lt;999,ROUND(100/Z31*AA31-100,1),IF(ROUND(100/Z31*AA31-100,1)&gt;999,999,-999)))</f>
        <v>736.3</v>
      </c>
      <c r="AC31" s="578">
        <v>-2330</v>
      </c>
      <c r="AD31" s="314">
        <v>-2218</v>
      </c>
      <c r="AE31" s="495">
        <f>IF(AC31=0, "    ---- ", IF(ABS(ROUND(100/AC31*AD31-100,1))&lt;999,ROUND(100/AC31*AD31-100,1),IF(ROUND(100/AC31*AD31-100,1)&gt;999,999,-999)))</f>
        <v>-4.8</v>
      </c>
      <c r="AF31" s="578"/>
      <c r="AG31" s="314"/>
      <c r="AH31" s="495"/>
      <c r="AI31" s="578">
        <v>-11.41764601</v>
      </c>
      <c r="AJ31" s="314">
        <v>-131.45932286999999</v>
      </c>
      <c r="AK31" s="495">
        <f>IF(AI31=0, "    ---- ", IF(ABS(ROUND(100/AI31*AJ31-100,1))&lt;999,ROUND(100/AI31*AJ31-100,1),IF(ROUND(100/AI31*AJ31-100,1)&gt;999,999,-999)))</f>
        <v>999</v>
      </c>
      <c r="AL31" s="578">
        <v>-389</v>
      </c>
      <c r="AM31" s="314">
        <v>-345</v>
      </c>
      <c r="AN31" s="495">
        <f>IF(AL31=0, "    ---- ", IF(ABS(ROUND(100/AL31*AM31-100,1))&lt;999,ROUND(100/AL31*AM31-100,1),IF(ROUND(100/AL31*AM31-100,1)&gt;999,999,-999)))</f>
        <v>-11.3</v>
      </c>
      <c r="AO31" s="495">
        <f t="shared" si="26"/>
        <v>-2929.6616460100004</v>
      </c>
      <c r="AP31" s="495">
        <f t="shared" si="26"/>
        <v>-5345.80274216</v>
      </c>
      <c r="AQ31" s="495">
        <f t="shared" si="12"/>
        <v>82.5</v>
      </c>
      <c r="AR31" s="495"/>
      <c r="AS31" s="495"/>
      <c r="AT31" s="495"/>
    </row>
    <row r="32" spans="1:46" s="471" customFormat="1" ht="18.75" customHeight="1" x14ac:dyDescent="0.3">
      <c r="A32" s="493" t="s">
        <v>289</v>
      </c>
      <c r="B32" s="578">
        <v>-68.468999999999994</v>
      </c>
      <c r="C32" s="314">
        <v>-52.658999999999999</v>
      </c>
      <c r="D32" s="495">
        <f>IF(B32=0, "    ---- ", IF(ABS(ROUND(100/B32*C32-100,1))&lt;999,ROUND(100/B32*C32-100,1),IF(ROUND(100/B32*C32-100,1)&gt;999,999,-999)))</f>
        <v>-23.1</v>
      </c>
      <c r="E32" s="578">
        <v>-18.8</v>
      </c>
      <c r="F32" s="314"/>
      <c r="G32" s="314">
        <f>IF(E32=0, "    ---- ", IF(ABS(ROUND(100/E32*F32-100,1))&lt;999,ROUND(100/E32*F32-100,1),IF(ROUND(100/E32*F32-100,1)&gt;999,999,-999)))</f>
        <v>-100</v>
      </c>
      <c r="H32" s="578">
        <v>-258.29399999999998</v>
      </c>
      <c r="I32" s="314">
        <v>-272.07860531</v>
      </c>
      <c r="J32" s="495">
        <f>IF(H32=0, "    ---- ", IF(ABS(ROUND(100/H32*I32-100,1))&lt;999,ROUND(100/H32*I32-100,1),IF(ROUND(100/H32*I32-100,1)&gt;999,999,-999)))</f>
        <v>5.3</v>
      </c>
      <c r="K32" s="578">
        <v>-220.20277693999998</v>
      </c>
      <c r="L32" s="314">
        <v>-209.87416355999997</v>
      </c>
      <c r="M32" s="495">
        <f>IF(K32=0, "    ---- ", IF(ABS(ROUND(100/K32*L32-100,1))&lt;999,ROUND(100/K32*L32-100,1),IF(ROUND(100/K32*L32-100,1)&gt;999,999,-999)))</f>
        <v>-4.7</v>
      </c>
      <c r="N32" s="578">
        <v>-68.275000000000006</v>
      </c>
      <c r="O32" s="314">
        <v>-55.863</v>
      </c>
      <c r="P32" s="495">
        <f>IF(N32=0, "    ---- ", IF(ABS(ROUND(100/N32*O32-100,1))&lt;999,ROUND(100/N32*O32-100,1),IF(ROUND(100/N32*O32-100,1)&gt;999,999,-999)))</f>
        <v>-18.2</v>
      </c>
      <c r="Q32" s="578">
        <v>-74.5</v>
      </c>
      <c r="R32" s="314">
        <v>-74.400000000000006</v>
      </c>
      <c r="S32" s="495">
        <f>IF(Q32=0, "    ---- ", IF(ABS(ROUND(100/Q32*R32-100,1))&lt;999,ROUND(100/Q32*R32-100,1),IF(ROUND(100/Q32*R32-100,1)&gt;999,999,-999)))</f>
        <v>-0.1</v>
      </c>
      <c r="T32" s="578">
        <v>-2.8238289000000001</v>
      </c>
      <c r="U32" s="314">
        <v>-2.54462214</v>
      </c>
      <c r="V32" s="495">
        <f>IF(T32=0, "    ---- ", IF(ABS(ROUND(100/T32*U32-100,1))&lt;999,ROUND(100/T32*U32-100,1),IF(ROUND(100/T32*U32-100,1)&gt;999,999,-999)))</f>
        <v>-9.9</v>
      </c>
      <c r="W32" s="193">
        <v>-293.22982242</v>
      </c>
      <c r="X32" s="314">
        <v>-298.68409070000001</v>
      </c>
      <c r="Y32" s="495">
        <f>IF(W32=0, "    ---- ", IF(ABS(ROUND(100/W32*X32-100,1))&lt;999,ROUND(100/W32*X32-100,1),IF(ROUND(100/W32*X32-100,1)&gt;999,999,-999)))</f>
        <v>1.9</v>
      </c>
      <c r="Z32" s="578">
        <v>-164.71</v>
      </c>
      <c r="AA32" s="314">
        <v>-177.72</v>
      </c>
      <c r="AB32" s="495">
        <f>IF(Z32=0, "    ---- ", IF(ABS(ROUND(100/Z32*AA32-100,1))&lt;999,ROUND(100/Z32*AA32-100,1),IF(ROUND(100/Z32*AA32-100,1)&gt;999,999,-999)))</f>
        <v>7.9</v>
      </c>
      <c r="AC32" s="578"/>
      <c r="AD32" s="314"/>
      <c r="AE32" s="495" t="str">
        <f>IF(AC32=0, "    ---- ", IF(ABS(ROUND(100/AC32*AD32-100,1))&lt;999,ROUND(100/AC32*AD32-100,1),IF(ROUND(100/AC32*AD32-100,1)&gt;999,999,-999)))</f>
        <v xml:space="preserve">    ---- </v>
      </c>
      <c r="AF32" s="578">
        <v>0.65153259999999902</v>
      </c>
      <c r="AG32" s="314">
        <v>1.8805163899999999</v>
      </c>
      <c r="AH32" s="495">
        <f>IF(AF32=0, "    ---- ", IF(ABS(ROUND(100/AF32*AG32-100,1))&lt;999,ROUND(100/AF32*AG32-100,1),IF(ROUND(100/AF32*AG32-100,1)&gt;999,999,-999)))</f>
        <v>188.6</v>
      </c>
      <c r="AI32" s="578">
        <v>-146.93143135209999</v>
      </c>
      <c r="AJ32" s="314">
        <v>-168.77801501999991</v>
      </c>
      <c r="AK32" s="495">
        <f>IF(AI32=0, "    ---- ", IF(ABS(ROUND(100/AI32*AJ32-100,1))&lt;999,ROUND(100/AI32*AJ32-100,1),IF(ROUND(100/AI32*AJ32-100,1)&gt;999,999,-999)))</f>
        <v>14.9</v>
      </c>
      <c r="AL32" s="578">
        <v>-367.4</v>
      </c>
      <c r="AM32" s="314">
        <v>-323</v>
      </c>
      <c r="AN32" s="495">
        <f>IF(AL32=0, "    ---- ", IF(ABS(ROUND(100/AL32*AM32-100,1))&lt;999,ROUND(100/AL32*AM32-100,1),IF(ROUND(100/AL32*AM32-100,1)&gt;999,999,-999)))</f>
        <v>-12.1</v>
      </c>
      <c r="AO32" s="495">
        <f t="shared" si="26"/>
        <v>-1680.8120307120996</v>
      </c>
      <c r="AP32" s="495">
        <f t="shared" si="26"/>
        <v>-1633.0568745899998</v>
      </c>
      <c r="AQ32" s="495">
        <f t="shared" si="12"/>
        <v>-2.8</v>
      </c>
      <c r="AR32" s="495"/>
      <c r="AS32" s="495"/>
      <c r="AT32" s="495"/>
    </row>
    <row r="33" spans="1:46" s="506" customFormat="1" ht="18.75" customHeight="1" x14ac:dyDescent="0.3">
      <c r="A33" s="493" t="s">
        <v>290</v>
      </c>
      <c r="B33" s="193"/>
      <c r="C33" s="421"/>
      <c r="D33" s="498"/>
      <c r="E33" s="193">
        <v>-3.2</v>
      </c>
      <c r="F33" s="421"/>
      <c r="G33" s="421">
        <f>IF(E33=0, "    ---- ", IF(ABS(ROUND(100/E33*F33-100,1))&lt;999,ROUND(100/E33*F33-100,1),IF(ROUND(100/E33*F33-100,1)&gt;999,999,-999)))</f>
        <v>-100</v>
      </c>
      <c r="H33" s="193">
        <v>-1.339</v>
      </c>
      <c r="I33" s="421">
        <v>-32.473955279999998</v>
      </c>
      <c r="J33" s="498">
        <f>IF(H33=0, "    ---- ", IF(ABS(ROUND(100/H33*I33-100,1))&lt;999,ROUND(100/H33*I33-100,1),IF(ROUND(100/H33*I33-100,1)&gt;999,999,-999)))</f>
        <v>999</v>
      </c>
      <c r="K33" s="193">
        <v>-3.5433498599999997</v>
      </c>
      <c r="L33" s="421">
        <v>-24.21155353</v>
      </c>
      <c r="M33" s="498"/>
      <c r="N33" s="193"/>
      <c r="O33" s="421"/>
      <c r="P33" s="498"/>
      <c r="Q33" s="193"/>
      <c r="R33" s="421"/>
      <c r="S33" s="498"/>
      <c r="T33" s="193"/>
      <c r="U33" s="421"/>
      <c r="V33" s="498"/>
      <c r="W33" s="193">
        <v>-295.53757899999999</v>
      </c>
      <c r="X33" s="421">
        <v>-300.32050199999998</v>
      </c>
      <c r="Y33" s="498">
        <f>IF(W33=0, "    ---- ", IF(ABS(ROUND(100/W33*X33-100,1))&lt;999,ROUND(100/W33*X33-100,1),IF(ROUND(100/W33*X33-100,1)&gt;999,999,-999)))</f>
        <v>1.6</v>
      </c>
      <c r="Z33" s="193">
        <v>-10.10753055</v>
      </c>
      <c r="AA33" s="421">
        <v>-13.235226750000001</v>
      </c>
      <c r="AB33" s="498">
        <f>IF(Z33=0, "    ---- ", IF(ABS(ROUND(100/Z33*AA33-100,1))&lt;999,ROUND(100/Z33*AA33-100,1),IF(ROUND(100/Z33*AA33-100,1)&gt;999,999,-999)))</f>
        <v>30.9</v>
      </c>
      <c r="AC33" s="193">
        <v>-52</v>
      </c>
      <c r="AD33" s="421">
        <f>-59+1</f>
        <v>-58</v>
      </c>
      <c r="AE33" s="498"/>
      <c r="AF33" s="193"/>
      <c r="AG33" s="421"/>
      <c r="AH33" s="498"/>
      <c r="AI33" s="193">
        <v>-0.19524872999999998</v>
      </c>
      <c r="AJ33" s="421">
        <v>-9.2992399999999989E-2</v>
      </c>
      <c r="AK33" s="498">
        <f>IF(AI33=0, "    ---- ", IF(ABS(ROUND(100/AI33*AJ33-100,1))&lt;999,ROUND(100/AI33*AJ33-100,1),IF(ROUND(100/AI33*AJ33-100,1)&gt;999,999,-999)))</f>
        <v>-52.4</v>
      </c>
      <c r="AL33" s="193">
        <v>-65.2</v>
      </c>
      <c r="AM33" s="421">
        <v>-32</v>
      </c>
      <c r="AN33" s="498">
        <f>IF(AL33=0, "    ---- ", IF(ABS(ROUND(100/AL33*AM33-100,1))&lt;999,ROUND(100/AL33*AM33-100,1),IF(ROUND(100/AL33*AM33-100,1)&gt;999,999,-999)))</f>
        <v>-50.9</v>
      </c>
      <c r="AO33" s="495">
        <f t="shared" si="26"/>
        <v>-431.12270813999993</v>
      </c>
      <c r="AP33" s="495">
        <f t="shared" si="26"/>
        <v>-460.33422995999996</v>
      </c>
      <c r="AQ33" s="498">
        <f t="shared" si="12"/>
        <v>6.8</v>
      </c>
      <c r="AR33" s="498"/>
      <c r="AS33" s="498"/>
      <c r="AT33" s="498"/>
    </row>
    <row r="34" spans="1:46" s="509" customFormat="1" ht="18.75" customHeight="1" x14ac:dyDescent="0.3">
      <c r="A34" s="507" t="s">
        <v>291</v>
      </c>
      <c r="B34" s="196">
        <f>SUM(B14+B15+B16+B17+B21+B29+B30+B31+B32+B33)</f>
        <v>27.840000000000202</v>
      </c>
      <c r="C34" s="427">
        <f>SUM(C14+C15+C16+C17+C21+C29+C30+C31+C32+C33)</f>
        <v>35.836000000000119</v>
      </c>
      <c r="D34" s="508">
        <f>IF(B34=0, "    ---- ", IF(ABS(ROUND(100/B34*C34-100,1))&lt;999,ROUND(100/B34*C34-100,1),IF(ROUND(100/B34*C34-100,1)&gt;999,999,-999)))</f>
        <v>28.7</v>
      </c>
      <c r="E34" s="196">
        <f>SUM(E14+E15+E16+E17+E21+E29+E30+E31+E32+E33)</f>
        <v>-14.300000000000068</v>
      </c>
      <c r="F34" s="427"/>
      <c r="G34" s="428">
        <f>IF(E34=0, "    ---- ", IF(ABS(ROUND(100/E34*F34-100,1))&lt;999,ROUND(100/E34*F34-100,1),IF(ROUND(100/E34*F34-100,1)&gt;999,999,-999)))</f>
        <v>-100</v>
      </c>
      <c r="H34" s="196">
        <f>SUM(H14+H15+H16+H17+H21+H29+H30+H31+H32+H33)</f>
        <v>-1462.9150000000013</v>
      </c>
      <c r="I34" s="427">
        <f>SUM(I14+I15+I16+I17+I21+I29+I30+I31+I32+I33)</f>
        <v>284.08035091999795</v>
      </c>
      <c r="J34" s="508">
        <f>IF(H34=0, "    ---- ", IF(ABS(ROUND(100/H34*I34-100,1))&lt;999,ROUND(100/H34*I34-100,1),IF(ROUND(100/H34*I34-100,1)&gt;999,999,-999)))</f>
        <v>-119.4</v>
      </c>
      <c r="K34" s="196">
        <v>-227.35547673000011</v>
      </c>
      <c r="L34" s="427">
        <f>SUM(L14+L15+L16+L17+L21+L29+L30+L31+L32+L33)</f>
        <v>211.6737030699995</v>
      </c>
      <c r="M34" s="508">
        <f>IF(K34=0, "    ---- ", IF(ABS(ROUND(100/K34*L34-100,1))&lt;999,ROUND(100/K34*L34-100,1),IF(ROUND(100/K34*L34-100,1)&gt;999,999,-999)))</f>
        <v>-193.1</v>
      </c>
      <c r="N34" s="196">
        <f>SUM(N14+N15+N16+N17+N21+N29+N30+N31+N32+N33)</f>
        <v>45.093999999999909</v>
      </c>
      <c r="O34" s="427">
        <f>SUM(O14+O15+O16+O17+O21+O29+O30+O31+O32+O33)</f>
        <v>-4.47199999999998</v>
      </c>
      <c r="P34" s="508">
        <f>IF(N34=0, "    ---- ", IF(ABS(ROUND(100/N34*O34-100,1))&lt;999,ROUND(100/N34*O34-100,1),IF(ROUND(100/N34*O34-100,1)&gt;999,999,-999)))</f>
        <v>-109.9</v>
      </c>
      <c r="Q34" s="196">
        <f>SUM(Q14+Q15+Q16+Q17+Q21+Q29+Q30+Q31+Q32+Q33)</f>
        <v>38.900000000000091</v>
      </c>
      <c r="R34" s="427">
        <f>SUM(R14+R15+R16+R17+R21+R29+R30+R31+R32+R33)</f>
        <v>45.900000000000944</v>
      </c>
      <c r="S34" s="508">
        <f>IF(Q34=0, "    ---- ", IF(ABS(ROUND(100/Q34*R34-100,1))&lt;999,ROUND(100/Q34*R34-100,1),IF(ROUND(100/Q34*R34-100,1)&gt;999,999,-999)))</f>
        <v>18</v>
      </c>
      <c r="T34" s="196">
        <f>SUM(T14+T15+T16+T17+T21+T29+T30+T31+T32+T33)</f>
        <v>1.9067071100000006</v>
      </c>
      <c r="U34" s="427">
        <f>SUM(U14+U15+U16+U17+U21+U29+U30+U31+U32+U33)</f>
        <v>6.4001156199999993</v>
      </c>
      <c r="V34" s="508">
        <f>IF(T34=0, "    ---- ", IF(ABS(ROUND(100/T34*U34-100,1))&lt;999,ROUND(100/T34*U34-100,1),IF(ROUND(100/T34*U34-100,1)&gt;999,999,-999)))</f>
        <v>235.7</v>
      </c>
      <c r="W34" s="196">
        <v>116.95703549999922</v>
      </c>
      <c r="X34" s="427">
        <v>5102.1030213100003</v>
      </c>
      <c r="Y34" s="508">
        <f>IF(W34=0, "    ---- ", IF(ABS(ROUND(100/W34*X34-100,1))&lt;999,ROUND(100/W34*X34-100,1),IF(ROUND(100/W34*X34-100,1)&gt;999,999,-999)))</f>
        <v>999</v>
      </c>
      <c r="Z34" s="196">
        <f>SUM(Z14+Z15+Z16+Z17+Z21+Z29+Z30+Z31+Z32+Z33)</f>
        <v>170.59246944999887</v>
      </c>
      <c r="AA34" s="427">
        <f>SUM(AA14+AA15+AA16+AA17+AA21+AA29+AA30+AA31+AA32+AA33)</f>
        <v>244.80477325000007</v>
      </c>
      <c r="AB34" s="508">
        <f>IF(Z34=0, "    ---- ", IF(ABS(ROUND(100/Z34*AA34-100,1))&lt;999,ROUND(100/Z34*AA34-100,1),IF(ROUND(100/Z34*AA34-100,1)&gt;999,999,-999)))</f>
        <v>43.5</v>
      </c>
      <c r="AC34" s="196">
        <f>SUM(AC14+AC15+AC16+AC17+AC21+AC29+AC30+AC31+AC32+AC33)</f>
        <v>99</v>
      </c>
      <c r="AD34" s="427">
        <f>SUM(AD14+AD15+AD16+AD17+AD21+AD29+AD30+AD31+AD32+AD33)</f>
        <v>98</v>
      </c>
      <c r="AE34" s="508">
        <f>IF(AC34=0, "    ---- ", IF(ABS(ROUND(100/AC34*AD34-100,1))&lt;999,ROUND(100/AC34*AD34-100,1),IF(ROUND(100/AC34*AD34-100,1)&gt;999,999,-999)))</f>
        <v>-1</v>
      </c>
      <c r="AF34" s="196">
        <f>SUM(AF14+AF15+AF16+AF17+AF21+AF29+AF30+AF31+AF32+AF33)</f>
        <v>2.9486521599999409</v>
      </c>
      <c r="AG34" s="427">
        <f>SUM(AG14+AG15+AG16+AG17+AG21+AG29+AG30+AG31+AG32+AG33)</f>
        <v>4.6953985100000075</v>
      </c>
      <c r="AH34" s="508">
        <f>IF(AF34=0, "    ---- ", IF(ABS(ROUND(100/AF34*AG34-100,1))&lt;999,ROUND(100/AF34*AG34-100,1),IF(ROUND(100/AF34*AG34-100,1)&gt;999,999,-999)))</f>
        <v>59.2</v>
      </c>
      <c r="AI34" s="196">
        <f>SUM(AI14+AI15+AI16+AI17+AI21+AI29+AI30+AI31+AI32+AI33)</f>
        <v>-165.97491759209953</v>
      </c>
      <c r="AJ34" s="427">
        <f>SUM(AJ14+AJ15+AJ16+AJ17+AJ21+AJ29+AJ30+AJ31+AJ32+AJ33)</f>
        <v>-13.347696510001256</v>
      </c>
      <c r="AK34" s="508">
        <f>IF(AI34=0, "    ---- ", IF(ABS(ROUND(100/AI34*AJ34-100,1))&lt;999,ROUND(100/AI34*AJ34-100,1),IF(ROUND(100/AI34*AJ34-100,1)&gt;999,999,-999)))</f>
        <v>-92</v>
      </c>
      <c r="AL34" s="196">
        <f>SUM(AL14+AL15+AL16+AL17+AL21+AL29+AL30+AL31+AL32+AL33)</f>
        <v>-327.59999999999997</v>
      </c>
      <c r="AM34" s="427">
        <f>SUM(AM14+AM15+AM16+AM17+AM21+AM29+AM30+AM31+AM32+AM33)</f>
        <v>199</v>
      </c>
      <c r="AN34" s="508">
        <f>IF(AL34=0, "    ---- ", IF(ABS(ROUND(100/AL34*AM34-100,1))&lt;999,ROUND(100/AL34*AM34-100,1),IF(ROUND(100/AL34*AM34-100,1)&gt;999,999,-999)))</f>
        <v>-160.69999999999999</v>
      </c>
      <c r="AO34" s="508">
        <f>B34+H34+K34+N34+Q34+W34+E34+Z34+AC34+AI34+AL34</f>
        <v>-1699.7618893721028</v>
      </c>
      <c r="AP34" s="508">
        <f>C34+I34+L34+O34+R34+X34+F34+AA34+AD34+AJ34+AM34</f>
        <v>6203.5781520399969</v>
      </c>
      <c r="AQ34" s="508">
        <f t="shared" si="12"/>
        <v>-465</v>
      </c>
      <c r="AR34" s="508"/>
      <c r="AS34" s="508"/>
      <c r="AT34" s="508"/>
    </row>
    <row r="35" spans="1:46" s="509" customFormat="1" ht="18.75" customHeight="1" x14ac:dyDescent="0.3">
      <c r="A35" s="510"/>
      <c r="B35" s="613"/>
      <c r="C35" s="511"/>
      <c r="D35" s="512"/>
      <c r="E35" s="613"/>
      <c r="F35" s="511"/>
      <c r="G35" s="414"/>
      <c r="H35" s="613"/>
      <c r="I35" s="511"/>
      <c r="J35" s="512"/>
      <c r="K35" s="613"/>
      <c r="L35" s="511"/>
      <c r="M35" s="512"/>
      <c r="N35" s="613"/>
      <c r="O35" s="511"/>
      <c r="P35" s="512"/>
      <c r="Q35" s="613"/>
      <c r="R35" s="511"/>
      <c r="S35" s="512"/>
      <c r="T35" s="613"/>
      <c r="U35" s="511"/>
      <c r="V35" s="512"/>
      <c r="W35" s="613"/>
      <c r="X35" s="511"/>
      <c r="Y35" s="512"/>
      <c r="Z35" s="613"/>
      <c r="AA35" s="511"/>
      <c r="AB35" s="512"/>
      <c r="AC35" s="613"/>
      <c r="AD35" s="511"/>
      <c r="AE35" s="512"/>
      <c r="AF35" s="613"/>
      <c r="AG35" s="511"/>
      <c r="AH35" s="512"/>
      <c r="AI35" s="613"/>
      <c r="AJ35" s="511"/>
      <c r="AK35" s="513"/>
      <c r="AL35" s="613"/>
      <c r="AM35" s="511"/>
      <c r="AN35" s="513"/>
      <c r="AO35" s="513"/>
      <c r="AP35" s="513"/>
      <c r="AQ35" s="513"/>
      <c r="AR35" s="514"/>
      <c r="AS35" s="515"/>
      <c r="AT35" s="516"/>
    </row>
    <row r="36" spans="1:46" s="509" customFormat="1" ht="18.75" customHeight="1" x14ac:dyDescent="0.3">
      <c r="A36" s="485" t="s">
        <v>292</v>
      </c>
      <c r="B36" s="613"/>
      <c r="C36" s="511"/>
      <c r="D36" s="512"/>
      <c r="E36" s="613"/>
      <c r="F36" s="511"/>
      <c r="G36" s="414"/>
      <c r="H36" s="613"/>
      <c r="I36" s="511"/>
      <c r="J36" s="512"/>
      <c r="K36" s="613"/>
      <c r="L36" s="511"/>
      <c r="M36" s="512"/>
      <c r="N36" s="613"/>
      <c r="O36" s="511"/>
      <c r="P36" s="512"/>
      <c r="Q36" s="613"/>
      <c r="R36" s="511"/>
      <c r="S36" s="512"/>
      <c r="T36" s="613"/>
      <c r="U36" s="511"/>
      <c r="V36" s="512"/>
      <c r="W36" s="613"/>
      <c r="X36" s="511"/>
      <c r="Y36" s="512"/>
      <c r="Z36" s="613"/>
      <c r="AA36" s="511"/>
      <c r="AB36" s="512"/>
      <c r="AC36" s="613"/>
      <c r="AD36" s="511"/>
      <c r="AE36" s="512"/>
      <c r="AF36" s="613"/>
      <c r="AG36" s="511"/>
      <c r="AH36" s="512"/>
      <c r="AI36" s="613"/>
      <c r="AJ36" s="511"/>
      <c r="AK36" s="512"/>
      <c r="AL36" s="613"/>
      <c r="AM36" s="511"/>
      <c r="AN36" s="512"/>
      <c r="AO36" s="512"/>
      <c r="AP36" s="512"/>
      <c r="AQ36" s="512"/>
      <c r="AR36" s="517"/>
      <c r="AS36" s="518"/>
      <c r="AT36" s="519"/>
    </row>
    <row r="37" spans="1:46" s="521" customFormat="1" ht="18.75" customHeight="1" x14ac:dyDescent="0.3">
      <c r="A37" s="493" t="s">
        <v>293</v>
      </c>
      <c r="B37" s="614">
        <v>-0.313</v>
      </c>
      <c r="C37" s="496">
        <v>1.772</v>
      </c>
      <c r="D37" s="495">
        <f t="shared" ref="D37:D43" si="27">IF(B37=0, "    ---- ", IF(ABS(ROUND(100/B37*C37-100,1))&lt;999,ROUND(100/B37*C37-100,1),IF(ROUND(100/B37*C37-100,1)&gt;999,999,-999)))</f>
        <v>-666.1</v>
      </c>
      <c r="E37" s="614">
        <v>-0.9</v>
      </c>
      <c r="F37" s="496"/>
      <c r="G37" s="314">
        <f t="shared" ref="G37:G44" si="28">IF(E37=0, "    ---- ", IF(ABS(ROUND(100/E37*F37-100,1))&lt;999,ROUND(100/E37*F37-100,1),IF(ROUND(100/E37*F37-100,1)&gt;999,999,-999)))</f>
        <v>-100</v>
      </c>
      <c r="H37" s="614">
        <v>-189.71199999999999</v>
      </c>
      <c r="I37" s="496">
        <v>230.48308046</v>
      </c>
      <c r="J37" s="495">
        <f t="shared" ref="J37:J44" si="29">IF(H37=0, "    ---- ", IF(ABS(ROUND(100/H37*I37-100,1))&lt;999,ROUND(100/H37*I37-100,1),IF(ROUND(100/H37*I37-100,1)&gt;999,999,-999)))</f>
        <v>-221.5</v>
      </c>
      <c r="K37" s="614">
        <v>-15.978732869999998</v>
      </c>
      <c r="L37" s="496">
        <v>7.6341016200000009</v>
      </c>
      <c r="M37" s="495">
        <f t="shared" ref="M37:M43" si="30">IF(K37=0, "    ---- ", IF(ABS(ROUND(100/K37*L37-100,1))&lt;999,ROUND(100/K37*L37-100,1),IF(ROUND(100/K37*L37-100,1)&gt;999,999,-999)))</f>
        <v>-147.80000000000001</v>
      </c>
      <c r="N37" s="614">
        <v>-10.164999999999999</v>
      </c>
      <c r="O37" s="496">
        <v>10.135</v>
      </c>
      <c r="P37" s="495">
        <f t="shared" ref="P37:P43" si="31">IF(N37=0, "    ---- ", IF(ABS(ROUND(100/N37*O37-100,1))&lt;999,ROUND(100/N37*O37-100,1),IF(ROUND(100/N37*O37-100,1)&gt;999,999,-999)))</f>
        <v>-199.7</v>
      </c>
      <c r="Q37" s="614">
        <v>0.6</v>
      </c>
      <c r="R37" s="496">
        <v>1.9</v>
      </c>
      <c r="S37" s="495">
        <f t="shared" ref="S37:S44" si="32">IF(Q37=0, "    ---- ", IF(ABS(ROUND(100/Q37*R37-100,1))&lt;999,ROUND(100/Q37*R37-100,1),IF(ROUND(100/Q37*R37-100,1)&gt;999,999,-999)))</f>
        <v>216.7</v>
      </c>
      <c r="T37" s="614">
        <v>0.75685972999999995</v>
      </c>
      <c r="U37" s="496">
        <v>0.18786855999999999</v>
      </c>
      <c r="V37" s="495">
        <f t="shared" ref="V37:V43" si="33">IF(T37=0, "    ---- ", IF(ABS(ROUND(100/T37*U37-100,1))&lt;999,ROUND(100/T37*U37-100,1),IF(ROUND(100/T37*U37-100,1)&gt;999,999,-999)))</f>
        <v>-75.2</v>
      </c>
      <c r="W37" s="193">
        <v>43.506251429999999</v>
      </c>
      <c r="X37" s="496">
        <v>271.8638866</v>
      </c>
      <c r="Y37" s="495">
        <f t="shared" ref="Y37:Y44" si="34">IF(W37=0, "    ---- ", IF(ABS(ROUND(100/W37*X37-100,1))&lt;999,ROUND(100/W37*X37-100,1),IF(ROUND(100/W37*X37-100,1)&gt;999,999,-999)))</f>
        <v>524.9</v>
      </c>
      <c r="Z37" s="614">
        <v>124.93</v>
      </c>
      <c r="AA37" s="496">
        <v>0.9</v>
      </c>
      <c r="AB37" s="495">
        <f t="shared" ref="AB37:AB44" si="35">IF(Z37=0, "    ---- ", IF(ABS(ROUND(100/Z37*AA37-100,1))&lt;999,ROUND(100/Z37*AA37-100,1),IF(ROUND(100/Z37*AA37-100,1)&gt;999,999,-999)))</f>
        <v>-99.3</v>
      </c>
      <c r="AC37" s="614">
        <v>-252</v>
      </c>
      <c r="AD37" s="496">
        <v>154</v>
      </c>
      <c r="AE37" s="495">
        <f t="shared" ref="AE37:AE43" si="36">IF(AC37=0, "    ---- ", IF(ABS(ROUND(100/AC37*AD37-100,1))&lt;999,ROUND(100/AC37*AD37-100,1),IF(ROUND(100/AC37*AD37-100,1)&gt;999,999,-999)))</f>
        <v>-161.1</v>
      </c>
      <c r="AF37" s="614">
        <v>-6.1040440000000001E-2</v>
      </c>
      <c r="AG37" s="496">
        <v>8.4087560000000006E-2</v>
      </c>
      <c r="AH37" s="495"/>
      <c r="AI37" s="614">
        <v>-72.271955070000004</v>
      </c>
      <c r="AJ37" s="496">
        <v>15.02580172</v>
      </c>
      <c r="AK37" s="495">
        <f t="shared" ref="AK37:AK44" si="37">IF(AI37=0, "    ---- ", IF(ABS(ROUND(100/AI37*AJ37-100,1))&lt;999,ROUND(100/AI37*AJ37-100,1),IF(ROUND(100/AI37*AJ37-100,1)&gt;999,999,-999)))</f>
        <v>-120.8</v>
      </c>
      <c r="AL37" s="614">
        <v>-205</v>
      </c>
      <c r="AM37" s="496">
        <v>1302</v>
      </c>
      <c r="AN37" s="495">
        <f t="shared" ref="AN37:AN44" si="38">IF(AL37=0, "    ---- ", IF(ABS(ROUND(100/AL37*AM37-100,1))&lt;999,ROUND(100/AL37*AM37-100,1),IF(ROUND(100/AL37*AM37-100,1)&gt;999,999,-999)))</f>
        <v>-735.1</v>
      </c>
      <c r="AO37" s="495">
        <f t="shared" ref="AO37:AP39" si="39">B37+H37+K37+N37+Q37+W37+Z37+AC37+AI37+AL37+E37</f>
        <v>-577.30443650999996</v>
      </c>
      <c r="AP37" s="495">
        <f t="shared" si="39"/>
        <v>1995.7138703999999</v>
      </c>
      <c r="AQ37" s="495">
        <f t="shared" si="12"/>
        <v>-445.7</v>
      </c>
      <c r="AR37" s="497"/>
      <c r="AS37" s="520"/>
      <c r="AT37" s="499"/>
    </row>
    <row r="38" spans="1:46" s="521" customFormat="1" ht="18.75" customHeight="1" x14ac:dyDescent="0.3">
      <c r="A38" s="493" t="s">
        <v>294</v>
      </c>
      <c r="B38" s="614"/>
      <c r="C38" s="496"/>
      <c r="D38" s="495"/>
      <c r="E38" s="614">
        <v>1.5</v>
      </c>
      <c r="F38" s="496"/>
      <c r="G38" s="314">
        <f t="shared" si="28"/>
        <v>-100</v>
      </c>
      <c r="H38" s="614">
        <v>1226.126</v>
      </c>
      <c r="I38" s="496">
        <v>23.649785999999999</v>
      </c>
      <c r="J38" s="495">
        <f t="shared" si="29"/>
        <v>-98.1</v>
      </c>
      <c r="K38" s="614"/>
      <c r="L38" s="496">
        <v>0</v>
      </c>
      <c r="M38" s="495" t="str">
        <f t="shared" si="30"/>
        <v xml:space="preserve">    ---- </v>
      </c>
      <c r="N38" s="614">
        <v>1.4E-2</v>
      </c>
      <c r="O38" s="496">
        <v>1.4E-2</v>
      </c>
      <c r="P38" s="495">
        <f t="shared" si="31"/>
        <v>0</v>
      </c>
      <c r="Q38" s="614"/>
      <c r="R38" s="496"/>
      <c r="S38" s="495" t="str">
        <f t="shared" si="32"/>
        <v xml:space="preserve">    ---- </v>
      </c>
      <c r="T38" s="614"/>
      <c r="U38" s="496"/>
      <c r="V38" s="495"/>
      <c r="W38" s="193">
        <v>4.1626426600000004</v>
      </c>
      <c r="X38" s="496">
        <v>8.988684619999999</v>
      </c>
      <c r="Y38" s="495">
        <f t="shared" si="34"/>
        <v>115.9</v>
      </c>
      <c r="Z38" s="614">
        <v>0.02</v>
      </c>
      <c r="AA38" s="496">
        <v>0</v>
      </c>
      <c r="AB38" s="495">
        <f t="shared" si="35"/>
        <v>-100</v>
      </c>
      <c r="AC38" s="614">
        <v>4</v>
      </c>
      <c r="AD38" s="496">
        <v>1</v>
      </c>
      <c r="AE38" s="495">
        <f t="shared" si="36"/>
        <v>-75</v>
      </c>
      <c r="AF38" s="614"/>
      <c r="AG38" s="496"/>
      <c r="AH38" s="495"/>
      <c r="AI38" s="614">
        <v>1.6123177500000001</v>
      </c>
      <c r="AJ38" s="496">
        <v>0.63537060999999995</v>
      </c>
      <c r="AK38" s="495">
        <f t="shared" si="37"/>
        <v>-60.6</v>
      </c>
      <c r="AL38" s="614">
        <v>4</v>
      </c>
      <c r="AM38" s="496">
        <v>1</v>
      </c>
      <c r="AN38" s="495">
        <f t="shared" si="38"/>
        <v>-75</v>
      </c>
      <c r="AO38" s="495">
        <f t="shared" si="39"/>
        <v>1241.43496041</v>
      </c>
      <c r="AP38" s="495">
        <f t="shared" si="39"/>
        <v>35.287841229999998</v>
      </c>
      <c r="AQ38" s="495">
        <f t="shared" si="12"/>
        <v>-97.2</v>
      </c>
      <c r="AR38" s="495"/>
      <c r="AS38" s="522"/>
      <c r="AT38" s="495"/>
    </row>
    <row r="39" spans="1:46" s="521" customFormat="1" ht="18.75" customHeight="1" x14ac:dyDescent="0.3">
      <c r="A39" s="493" t="s">
        <v>295</v>
      </c>
      <c r="B39" s="614"/>
      <c r="C39" s="496"/>
      <c r="D39" s="495"/>
      <c r="E39" s="614">
        <v>-0.1</v>
      </c>
      <c r="F39" s="496"/>
      <c r="G39" s="314">
        <f t="shared" si="28"/>
        <v>-100</v>
      </c>
      <c r="H39" s="614">
        <v>-105.205</v>
      </c>
      <c r="I39" s="496">
        <v>-82.463551109999997</v>
      </c>
      <c r="J39" s="495">
        <f t="shared" si="29"/>
        <v>-21.6</v>
      </c>
      <c r="K39" s="614">
        <v>-5.6694336999999999</v>
      </c>
      <c r="L39" s="496">
        <v>-4.5108181500000004</v>
      </c>
      <c r="M39" s="495">
        <f t="shared" si="30"/>
        <v>-20.399999999999999</v>
      </c>
      <c r="N39" s="614"/>
      <c r="O39" s="496"/>
      <c r="P39" s="495" t="str">
        <f t="shared" si="31"/>
        <v xml:space="preserve">    ---- </v>
      </c>
      <c r="Q39" s="614">
        <v>-3.7</v>
      </c>
      <c r="R39" s="496">
        <v>-2.6</v>
      </c>
      <c r="S39" s="495">
        <f t="shared" si="32"/>
        <v>-29.7</v>
      </c>
      <c r="T39" s="614"/>
      <c r="U39" s="496"/>
      <c r="V39" s="495"/>
      <c r="W39" s="193">
        <v>-134.0308077</v>
      </c>
      <c r="X39" s="496">
        <v>-59.135021939999994</v>
      </c>
      <c r="Y39" s="495">
        <f t="shared" si="34"/>
        <v>-55.9</v>
      </c>
      <c r="Z39" s="614">
        <v>-35.29</v>
      </c>
      <c r="AA39" s="496">
        <v>-20.43</v>
      </c>
      <c r="AB39" s="495">
        <f t="shared" si="35"/>
        <v>-42.1</v>
      </c>
      <c r="AC39" s="614">
        <v>-25</v>
      </c>
      <c r="AD39" s="496">
        <v>-26</v>
      </c>
      <c r="AE39" s="495">
        <f t="shared" si="36"/>
        <v>4</v>
      </c>
      <c r="AF39" s="614"/>
      <c r="AG39" s="496"/>
      <c r="AH39" s="495"/>
      <c r="AI39" s="614">
        <v>-14.997755897900005</v>
      </c>
      <c r="AJ39" s="496">
        <v>-28.414693900000003</v>
      </c>
      <c r="AK39" s="495">
        <f t="shared" si="37"/>
        <v>89.5</v>
      </c>
      <c r="AL39" s="614">
        <v>-113</v>
      </c>
      <c r="AM39" s="496">
        <v>-100</v>
      </c>
      <c r="AN39" s="495">
        <f t="shared" si="38"/>
        <v>-11.5</v>
      </c>
      <c r="AO39" s="495">
        <f t="shared" si="39"/>
        <v>-436.99299729790005</v>
      </c>
      <c r="AP39" s="495">
        <f t="shared" si="39"/>
        <v>-323.55408510000001</v>
      </c>
      <c r="AQ39" s="495">
        <f t="shared" si="12"/>
        <v>-26</v>
      </c>
      <c r="AR39" s="495"/>
      <c r="AS39" s="522"/>
      <c r="AT39" s="495"/>
    </row>
    <row r="40" spans="1:46" s="524" customFormat="1" ht="18.75" customHeight="1" x14ac:dyDescent="0.3">
      <c r="A40" s="510" t="s">
        <v>296</v>
      </c>
      <c r="B40" s="613">
        <f>SUM(B37:B39)</f>
        <v>-0.313</v>
      </c>
      <c r="C40" s="511">
        <f>SUM(C37:C39)</f>
        <v>1.772</v>
      </c>
      <c r="D40" s="512">
        <f t="shared" si="27"/>
        <v>-666.1</v>
      </c>
      <c r="E40" s="613">
        <f>SUM(E37:E39)</f>
        <v>0.5</v>
      </c>
      <c r="F40" s="511"/>
      <c r="G40" s="414">
        <f t="shared" si="28"/>
        <v>-100</v>
      </c>
      <c r="H40" s="613">
        <f>SUM(H37:H39)</f>
        <v>931.20899999999995</v>
      </c>
      <c r="I40" s="511">
        <f>SUM(I37:I39)</f>
        <v>171.66931535000001</v>
      </c>
      <c r="J40" s="512">
        <f t="shared" si="29"/>
        <v>-81.599999999999994</v>
      </c>
      <c r="K40" s="613">
        <v>-21.648166569999997</v>
      </c>
      <c r="L40" s="511">
        <f>SUM(L37:L39)</f>
        <v>3.1232834700000005</v>
      </c>
      <c r="M40" s="512">
        <f t="shared" si="30"/>
        <v>-114.4</v>
      </c>
      <c r="N40" s="613">
        <f>SUM(N37:N39)</f>
        <v>-10.151</v>
      </c>
      <c r="O40" s="511">
        <f>SUM(O37:O39)</f>
        <v>10.148999999999999</v>
      </c>
      <c r="P40" s="512">
        <f t="shared" si="31"/>
        <v>-200</v>
      </c>
      <c r="Q40" s="613">
        <f>SUM(Q37:Q39)</f>
        <v>-3.1</v>
      </c>
      <c r="R40" s="511">
        <f>SUM(R37:R39)</f>
        <v>-0.70000000000000018</v>
      </c>
      <c r="S40" s="512">
        <f t="shared" si="32"/>
        <v>-77.400000000000006</v>
      </c>
      <c r="T40" s="613">
        <f>SUM(T37:T39)</f>
        <v>0.75685972999999995</v>
      </c>
      <c r="U40" s="511">
        <f>SUM(U37:U39)</f>
        <v>0.18786855999999999</v>
      </c>
      <c r="V40" s="512">
        <f t="shared" si="33"/>
        <v>-75.2</v>
      </c>
      <c r="W40" s="649">
        <v>-86.361913609999988</v>
      </c>
      <c r="X40" s="511">
        <v>221.71754928000001</v>
      </c>
      <c r="Y40" s="512">
        <f t="shared" si="34"/>
        <v>-356.7</v>
      </c>
      <c r="Z40" s="613">
        <f>SUM(Z37:Z39)</f>
        <v>89.66</v>
      </c>
      <c r="AA40" s="511">
        <f>SUM(AA37:AA39)</f>
        <v>-19.53</v>
      </c>
      <c r="AB40" s="512">
        <f t="shared" si="35"/>
        <v>-121.8</v>
      </c>
      <c r="AC40" s="613">
        <f>SUM(AC37:AC39)</f>
        <v>-273</v>
      </c>
      <c r="AD40" s="511">
        <f>SUM(AD37:AD39)</f>
        <v>129</v>
      </c>
      <c r="AE40" s="512">
        <f t="shared" si="36"/>
        <v>-147.30000000000001</v>
      </c>
      <c r="AF40" s="613">
        <f>SUM(AF37:AF39)</f>
        <v>-6.1040440000000001E-2</v>
      </c>
      <c r="AG40" s="511">
        <f>SUM(AG37:AG39)</f>
        <v>8.4087560000000006E-2</v>
      </c>
      <c r="AH40" s="512"/>
      <c r="AI40" s="613">
        <f>SUM(AI37:AI39)</f>
        <v>-85.657393217900008</v>
      </c>
      <c r="AJ40" s="511">
        <f>SUM(AJ37:AJ39)</f>
        <v>-12.753521570000002</v>
      </c>
      <c r="AK40" s="512">
        <f t="shared" si="37"/>
        <v>-85.1</v>
      </c>
      <c r="AL40" s="613">
        <f>SUM(AL37:AL39)</f>
        <v>-314</v>
      </c>
      <c r="AM40" s="511">
        <f>SUM(AM37:AM39)</f>
        <v>1203</v>
      </c>
      <c r="AN40" s="512">
        <f t="shared" si="38"/>
        <v>-483.1</v>
      </c>
      <c r="AO40" s="512">
        <f>B40+H40+K40+N40+Q40+W40+Z40+AC40+AI40+AL40+E40</f>
        <v>227.13752660210002</v>
      </c>
      <c r="AP40" s="512">
        <f>C40+I40+L40+O40+R40+X40+AA40+AD40+AJ40+AM40+F40</f>
        <v>1707.44762653</v>
      </c>
      <c r="AQ40" s="512">
        <f t="shared" si="12"/>
        <v>651.70000000000005</v>
      </c>
      <c r="AR40" s="512"/>
      <c r="AS40" s="523"/>
      <c r="AT40" s="512"/>
    </row>
    <row r="41" spans="1:46" s="524" customFormat="1" ht="18.75" customHeight="1" x14ac:dyDescent="0.3">
      <c r="A41" s="510" t="s">
        <v>297</v>
      </c>
      <c r="B41" s="613">
        <f>B34+B40</f>
        <v>27.527000000000204</v>
      </c>
      <c r="C41" s="511">
        <f>C34+C40</f>
        <v>37.608000000000118</v>
      </c>
      <c r="D41" s="512">
        <f t="shared" si="27"/>
        <v>36.6</v>
      </c>
      <c r="E41" s="613">
        <f>E34+E40</f>
        <v>-13.800000000000068</v>
      </c>
      <c r="F41" s="511"/>
      <c r="G41" s="414">
        <f t="shared" si="28"/>
        <v>-100</v>
      </c>
      <c r="H41" s="613">
        <f>H34+H40</f>
        <v>-531.70600000000138</v>
      </c>
      <c r="I41" s="511">
        <f>I34+I40</f>
        <v>455.74966626999799</v>
      </c>
      <c r="J41" s="512">
        <f t="shared" si="29"/>
        <v>-185.7</v>
      </c>
      <c r="K41" s="613">
        <v>-249.00364330000011</v>
      </c>
      <c r="L41" s="511">
        <f>L34+L40</f>
        <v>214.79698653999949</v>
      </c>
      <c r="M41" s="512">
        <f t="shared" si="30"/>
        <v>-186.3</v>
      </c>
      <c r="N41" s="613">
        <f>N34+N40</f>
        <v>34.942999999999913</v>
      </c>
      <c r="O41" s="511">
        <f>O34+O40</f>
        <v>5.6770000000000191</v>
      </c>
      <c r="P41" s="512">
        <f t="shared" si="31"/>
        <v>-83.8</v>
      </c>
      <c r="Q41" s="613">
        <f>Q34+Q40</f>
        <v>35.80000000000009</v>
      </c>
      <c r="R41" s="511">
        <f>R34+R40</f>
        <v>45.200000000000941</v>
      </c>
      <c r="S41" s="512">
        <f t="shared" si="32"/>
        <v>26.3</v>
      </c>
      <c r="T41" s="613">
        <f>T34+T40</f>
        <v>2.6635668400000005</v>
      </c>
      <c r="U41" s="511">
        <f>U34+U40</f>
        <v>6.5879841799999994</v>
      </c>
      <c r="V41" s="512">
        <f t="shared" si="33"/>
        <v>147.30000000000001</v>
      </c>
      <c r="W41" s="649">
        <v>30.595121889999234</v>
      </c>
      <c r="X41" s="511">
        <v>5323.82057059</v>
      </c>
      <c r="Y41" s="512">
        <f t="shared" si="34"/>
        <v>999</v>
      </c>
      <c r="Z41" s="613">
        <f>Z34+Z40</f>
        <v>260.2524694499989</v>
      </c>
      <c r="AA41" s="511">
        <f>AA34+AA40</f>
        <v>225.27477325000007</v>
      </c>
      <c r="AB41" s="512">
        <f t="shared" si="35"/>
        <v>-13.4</v>
      </c>
      <c r="AC41" s="613">
        <f>AC34+AC40</f>
        <v>-174</v>
      </c>
      <c r="AD41" s="511">
        <f>AD34+AD40</f>
        <v>227</v>
      </c>
      <c r="AE41" s="512">
        <f t="shared" si="36"/>
        <v>-230.5</v>
      </c>
      <c r="AF41" s="613">
        <f>AF34+AF40</f>
        <v>2.8876117199999407</v>
      </c>
      <c r="AG41" s="511">
        <f>AG34+AG40</f>
        <v>4.7794860700000079</v>
      </c>
      <c r="AH41" s="512">
        <f>IF(AF41=0, "    ---- ", IF(ABS(ROUND(100/AF41*AG41-100,1))&lt;999,ROUND(100/AF41*AG41-100,1),IF(ROUND(100/AF41*AG41-100,1)&gt;999,999,-999)))</f>
        <v>65.5</v>
      </c>
      <c r="AI41" s="613">
        <f>AI34+AI40</f>
        <v>-251.63231080999952</v>
      </c>
      <c r="AJ41" s="511">
        <f>AJ34+AJ40</f>
        <v>-26.10121808000126</v>
      </c>
      <c r="AK41" s="512">
        <f t="shared" si="37"/>
        <v>-89.6</v>
      </c>
      <c r="AL41" s="613">
        <f>AL34+AL40</f>
        <v>-641.59999999999991</v>
      </c>
      <c r="AM41" s="511">
        <f>AM34+AM40</f>
        <v>1402</v>
      </c>
      <c r="AN41" s="512">
        <f t="shared" si="38"/>
        <v>-318.5</v>
      </c>
      <c r="AO41" s="512">
        <f t="shared" ref="AO41:AP41" si="40">B41+H41+K41+N41+Q41+W41+E41+Z41+AC41+AI41+AL41</f>
        <v>-1472.6243627700026</v>
      </c>
      <c r="AP41" s="512">
        <f t="shared" si="40"/>
        <v>7911.0257785699969</v>
      </c>
      <c r="AQ41" s="512">
        <f t="shared" si="12"/>
        <v>-637.20000000000005</v>
      </c>
      <c r="AR41" s="512"/>
      <c r="AS41" s="523"/>
      <c r="AT41" s="512"/>
    </row>
    <row r="42" spans="1:46" s="521" customFormat="1" ht="18.75" customHeight="1" x14ac:dyDescent="0.3">
      <c r="A42" s="493" t="s">
        <v>298</v>
      </c>
      <c r="B42" s="614">
        <v>-6.8810000000000002</v>
      </c>
      <c r="C42" s="496">
        <v>-9.4019999999999992</v>
      </c>
      <c r="D42" s="495">
        <f t="shared" si="27"/>
        <v>36.6</v>
      </c>
      <c r="E42" s="614"/>
      <c r="F42" s="496"/>
      <c r="G42" s="314"/>
      <c r="H42" s="614">
        <v>448.60899999999998</v>
      </c>
      <c r="I42" s="496">
        <v>-100.646528</v>
      </c>
      <c r="J42" s="495">
        <f t="shared" si="29"/>
        <v>-122.4</v>
      </c>
      <c r="K42" s="614">
        <v>60.477928310000003</v>
      </c>
      <c r="L42" s="496">
        <v>-61.05555957</v>
      </c>
      <c r="M42" s="495">
        <f t="shared" si="30"/>
        <v>-201</v>
      </c>
      <c r="N42" s="614">
        <v>-9.94</v>
      </c>
      <c r="O42" s="496">
        <v>-0.58199999999999996</v>
      </c>
      <c r="P42" s="495">
        <f t="shared" si="31"/>
        <v>-94.1</v>
      </c>
      <c r="Q42" s="614">
        <v>-8.9</v>
      </c>
      <c r="R42" s="496">
        <v>-11.3</v>
      </c>
      <c r="S42" s="495">
        <f t="shared" si="32"/>
        <v>27</v>
      </c>
      <c r="T42" s="614">
        <v>-0.66320599999999996</v>
      </c>
      <c r="U42" s="496">
        <v>-1.6529450000000001</v>
      </c>
      <c r="V42" s="495">
        <f t="shared" si="33"/>
        <v>149.19999999999999</v>
      </c>
      <c r="W42" s="193">
        <v>36.295757525000006</v>
      </c>
      <c r="X42" s="496">
        <v>-9.8931004749999989</v>
      </c>
      <c r="Y42" s="495"/>
      <c r="Z42" s="614">
        <v>-65.06</v>
      </c>
      <c r="AA42" s="496">
        <v>-56.32</v>
      </c>
      <c r="AB42" s="495">
        <f t="shared" si="35"/>
        <v>-13.4</v>
      </c>
      <c r="AC42" s="614"/>
      <c r="AD42" s="496"/>
      <c r="AE42" s="495" t="str">
        <f t="shared" si="36"/>
        <v xml:space="preserve">    ---- </v>
      </c>
      <c r="AF42" s="614">
        <v>-0.63527500000000003</v>
      </c>
      <c r="AG42" s="496">
        <v>-1.0514870000000001</v>
      </c>
      <c r="AH42" s="495"/>
      <c r="AI42" s="614">
        <v>43.973643000000003</v>
      </c>
      <c r="AJ42" s="496">
        <v>9.4362700000000004</v>
      </c>
      <c r="AK42" s="495">
        <f t="shared" si="37"/>
        <v>-78.5</v>
      </c>
      <c r="AL42" s="614">
        <v>767</v>
      </c>
      <c r="AM42" s="496">
        <v>-184</v>
      </c>
      <c r="AN42" s="495">
        <f t="shared" si="38"/>
        <v>-124</v>
      </c>
      <c r="AO42" s="495">
        <f>B42+H42+K42+N42+Q42+W42+Z42+AC42+AI42+AL42+E42</f>
        <v>1265.5753288349999</v>
      </c>
      <c r="AP42" s="495">
        <f>C42+I42+L42+O42+R42+X42+AA42+AD42+AJ42+AM42+F42</f>
        <v>-423.76291804499999</v>
      </c>
      <c r="AQ42" s="495">
        <f t="shared" si="12"/>
        <v>-133.5</v>
      </c>
      <c r="AR42" s="495"/>
      <c r="AS42" s="522"/>
      <c r="AT42" s="495"/>
    </row>
    <row r="43" spans="1:46" s="524" customFormat="1" ht="18.75" customHeight="1" x14ac:dyDescent="0.3">
      <c r="A43" s="510" t="s">
        <v>299</v>
      </c>
      <c r="B43" s="613">
        <f>B41+B42</f>
        <v>20.646000000000203</v>
      </c>
      <c r="C43" s="511">
        <f>C41+C42</f>
        <v>28.206000000000117</v>
      </c>
      <c r="D43" s="512">
        <f t="shared" si="27"/>
        <v>36.6</v>
      </c>
      <c r="E43" s="613">
        <f>E41+E42</f>
        <v>-13.800000000000068</v>
      </c>
      <c r="F43" s="511"/>
      <c r="G43" s="414">
        <f t="shared" si="28"/>
        <v>-100</v>
      </c>
      <c r="H43" s="613">
        <f>H41+H42</f>
        <v>-83.097000000001401</v>
      </c>
      <c r="I43" s="511">
        <f>I41+I42</f>
        <v>355.103138269998</v>
      </c>
      <c r="J43" s="512">
        <f t="shared" si="29"/>
        <v>-527.29999999999995</v>
      </c>
      <c r="K43" s="613">
        <v>-188.5257149900001</v>
      </c>
      <c r="L43" s="511">
        <f>L41+L42</f>
        <v>153.74142696999951</v>
      </c>
      <c r="M43" s="512">
        <f t="shared" si="30"/>
        <v>-181.5</v>
      </c>
      <c r="N43" s="613">
        <f>N41+N42</f>
        <v>25.002999999999915</v>
      </c>
      <c r="O43" s="511">
        <f>O41+O42</f>
        <v>5.0950000000000193</v>
      </c>
      <c r="P43" s="512">
        <f t="shared" si="31"/>
        <v>-79.599999999999994</v>
      </c>
      <c r="Q43" s="613">
        <f>Q41+Q42</f>
        <v>26.900000000000091</v>
      </c>
      <c r="R43" s="511">
        <f>R41+R42</f>
        <v>33.900000000000944</v>
      </c>
      <c r="S43" s="512">
        <f t="shared" si="32"/>
        <v>26</v>
      </c>
      <c r="T43" s="613">
        <f>T41+T42</f>
        <v>2.0003608400000008</v>
      </c>
      <c r="U43" s="511">
        <f>U41+U42</f>
        <v>4.9350391799999995</v>
      </c>
      <c r="V43" s="512">
        <f t="shared" si="33"/>
        <v>146.69999999999999</v>
      </c>
      <c r="W43" s="649">
        <v>66.890879414999233</v>
      </c>
      <c r="X43" s="511">
        <v>5313.9274701149998</v>
      </c>
      <c r="Y43" s="512">
        <f t="shared" si="34"/>
        <v>999</v>
      </c>
      <c r="Z43" s="613">
        <f>Z41+Z42</f>
        <v>195.1924694499989</v>
      </c>
      <c r="AA43" s="511">
        <f>AA41+AA42</f>
        <v>168.95477325000007</v>
      </c>
      <c r="AB43" s="512">
        <f t="shared" si="35"/>
        <v>-13.4</v>
      </c>
      <c r="AC43" s="613">
        <f>AC41+AC42</f>
        <v>-174</v>
      </c>
      <c r="AD43" s="511">
        <f>AD41+AD42</f>
        <v>227</v>
      </c>
      <c r="AE43" s="512">
        <f t="shared" si="36"/>
        <v>-230.5</v>
      </c>
      <c r="AF43" s="613">
        <f>AF41+AF42</f>
        <v>2.2523367199999407</v>
      </c>
      <c r="AG43" s="511">
        <f>AG41+AG42</f>
        <v>3.7279990700000081</v>
      </c>
      <c r="AH43" s="512">
        <f>IF(AF43=0, "    ---- ", IF(ABS(ROUND(100/AF43*AG43-100,1))&lt;999,ROUND(100/AF43*AG43-100,1),IF(ROUND(100/AF43*AG43-100,1)&gt;999,999,-999)))</f>
        <v>65.5</v>
      </c>
      <c r="AI43" s="613">
        <f>AI41+AI42</f>
        <v>-207.65866780999951</v>
      </c>
      <c r="AJ43" s="511">
        <f>AJ41+AJ42</f>
        <v>-16.66494808000126</v>
      </c>
      <c r="AK43" s="512">
        <f t="shared" si="37"/>
        <v>-92</v>
      </c>
      <c r="AL43" s="613">
        <f>AL41+AL42</f>
        <v>125.40000000000009</v>
      </c>
      <c r="AM43" s="511">
        <f>AM41+AM42</f>
        <v>1218</v>
      </c>
      <c r="AN43" s="512">
        <f t="shared" si="38"/>
        <v>871.3</v>
      </c>
      <c r="AO43" s="512">
        <f>B43+H43+K43+N43+Q43+W43+E43+Z43+AC43+AI43+AL43</f>
        <v>-207.04903393500263</v>
      </c>
      <c r="AP43" s="512">
        <f>C43+I43+L43+O43+R43+X43+F43+AA43+AD43+AJ43+AM43</f>
        <v>7487.2628605249974</v>
      </c>
      <c r="AQ43" s="512">
        <f t="shared" si="12"/>
        <v>-999</v>
      </c>
      <c r="AR43" s="512"/>
      <c r="AS43" s="523"/>
      <c r="AT43" s="512"/>
    </row>
    <row r="44" spans="1:46" s="521" customFormat="1" ht="18.75" customHeight="1" x14ac:dyDescent="0.3">
      <c r="A44" s="493" t="s">
        <v>300</v>
      </c>
      <c r="B44" s="614"/>
      <c r="C44" s="496"/>
      <c r="D44" s="495"/>
      <c r="E44" s="614">
        <v>-4.0999999999999996</v>
      </c>
      <c r="F44" s="496"/>
      <c r="G44" s="314">
        <f t="shared" si="28"/>
        <v>-100</v>
      </c>
      <c r="H44" s="614">
        <v>-7.7249999999999996</v>
      </c>
      <c r="I44" s="496">
        <v>4.9324360499999997</v>
      </c>
      <c r="J44" s="495">
        <f t="shared" si="29"/>
        <v>-163.9</v>
      </c>
      <c r="K44" s="614"/>
      <c r="L44" s="496">
        <v>0</v>
      </c>
      <c r="M44" s="495"/>
      <c r="N44" s="614"/>
      <c r="O44" s="496"/>
      <c r="P44" s="495"/>
      <c r="Q44" s="614"/>
      <c r="R44" s="496"/>
      <c r="S44" s="495" t="str">
        <f t="shared" si="32"/>
        <v xml:space="preserve">    ---- </v>
      </c>
      <c r="T44" s="614"/>
      <c r="U44" s="496"/>
      <c r="V44" s="495"/>
      <c r="W44" s="193">
        <v>-337.70486395500001</v>
      </c>
      <c r="X44" s="496">
        <v>194.60160976500001</v>
      </c>
      <c r="Y44" s="495">
        <f t="shared" si="34"/>
        <v>-157.6</v>
      </c>
      <c r="Z44" s="614">
        <v>-9.92</v>
      </c>
      <c r="AA44" s="496">
        <v>9.49</v>
      </c>
      <c r="AB44" s="495">
        <f t="shared" si="35"/>
        <v>-195.7</v>
      </c>
      <c r="AC44" s="614"/>
      <c r="AD44" s="496"/>
      <c r="AE44" s="495"/>
      <c r="AF44" s="614"/>
      <c r="AG44" s="496"/>
      <c r="AH44" s="495"/>
      <c r="AI44" s="614"/>
      <c r="AJ44" s="496"/>
      <c r="AK44" s="495" t="str">
        <f t="shared" si="37"/>
        <v xml:space="preserve">    ---- </v>
      </c>
      <c r="AL44" s="614">
        <v>34</v>
      </c>
      <c r="AM44" s="496">
        <v>-17</v>
      </c>
      <c r="AN44" s="495">
        <f t="shared" si="38"/>
        <v>-150</v>
      </c>
      <c r="AO44" s="495">
        <f>B44+H44+K44+N44+Q44+W44+Z44+AC44+AI44+AL44+E44</f>
        <v>-325.44986395500007</v>
      </c>
      <c r="AP44" s="495">
        <f>C44+I44+L44+O44+R44+X44+AA44+AD44+AJ44+AM44+F44</f>
        <v>192.02404581500002</v>
      </c>
      <c r="AQ44" s="495">
        <f t="shared" si="12"/>
        <v>-159</v>
      </c>
      <c r="AR44" s="495"/>
      <c r="AS44" s="522"/>
      <c r="AT44" s="495"/>
    </row>
    <row r="45" spans="1:46" s="524" customFormat="1" ht="18.75" customHeight="1" x14ac:dyDescent="0.3">
      <c r="A45" s="507" t="s">
        <v>301</v>
      </c>
      <c r="B45" s="615">
        <f>B43+B44</f>
        <v>20.646000000000203</v>
      </c>
      <c r="C45" s="525">
        <f>C43+C44</f>
        <v>28.206000000000117</v>
      </c>
      <c r="D45" s="508">
        <f>IF(B45=0, "    ---- ", IF(ABS(ROUND(100/B45*C45-100,1))&lt;999,ROUND(100/B45*C45-100,1),IF(ROUND(100/B45*C45-100,1)&gt;999,999,-999)))</f>
        <v>36.6</v>
      </c>
      <c r="E45" s="615">
        <f>E43+E44</f>
        <v>-17.90000000000007</v>
      </c>
      <c r="F45" s="525"/>
      <c r="G45" s="428">
        <f>IF(E45=0, "    ---- ", IF(ABS(ROUND(100/E45*F45-100,1))&lt;999,ROUND(100/E45*F45-100,1),IF(ROUND(100/E45*F45-100,1)&gt;999,999,-999)))</f>
        <v>-100</v>
      </c>
      <c r="H45" s="615">
        <f>H43+H44</f>
        <v>-90.822000000001395</v>
      </c>
      <c r="I45" s="648">
        <f>I43+I44</f>
        <v>360.03557431999798</v>
      </c>
      <c r="J45" s="508">
        <f>IF(H45=0, "    ---- ", IF(ABS(ROUND(100/H45*I45-100,1))&lt;999,ROUND(100/H45*I45-100,1),IF(ROUND(100/H45*I45-100,1)&gt;999,999,-999)))</f>
        <v>-496.4</v>
      </c>
      <c r="K45" s="615">
        <v>-188.5257149900001</v>
      </c>
      <c r="L45" s="525">
        <f>L43+L44</f>
        <v>153.74142696999951</v>
      </c>
      <c r="M45" s="508">
        <f>IF(K45=0, "    ---- ", IF(ABS(ROUND(100/K45*L45-100,1))&lt;999,ROUND(100/K45*L45-100,1),IF(ROUND(100/K45*L45-100,1)&gt;999,999,-999)))</f>
        <v>-181.5</v>
      </c>
      <c r="N45" s="615">
        <f>N43+N44</f>
        <v>25.002999999999915</v>
      </c>
      <c r="O45" s="525">
        <f>O43+O44</f>
        <v>5.0950000000000193</v>
      </c>
      <c r="P45" s="508">
        <f>IF(N45=0, "    ---- ", IF(ABS(ROUND(100/N45*O45-100,1))&lt;999,ROUND(100/N45*O45-100,1),IF(ROUND(100/N45*O45-100,1)&gt;999,999,-999)))</f>
        <v>-79.599999999999994</v>
      </c>
      <c r="Q45" s="615">
        <f>Q43+Q44</f>
        <v>26.900000000000091</v>
      </c>
      <c r="R45" s="525">
        <f>R43+R44</f>
        <v>33.900000000000944</v>
      </c>
      <c r="S45" s="508">
        <f>IF(Q45=0, "    ---- ", IF(ABS(ROUND(100/Q45*R45-100,1))&lt;999,ROUND(100/Q45*R45-100,1),IF(ROUND(100/Q45*R45-100,1)&gt;999,999,-999)))</f>
        <v>26</v>
      </c>
      <c r="T45" s="615">
        <f>T43+T44</f>
        <v>2.0003608400000008</v>
      </c>
      <c r="U45" s="525">
        <f>U43+U44</f>
        <v>4.9350391799999995</v>
      </c>
      <c r="V45" s="508">
        <f>IF(T45=0, "    ---- ", IF(ABS(ROUND(100/T45*U45-100,1))&lt;999,ROUND(100/T45*U45-100,1),IF(ROUND(100/T45*U45-100,1)&gt;999,999,-999)))</f>
        <v>146.69999999999999</v>
      </c>
      <c r="W45" s="650">
        <v>-270.81398454000077</v>
      </c>
      <c r="X45" s="525">
        <v>5508.5290798799997</v>
      </c>
      <c r="Y45" s="508">
        <f>IF(W45=0, "    ---- ", IF(ABS(ROUND(100/W45*X45-100,1))&lt;999,ROUND(100/W45*X45-100,1),IF(ROUND(100/W45*X45-100,1)&gt;999,999,-999)))</f>
        <v>-999</v>
      </c>
      <c r="Z45" s="615">
        <f>Z43+Z44</f>
        <v>185.27246944999891</v>
      </c>
      <c r="AA45" s="525">
        <f>AA43+AA44</f>
        <v>178.44477325000008</v>
      </c>
      <c r="AB45" s="508">
        <f>IF(Z45=0, "    ---- ", IF(ABS(ROUND(100/Z45*AA45-100,1))&lt;999,ROUND(100/Z45*AA45-100,1),IF(ROUND(100/Z45*AA45-100,1)&gt;999,999,-999)))</f>
        <v>-3.7</v>
      </c>
      <c r="AC45" s="615">
        <f>AC43+AC44</f>
        <v>-174</v>
      </c>
      <c r="AD45" s="525">
        <f>AD43+AD44</f>
        <v>227</v>
      </c>
      <c r="AE45" s="508">
        <f>IF(AC45=0, "    ---- ", IF(ABS(ROUND(100/AC45*AD45-100,1))&lt;999,ROUND(100/AC45*AD45-100,1),IF(ROUND(100/AC45*AD45-100,1)&gt;999,999,-999)))</f>
        <v>-230.5</v>
      </c>
      <c r="AF45" s="615">
        <f>AF43+AF44</f>
        <v>2.2523367199999407</v>
      </c>
      <c r="AG45" s="525">
        <f>AG43+AG44</f>
        <v>3.7279990700000081</v>
      </c>
      <c r="AH45" s="508">
        <f>IF(AF45=0, "    ---- ", IF(ABS(ROUND(100/AF45*AG45-100,1))&lt;999,ROUND(100/AF45*AG45-100,1),IF(ROUND(100/AF45*AG45-100,1)&gt;999,999,-999)))</f>
        <v>65.5</v>
      </c>
      <c r="AI45" s="615">
        <f>AI43+AI44</f>
        <v>-207.65866780999951</v>
      </c>
      <c r="AJ45" s="525">
        <f>AJ43+AJ44</f>
        <v>-16.66494808000126</v>
      </c>
      <c r="AK45" s="508">
        <f>IF(AI45=0, "    ---- ", IF(ABS(ROUND(100/AI45*AJ45-100,1))&lt;999,ROUND(100/AI45*AJ45-100,1),IF(ROUND(100/AI45*AJ45-100,1)&gt;999,999,-999)))</f>
        <v>-92</v>
      </c>
      <c r="AL45" s="615">
        <f>AL43+AL44</f>
        <v>159.40000000000009</v>
      </c>
      <c r="AM45" s="525">
        <f>AM43+AM44</f>
        <v>1201</v>
      </c>
      <c r="AN45" s="508">
        <f>IF(AL45=0, "    ---- ", IF(ABS(ROUND(100/AL45*AM45-100,1))&lt;999,ROUND(100/AL45*AM45-100,1),IF(ROUND(100/AL45*AM45-100,1)&gt;999,999,-999)))</f>
        <v>653.5</v>
      </c>
      <c r="AO45" s="508">
        <f>B45+H45+K45+N45+Q45+W45+E45+Z45+AC45+AI45+AL45</f>
        <v>-532.4988978900027</v>
      </c>
      <c r="AP45" s="508">
        <f>C45+I45+L45+O45+R45+X45+F45+AA45+AD45+AJ45+AM45</f>
        <v>7679.2869063399976</v>
      </c>
      <c r="AQ45" s="508">
        <f t="shared" si="12"/>
        <v>-999</v>
      </c>
      <c r="AR45" s="526"/>
      <c r="AS45" s="527"/>
      <c r="AT45" s="528"/>
    </row>
    <row r="46" spans="1:46" s="524" customFormat="1" ht="18.75" customHeight="1" x14ac:dyDescent="0.3">
      <c r="A46" s="529"/>
      <c r="B46" s="636"/>
      <c r="C46" s="530"/>
      <c r="D46" s="531"/>
      <c r="E46" s="636"/>
      <c r="F46" s="530"/>
      <c r="G46" s="656"/>
      <c r="H46" s="636"/>
      <c r="I46" s="530"/>
      <c r="J46" s="513"/>
      <c r="K46" s="530"/>
      <c r="L46" s="530"/>
      <c r="M46" s="513"/>
      <c r="N46" s="636"/>
      <c r="O46" s="530"/>
      <c r="P46" s="513"/>
      <c r="Q46" s="636"/>
      <c r="R46" s="530"/>
      <c r="S46" s="531"/>
      <c r="T46" s="636"/>
      <c r="U46" s="530"/>
      <c r="V46" s="513"/>
      <c r="W46" s="636"/>
      <c r="X46" s="530"/>
      <c r="Y46" s="513"/>
      <c r="Z46" s="636"/>
      <c r="AA46" s="530"/>
      <c r="AB46" s="513"/>
      <c r="AC46" s="636"/>
      <c r="AD46" s="530"/>
      <c r="AE46" s="513"/>
      <c r="AF46" s="636"/>
      <c r="AG46" s="530"/>
      <c r="AH46" s="513"/>
      <c r="AI46" s="636"/>
      <c r="AJ46" s="530"/>
      <c r="AK46" s="513"/>
      <c r="AL46" s="636"/>
      <c r="AM46" s="530"/>
      <c r="AN46" s="513"/>
      <c r="AO46" s="531"/>
      <c r="AP46" s="531"/>
      <c r="AQ46" s="513"/>
      <c r="AR46" s="532"/>
      <c r="AS46" s="532"/>
      <c r="AT46" s="533"/>
    </row>
    <row r="47" spans="1:46" s="534" customFormat="1" ht="18.75" customHeight="1" x14ac:dyDescent="0.3">
      <c r="A47" s="550" t="s">
        <v>302</v>
      </c>
      <c r="B47" s="565"/>
      <c r="C47" s="565"/>
      <c r="D47" s="550"/>
      <c r="E47" s="565"/>
      <c r="F47" s="565"/>
      <c r="G47" s="565"/>
      <c r="H47" s="565"/>
      <c r="I47" s="565"/>
      <c r="J47" s="550"/>
      <c r="K47" s="565"/>
      <c r="L47" s="565"/>
      <c r="M47" s="550"/>
      <c r="N47" s="565"/>
      <c r="O47" s="565"/>
      <c r="P47" s="550"/>
      <c r="Q47" s="565"/>
      <c r="R47" s="565"/>
      <c r="S47" s="550"/>
      <c r="T47" s="565"/>
      <c r="U47" s="565"/>
      <c r="V47" s="550"/>
      <c r="W47" s="565"/>
      <c r="X47" s="565"/>
      <c r="Y47" s="550"/>
      <c r="Z47" s="565"/>
      <c r="AA47" s="565"/>
      <c r="AB47" s="550"/>
      <c r="AC47" s="565"/>
      <c r="AD47" s="565"/>
      <c r="AE47" s="550"/>
      <c r="AF47" s="565"/>
      <c r="AG47" s="565"/>
      <c r="AH47" s="550"/>
      <c r="AI47" s="550"/>
      <c r="AJ47" s="565"/>
      <c r="AK47" s="550"/>
      <c r="AL47" s="565"/>
      <c r="AM47" s="565"/>
      <c r="AN47" s="550"/>
      <c r="AO47" s="550"/>
      <c r="AP47" s="550"/>
      <c r="AQ47" s="550"/>
      <c r="AR47" s="550"/>
      <c r="AS47" s="550"/>
      <c r="AT47" s="550"/>
    </row>
    <row r="48" spans="1:46" s="535" customFormat="1" ht="18.75" customHeight="1" x14ac:dyDescent="0.3">
      <c r="A48" s="550" t="s">
        <v>303</v>
      </c>
      <c r="B48" s="565"/>
      <c r="C48" s="565"/>
      <c r="D48" s="550"/>
      <c r="E48" s="565"/>
      <c r="F48" s="565"/>
      <c r="G48" s="565"/>
      <c r="H48" s="565"/>
      <c r="I48" s="565"/>
      <c r="J48" s="550"/>
      <c r="K48" s="565"/>
      <c r="L48" s="565"/>
      <c r="M48" s="550"/>
      <c r="N48" s="565"/>
      <c r="O48" s="565"/>
      <c r="P48" s="550"/>
      <c r="Q48" s="565"/>
      <c r="R48" s="565"/>
      <c r="S48" s="550"/>
      <c r="T48" s="565"/>
      <c r="U48" s="565"/>
      <c r="V48" s="550"/>
      <c r="W48" s="565"/>
      <c r="X48" s="565"/>
      <c r="Y48" s="550"/>
      <c r="Z48" s="565"/>
      <c r="AA48" s="565"/>
      <c r="AB48" s="550"/>
      <c r="AC48" s="565"/>
      <c r="AD48" s="565"/>
      <c r="AE48" s="550"/>
      <c r="AF48" s="565"/>
      <c r="AG48" s="565"/>
      <c r="AH48" s="550"/>
      <c r="AI48" s="550"/>
      <c r="AJ48" s="565"/>
      <c r="AK48" s="550"/>
      <c r="AL48" s="565"/>
      <c r="AM48" s="565"/>
      <c r="AN48" s="550"/>
      <c r="AO48" s="550"/>
      <c r="AP48" s="550"/>
      <c r="AQ48" s="550"/>
      <c r="AR48" s="550"/>
      <c r="AS48" s="550"/>
      <c r="AT48" s="550"/>
    </row>
    <row r="49" spans="1:46" s="535" customFormat="1" ht="18.75" customHeight="1" x14ac:dyDescent="0.3">
      <c r="A49" s="550" t="s">
        <v>304</v>
      </c>
      <c r="B49" s="565"/>
      <c r="C49" s="565"/>
      <c r="D49" s="550"/>
      <c r="E49" s="565"/>
      <c r="F49" s="565"/>
      <c r="G49" s="565"/>
      <c r="H49" s="565"/>
      <c r="I49" s="565"/>
      <c r="J49" s="550"/>
      <c r="K49" s="565"/>
      <c r="L49" s="565"/>
      <c r="M49" s="550"/>
      <c r="N49" s="565"/>
      <c r="O49" s="565"/>
      <c r="P49" s="550"/>
      <c r="Q49" s="565"/>
      <c r="R49" s="565"/>
      <c r="S49" s="550"/>
      <c r="T49" s="565"/>
      <c r="U49" s="565"/>
      <c r="V49" s="550"/>
      <c r="W49" s="565"/>
      <c r="X49" s="565"/>
      <c r="Y49" s="550"/>
      <c r="Z49" s="565"/>
      <c r="AA49" s="565"/>
      <c r="AB49" s="550"/>
      <c r="AC49" s="565"/>
      <c r="AD49" s="565"/>
      <c r="AE49" s="550"/>
      <c r="AF49" s="565"/>
      <c r="AG49" s="565"/>
      <c r="AH49" s="550"/>
      <c r="AI49" s="550"/>
      <c r="AJ49" s="565"/>
      <c r="AK49" s="550"/>
      <c r="AL49" s="565"/>
      <c r="AM49" s="565"/>
      <c r="AN49" s="550"/>
      <c r="AO49" s="550"/>
      <c r="AP49" s="550"/>
      <c r="AQ49" s="550"/>
      <c r="AR49" s="550"/>
      <c r="AS49" s="550"/>
      <c r="AT49" s="550"/>
    </row>
    <row r="50" spans="1:46" s="535" customFormat="1" ht="18.75" customHeight="1" x14ac:dyDescent="0.3">
      <c r="A50" s="550" t="s">
        <v>305</v>
      </c>
      <c r="B50" s="565"/>
      <c r="C50" s="565"/>
      <c r="D50" s="550"/>
      <c r="E50" s="565"/>
      <c r="F50" s="565"/>
      <c r="G50" s="565"/>
      <c r="H50" s="565"/>
      <c r="I50" s="565"/>
      <c r="J50" s="550"/>
      <c r="K50" s="565"/>
      <c r="L50" s="565"/>
      <c r="M50" s="550"/>
      <c r="N50" s="565"/>
      <c r="O50" s="565"/>
      <c r="P50" s="550"/>
      <c r="Q50" s="565"/>
      <c r="R50" s="565"/>
      <c r="S50" s="550"/>
      <c r="T50" s="565"/>
      <c r="U50" s="565"/>
      <c r="V50" s="550"/>
      <c r="W50" s="565"/>
      <c r="X50" s="565"/>
      <c r="Y50" s="550"/>
      <c r="Z50" s="565"/>
      <c r="AA50" s="565"/>
      <c r="AB50" s="550"/>
      <c r="AC50" s="565"/>
      <c r="AD50" s="565"/>
      <c r="AE50" s="550"/>
      <c r="AF50" s="565"/>
      <c r="AG50" s="565"/>
      <c r="AH50" s="550"/>
      <c r="AI50" s="550"/>
      <c r="AJ50" s="565"/>
      <c r="AK50" s="550"/>
      <c r="AL50" s="565"/>
      <c r="AM50" s="565"/>
      <c r="AN50" s="550"/>
      <c r="AO50" s="550"/>
      <c r="AP50" s="550"/>
      <c r="AQ50" s="550"/>
      <c r="AR50" s="550"/>
      <c r="AS50" s="550"/>
      <c r="AT50" s="550"/>
    </row>
    <row r="51" spans="1:46" s="535" customFormat="1" ht="18.75" customHeight="1" x14ac:dyDescent="0.3">
      <c r="A51" s="550" t="s">
        <v>306</v>
      </c>
      <c r="B51" s="565"/>
      <c r="C51" s="565"/>
      <c r="D51" s="550"/>
      <c r="E51" s="565"/>
      <c r="F51" s="565"/>
      <c r="G51" s="565"/>
      <c r="H51" s="565"/>
      <c r="I51" s="565"/>
      <c r="J51" s="550"/>
      <c r="K51" s="565"/>
      <c r="L51" s="565"/>
      <c r="M51" s="550"/>
      <c r="N51" s="565"/>
      <c r="O51" s="565"/>
      <c r="P51" s="550"/>
      <c r="Q51" s="565"/>
      <c r="R51" s="565"/>
      <c r="S51" s="550"/>
      <c r="T51" s="565"/>
      <c r="U51" s="565"/>
      <c r="V51" s="550"/>
      <c r="W51" s="565"/>
      <c r="X51" s="565"/>
      <c r="Y51" s="550"/>
      <c r="Z51" s="565"/>
      <c r="AA51" s="565"/>
      <c r="AB51" s="550"/>
      <c r="AC51" s="565"/>
      <c r="AD51" s="565"/>
      <c r="AE51" s="550"/>
      <c r="AF51" s="565"/>
      <c r="AG51" s="565"/>
      <c r="AH51" s="550"/>
      <c r="AI51" s="550"/>
      <c r="AJ51" s="565"/>
      <c r="AK51" s="550"/>
      <c r="AL51" s="565"/>
      <c r="AM51" s="565"/>
      <c r="AN51" s="550"/>
      <c r="AO51" s="550"/>
      <c r="AP51" s="550"/>
      <c r="AQ51" s="550"/>
      <c r="AR51" s="550"/>
      <c r="AS51" s="550"/>
      <c r="AT51" s="550"/>
    </row>
    <row r="52" spans="1:46" s="535" customFormat="1" ht="18.75" customHeight="1" x14ac:dyDescent="0.3">
      <c r="A52" s="550" t="s">
        <v>307</v>
      </c>
      <c r="B52" s="565"/>
      <c r="C52" s="565"/>
      <c r="D52" s="550"/>
      <c r="E52" s="565"/>
      <c r="F52" s="565"/>
      <c r="G52" s="565"/>
      <c r="H52" s="565"/>
      <c r="I52" s="565"/>
      <c r="J52" s="550"/>
      <c r="K52" s="565"/>
      <c r="L52" s="565"/>
      <c r="M52" s="550"/>
      <c r="N52" s="565"/>
      <c r="O52" s="565"/>
      <c r="P52" s="550"/>
      <c r="Q52" s="565"/>
      <c r="R52" s="565"/>
      <c r="S52" s="550"/>
      <c r="T52" s="565"/>
      <c r="U52" s="565"/>
      <c r="V52" s="550"/>
      <c r="W52" s="565"/>
      <c r="X52" s="565"/>
      <c r="Y52" s="550"/>
      <c r="Z52" s="565"/>
      <c r="AA52" s="565"/>
      <c r="AB52" s="550"/>
      <c r="AC52" s="565"/>
      <c r="AD52" s="565"/>
      <c r="AE52" s="550"/>
      <c r="AF52" s="565"/>
      <c r="AG52" s="565"/>
      <c r="AH52" s="550"/>
      <c r="AI52" s="550"/>
      <c r="AJ52" s="565"/>
      <c r="AK52" s="550"/>
      <c r="AL52" s="565"/>
      <c r="AM52" s="565"/>
      <c r="AN52" s="550"/>
      <c r="AO52" s="550"/>
      <c r="AP52" s="550"/>
      <c r="AQ52" s="550"/>
      <c r="AR52" s="550"/>
      <c r="AS52" s="550"/>
      <c r="AT52" s="550"/>
    </row>
    <row r="53" spans="1:46" s="535" customFormat="1" ht="18.75" customHeight="1" x14ac:dyDescent="0.3">
      <c r="A53" s="550" t="s">
        <v>308</v>
      </c>
      <c r="B53" s="565"/>
      <c r="C53" s="565"/>
      <c r="D53" s="550"/>
      <c r="E53" s="565"/>
      <c r="F53" s="565"/>
      <c r="G53" s="565"/>
      <c r="H53" s="565"/>
      <c r="I53" s="565"/>
      <c r="J53" s="550"/>
      <c r="K53" s="565"/>
      <c r="L53" s="565"/>
      <c r="M53" s="550"/>
      <c r="N53" s="565"/>
      <c r="O53" s="565"/>
      <c r="P53" s="550"/>
      <c r="Q53" s="565"/>
      <c r="R53" s="565"/>
      <c r="S53" s="550"/>
      <c r="T53" s="565"/>
      <c r="U53" s="565"/>
      <c r="V53" s="550"/>
      <c r="W53" s="565"/>
      <c r="X53" s="565"/>
      <c r="Y53" s="550"/>
      <c r="Z53" s="565"/>
      <c r="AA53" s="565"/>
      <c r="AB53" s="550"/>
      <c r="AC53" s="565"/>
      <c r="AD53" s="565"/>
      <c r="AE53" s="550"/>
      <c r="AF53" s="565"/>
      <c r="AG53" s="565"/>
      <c r="AH53" s="550"/>
      <c r="AI53" s="550"/>
      <c r="AJ53" s="565"/>
      <c r="AK53" s="550"/>
      <c r="AL53" s="565"/>
      <c r="AM53" s="565"/>
      <c r="AN53" s="550"/>
      <c r="AO53" s="550"/>
      <c r="AP53" s="550"/>
      <c r="AQ53" s="550"/>
      <c r="AR53" s="550"/>
      <c r="AS53" s="550"/>
      <c r="AT53" s="550"/>
    </row>
    <row r="54" spans="1:46" s="535" customFormat="1" ht="18.75" customHeight="1" x14ac:dyDescent="0.3">
      <c r="A54" s="550" t="s">
        <v>309</v>
      </c>
      <c r="B54" s="565"/>
      <c r="C54" s="565"/>
      <c r="D54" s="550"/>
      <c r="E54" s="565"/>
      <c r="F54" s="565"/>
      <c r="G54" s="565"/>
      <c r="H54" s="565"/>
      <c r="I54" s="565"/>
      <c r="J54" s="550"/>
      <c r="K54" s="565"/>
      <c r="L54" s="565"/>
      <c r="M54" s="550"/>
      <c r="N54" s="565"/>
      <c r="O54" s="565"/>
      <c r="P54" s="550"/>
      <c r="Q54" s="565"/>
      <c r="R54" s="565"/>
      <c r="S54" s="550"/>
      <c r="T54" s="565"/>
      <c r="U54" s="565"/>
      <c r="V54" s="550"/>
      <c r="W54" s="565"/>
      <c r="X54" s="565"/>
      <c r="Y54" s="550"/>
      <c r="Z54" s="565"/>
      <c r="AA54" s="565"/>
      <c r="AB54" s="550"/>
      <c r="AC54" s="565"/>
      <c r="AD54" s="565"/>
      <c r="AE54" s="550"/>
      <c r="AF54" s="565"/>
      <c r="AG54" s="565"/>
      <c r="AH54" s="550"/>
      <c r="AI54" s="550"/>
      <c r="AJ54" s="565"/>
      <c r="AK54" s="550"/>
      <c r="AL54" s="565"/>
      <c r="AM54" s="565"/>
      <c r="AN54" s="550"/>
      <c r="AO54" s="550"/>
      <c r="AP54" s="550"/>
      <c r="AQ54" s="550"/>
      <c r="AR54" s="550"/>
      <c r="AS54" s="550"/>
      <c r="AT54" s="550"/>
    </row>
    <row r="55" spans="1:46" s="535" customFormat="1" ht="18.75" customHeight="1" x14ac:dyDescent="0.3">
      <c r="A55" s="550" t="s">
        <v>310</v>
      </c>
      <c r="B55" s="565"/>
      <c r="C55" s="565"/>
      <c r="D55" s="550"/>
      <c r="E55" s="565"/>
      <c r="F55" s="565"/>
      <c r="G55" s="565"/>
      <c r="H55" s="565"/>
      <c r="I55" s="565"/>
      <c r="J55" s="550"/>
      <c r="K55" s="565"/>
      <c r="L55" s="565"/>
      <c r="M55" s="550"/>
      <c r="N55" s="565"/>
      <c r="O55" s="565"/>
      <c r="P55" s="550"/>
      <c r="Q55" s="565"/>
      <c r="R55" s="565"/>
      <c r="S55" s="550"/>
      <c r="T55" s="565"/>
      <c r="U55" s="565"/>
      <c r="V55" s="550"/>
      <c r="W55" s="565"/>
      <c r="X55" s="565"/>
      <c r="Y55" s="550"/>
      <c r="Z55" s="565"/>
      <c r="AA55" s="565"/>
      <c r="AB55" s="550"/>
      <c r="AC55" s="565"/>
      <c r="AD55" s="565"/>
      <c r="AE55" s="550"/>
      <c r="AF55" s="565"/>
      <c r="AG55" s="565"/>
      <c r="AH55" s="550"/>
      <c r="AI55" s="550"/>
      <c r="AJ55" s="565"/>
      <c r="AK55" s="550"/>
      <c r="AL55" s="565"/>
      <c r="AM55" s="565"/>
      <c r="AN55" s="550"/>
      <c r="AO55" s="550"/>
      <c r="AP55" s="550"/>
      <c r="AQ55" s="550"/>
      <c r="AR55" s="550"/>
      <c r="AS55" s="550"/>
      <c r="AT55" s="550"/>
    </row>
    <row r="56" spans="1:46" s="535" customFormat="1" ht="18.75" customHeight="1" x14ac:dyDescent="0.3">
      <c r="A56" s="550" t="s">
        <v>311</v>
      </c>
      <c r="B56" s="565"/>
      <c r="C56" s="565"/>
      <c r="D56" s="550"/>
      <c r="E56" s="565"/>
      <c r="F56" s="565"/>
      <c r="G56" s="565"/>
      <c r="H56" s="565"/>
      <c r="I56" s="565"/>
      <c r="J56" s="550"/>
      <c r="K56" s="565"/>
      <c r="L56" s="565"/>
      <c r="M56" s="550"/>
      <c r="N56" s="565"/>
      <c r="O56" s="565"/>
      <c r="P56" s="550"/>
      <c r="Q56" s="565"/>
      <c r="R56" s="565"/>
      <c r="S56" s="550"/>
      <c r="T56" s="565"/>
      <c r="U56" s="565"/>
      <c r="V56" s="550"/>
      <c r="W56" s="565"/>
      <c r="X56" s="565"/>
      <c r="Y56" s="550"/>
      <c r="Z56" s="565"/>
      <c r="AA56" s="565"/>
      <c r="AB56" s="550"/>
      <c r="AC56" s="565"/>
      <c r="AD56" s="565"/>
      <c r="AE56" s="550"/>
      <c r="AF56" s="565"/>
      <c r="AG56" s="565"/>
      <c r="AH56" s="550"/>
      <c r="AI56" s="550"/>
      <c r="AJ56" s="565"/>
      <c r="AK56" s="550"/>
      <c r="AL56" s="565"/>
      <c r="AM56" s="565"/>
      <c r="AN56" s="550"/>
      <c r="AO56" s="550"/>
      <c r="AP56" s="550"/>
      <c r="AQ56" s="550"/>
      <c r="AR56" s="550"/>
      <c r="AS56" s="550"/>
      <c r="AT56" s="550"/>
    </row>
    <row r="57" spans="1:46" s="534" customFormat="1" ht="18.75" customHeight="1" x14ac:dyDescent="0.3">
      <c r="A57" s="551" t="s">
        <v>312</v>
      </c>
      <c r="B57" s="566"/>
      <c r="C57" s="566"/>
      <c r="D57" s="551"/>
      <c r="E57" s="566"/>
      <c r="F57" s="566"/>
      <c r="G57" s="566"/>
      <c r="H57" s="566"/>
      <c r="I57" s="566"/>
      <c r="J57" s="551"/>
      <c r="K57" s="566"/>
      <c r="L57" s="566"/>
      <c r="M57" s="551"/>
      <c r="N57" s="566"/>
      <c r="O57" s="566"/>
      <c r="P57" s="551"/>
      <c r="Q57" s="566"/>
      <c r="R57" s="566"/>
      <c r="S57" s="551"/>
      <c r="T57" s="566"/>
      <c r="U57" s="566"/>
      <c r="V57" s="551"/>
      <c r="W57" s="566"/>
      <c r="X57" s="566"/>
      <c r="Y57" s="551"/>
      <c r="Z57" s="566"/>
      <c r="AA57" s="566"/>
      <c r="AB57" s="551"/>
      <c r="AC57" s="566"/>
      <c r="AD57" s="566"/>
      <c r="AE57" s="551"/>
      <c r="AF57" s="566"/>
      <c r="AG57" s="566"/>
      <c r="AH57" s="551"/>
      <c r="AI57" s="551"/>
      <c r="AJ57" s="566"/>
      <c r="AK57" s="551"/>
      <c r="AL57" s="566"/>
      <c r="AM57" s="566"/>
      <c r="AN57" s="551"/>
      <c r="AO57" s="551"/>
      <c r="AP57" s="551"/>
      <c r="AQ57" s="551"/>
      <c r="AR57" s="551"/>
      <c r="AS57" s="551"/>
      <c r="AT57" s="551"/>
    </row>
    <row r="58" spans="1:46" s="537" customFormat="1" ht="18.75" customHeight="1" x14ac:dyDescent="0.3">
      <c r="A58" s="521" t="s">
        <v>228</v>
      </c>
      <c r="B58" s="521"/>
      <c r="C58" s="536"/>
      <c r="D58" s="536"/>
      <c r="E58" s="443"/>
      <c r="F58" s="443"/>
      <c r="G58" s="443"/>
      <c r="H58" s="536"/>
      <c r="I58" s="536"/>
      <c r="J58" s="536"/>
      <c r="K58" s="536"/>
      <c r="L58" s="536"/>
      <c r="M58" s="536"/>
      <c r="N58" s="536"/>
      <c r="O58" s="536"/>
      <c r="P58" s="536"/>
      <c r="Q58" s="536"/>
      <c r="R58" s="536"/>
      <c r="S58" s="536"/>
      <c r="T58" s="536"/>
      <c r="U58" s="536"/>
      <c r="V58" s="536"/>
      <c r="W58" s="536"/>
      <c r="X58" s="536"/>
      <c r="Y58" s="536"/>
      <c r="Z58" s="536"/>
      <c r="AA58" s="536"/>
      <c r="AB58" s="536"/>
      <c r="AC58" s="536"/>
      <c r="AD58" s="536"/>
      <c r="AE58" s="536"/>
      <c r="AF58" s="536"/>
      <c r="AG58" s="536"/>
      <c r="AH58" s="536"/>
      <c r="AI58" s="536"/>
      <c r="AJ58" s="536"/>
      <c r="AK58" s="536"/>
      <c r="AL58" s="536"/>
      <c r="AM58" s="536"/>
      <c r="AN58" s="536"/>
      <c r="AO58" s="536"/>
      <c r="AP58" s="536"/>
      <c r="AQ58" s="536"/>
      <c r="AR58" s="536"/>
      <c r="AS58" s="536"/>
    </row>
    <row r="59" spans="1:46" s="537" customFormat="1" ht="18.75" customHeight="1" x14ac:dyDescent="0.3">
      <c r="A59" s="521" t="s">
        <v>229</v>
      </c>
      <c r="E59" s="443"/>
      <c r="F59" s="443"/>
      <c r="G59" s="443"/>
    </row>
    <row r="60" spans="1:46" s="537" customFormat="1" ht="18.75" customHeight="1" x14ac:dyDescent="0.3">
      <c r="A60" s="521" t="s">
        <v>230</v>
      </c>
      <c r="E60" s="443"/>
      <c r="F60" s="443"/>
      <c r="G60" s="443"/>
    </row>
    <row r="61" spans="1:46" s="537" customFormat="1" ht="18.75" x14ac:dyDescent="0.3">
      <c r="E61" s="443"/>
      <c r="F61" s="443"/>
      <c r="G61" s="443"/>
    </row>
  </sheetData>
  <mergeCells count="26">
    <mergeCell ref="Z6:AB6"/>
    <mergeCell ref="AL5:AN5"/>
    <mergeCell ref="AC6:AE6"/>
    <mergeCell ref="AC5:AE5"/>
    <mergeCell ref="B6:D6"/>
    <mergeCell ref="H6:J6"/>
    <mergeCell ref="E6:G6"/>
    <mergeCell ref="B5:D5"/>
    <mergeCell ref="H5:J5"/>
    <mergeCell ref="E5:G5"/>
    <mergeCell ref="AR5:AT5"/>
    <mergeCell ref="AR6:AT6"/>
    <mergeCell ref="K5:M5"/>
    <mergeCell ref="K6:M6"/>
    <mergeCell ref="N6:P6"/>
    <mergeCell ref="Q5:S5"/>
    <mergeCell ref="T5:V5"/>
    <mergeCell ref="AF6:AH6"/>
    <mergeCell ref="AI6:AK6"/>
    <mergeCell ref="AL6:AN6"/>
    <mergeCell ref="N5:P5"/>
    <mergeCell ref="AO6:AQ6"/>
    <mergeCell ref="AO5:AQ5"/>
    <mergeCell ref="Q6:S6"/>
    <mergeCell ref="T6:V6"/>
    <mergeCell ref="W6:Y6"/>
  </mergeCells>
  <conditionalFormatting sqref="H29">
    <cfRule type="expression" dxfId="248" priority="143">
      <formula>#REF! ="30≠24+25+26+27+28+29"</formula>
    </cfRule>
  </conditionalFormatting>
  <conditionalFormatting sqref="H34">
    <cfRule type="expression" dxfId="247" priority="144">
      <formula>#REF! ="35≠14+15+16+17+22+30+31+32+33+34"</formula>
    </cfRule>
  </conditionalFormatting>
  <conditionalFormatting sqref="H45">
    <cfRule type="expression" dxfId="246" priority="145">
      <formula>#REF! ="46≠35+38+39+40+43+45"</formula>
    </cfRule>
  </conditionalFormatting>
  <conditionalFormatting sqref="H14">
    <cfRule type="expression" dxfId="245" priority="146">
      <formula>#REF! ="14≠11+12+13"</formula>
    </cfRule>
  </conditionalFormatting>
  <conditionalFormatting sqref="H21">
    <cfRule type="expression" dxfId="244" priority="147">
      <formula>#REF! ="22≠19+20+21"</formula>
    </cfRule>
  </conditionalFormatting>
  <conditionalFormatting sqref="AO34">
    <cfRule type="expression" dxfId="243" priority="124">
      <formula>#REF! ="35≠14+15+16+17+22+30+31+32+33+34"</formula>
    </cfRule>
  </conditionalFormatting>
  <conditionalFormatting sqref="AO45">
    <cfRule type="expression" dxfId="242" priority="125">
      <formula>#REF! ="46≠35+38+39+40+43+45"</formula>
    </cfRule>
  </conditionalFormatting>
  <conditionalFormatting sqref="T29">
    <cfRule type="expression" dxfId="241" priority="113">
      <formula>#REF! ="30≠24+25+26+27+28+29"</formula>
    </cfRule>
  </conditionalFormatting>
  <conditionalFormatting sqref="T34">
    <cfRule type="expression" dxfId="240" priority="114">
      <formula>#REF! ="35≠14+15+16+17+22+30+31+32+33+34"</formula>
    </cfRule>
  </conditionalFormatting>
  <conditionalFormatting sqref="T45">
    <cfRule type="expression" dxfId="239" priority="115">
      <formula>#REF! ="46≠35+38+39+40+43+45"</formula>
    </cfRule>
  </conditionalFormatting>
  <conditionalFormatting sqref="T14">
    <cfRule type="expression" dxfId="238" priority="116">
      <formula>#REF! ="14≠11+12+13"</formula>
    </cfRule>
  </conditionalFormatting>
  <conditionalFormatting sqref="T21">
    <cfRule type="expression" dxfId="237" priority="117">
      <formula>#REF! ="22≠19+20+21"</formula>
    </cfRule>
  </conditionalFormatting>
  <conditionalFormatting sqref="AL29">
    <cfRule type="expression" dxfId="236" priority="103">
      <formula>#REF! ="30≠24+25+26+27+28+29"</formula>
    </cfRule>
  </conditionalFormatting>
  <conditionalFormatting sqref="AL34">
    <cfRule type="expression" dxfId="235" priority="104">
      <formula>#REF! ="35≠14+15+16+17+22+30+31+32+33+34"</formula>
    </cfRule>
  </conditionalFormatting>
  <conditionalFormatting sqref="AL45">
    <cfRule type="expression" dxfId="234" priority="105">
      <formula>#REF! ="46≠35+38+39+40+43+45"</formula>
    </cfRule>
  </conditionalFormatting>
  <conditionalFormatting sqref="AL14">
    <cfRule type="expression" dxfId="233" priority="106">
      <formula>#REF! ="14≠11+12+13"</formula>
    </cfRule>
  </conditionalFormatting>
  <conditionalFormatting sqref="AL21">
    <cfRule type="expression" dxfId="232" priority="107">
      <formula>#REF! ="22≠19+20+21"</formula>
    </cfRule>
  </conditionalFormatting>
  <conditionalFormatting sqref="AC29">
    <cfRule type="expression" dxfId="231" priority="93">
      <formula>#REF! ="30≠24+25+26+27+28+29"</formula>
    </cfRule>
  </conditionalFormatting>
  <conditionalFormatting sqref="AC34">
    <cfRule type="expression" dxfId="230" priority="94">
      <formula>#REF! ="35≠14+15+16+17+22+30+31+32+33+34"</formula>
    </cfRule>
  </conditionalFormatting>
  <conditionalFormatting sqref="AC45">
    <cfRule type="expression" dxfId="229" priority="95">
      <formula>#REF! ="46≠35+38+39+40+43+45"</formula>
    </cfRule>
  </conditionalFormatting>
  <conditionalFormatting sqref="AC14">
    <cfRule type="expression" dxfId="228" priority="96">
      <formula>#REF! ="14≠11+12+13"</formula>
    </cfRule>
  </conditionalFormatting>
  <conditionalFormatting sqref="AC21">
    <cfRule type="expression" dxfId="227" priority="97">
      <formula>#REF! ="22≠19+20+21"</formula>
    </cfRule>
  </conditionalFormatting>
  <conditionalFormatting sqref="N29">
    <cfRule type="expression" dxfId="226" priority="83">
      <formula>#REF! ="30≠24+25+26+27+28+29"</formula>
    </cfRule>
  </conditionalFormatting>
  <conditionalFormatting sqref="N34">
    <cfRule type="expression" dxfId="225" priority="84">
      <formula>#REF! ="35≠14+15+16+17+22+30+31+32+33+34"</formula>
    </cfRule>
  </conditionalFormatting>
  <conditionalFormatting sqref="N45">
    <cfRule type="expression" dxfId="224" priority="85">
      <formula>#REF! ="46≠35+38+39+40+43+45"</formula>
    </cfRule>
  </conditionalFormatting>
  <conditionalFormatting sqref="N14">
    <cfRule type="expression" dxfId="223" priority="86">
      <formula>#REF! ="14≠11+12+13"</formula>
    </cfRule>
  </conditionalFormatting>
  <conditionalFormatting sqref="N21">
    <cfRule type="expression" dxfId="222" priority="87">
      <formula>#REF! ="22≠19+20+21"</formula>
    </cfRule>
  </conditionalFormatting>
  <conditionalFormatting sqref="B29">
    <cfRule type="expression" dxfId="221" priority="63">
      <formula>#REF! ="30≠24+25+26+27+28+29"</formula>
    </cfRule>
  </conditionalFormatting>
  <conditionalFormatting sqref="B34">
    <cfRule type="expression" dxfId="220" priority="64">
      <formula>#REF! ="35≠14+15+16+17+22+30+31+32+33+34"</formula>
    </cfRule>
  </conditionalFormatting>
  <conditionalFormatting sqref="B45">
    <cfRule type="expression" dxfId="219" priority="65">
      <formula>#REF! ="46≠35+38+39+40+43+45"</formula>
    </cfRule>
  </conditionalFormatting>
  <conditionalFormatting sqref="B14">
    <cfRule type="expression" dxfId="218" priority="66">
      <formula>#REF! ="14≠11+12+13"</formula>
    </cfRule>
  </conditionalFormatting>
  <conditionalFormatting sqref="B21">
    <cfRule type="expression" dxfId="217" priority="67">
      <formula>#REF! ="22≠19+20+21"</formula>
    </cfRule>
  </conditionalFormatting>
  <conditionalFormatting sqref="AF29">
    <cfRule type="expression" dxfId="216" priority="53">
      <formula>#REF! ="30≠24+25+26+27+28+29"</formula>
    </cfRule>
  </conditionalFormatting>
  <conditionalFormatting sqref="AF34">
    <cfRule type="expression" dxfId="215" priority="54">
      <formula>#REF! ="35≠14+15+16+17+22+30+31+32+33+34"</formula>
    </cfRule>
  </conditionalFormatting>
  <conditionalFormatting sqref="AF45">
    <cfRule type="expression" dxfId="214" priority="55">
      <formula>#REF! ="46≠35+38+39+40+43+45"</formula>
    </cfRule>
  </conditionalFormatting>
  <conditionalFormatting sqref="AF14">
    <cfRule type="expression" dxfId="213" priority="56">
      <formula>#REF! ="14≠11+12+13"</formula>
    </cfRule>
  </conditionalFormatting>
  <conditionalFormatting sqref="AF21">
    <cfRule type="expression" dxfId="212" priority="57">
      <formula>#REF! ="22≠19+20+21"</formula>
    </cfRule>
  </conditionalFormatting>
  <conditionalFormatting sqref="W29">
    <cfRule type="expression" dxfId="211" priority="43">
      <formula>#REF! ="30≠24+25+26+27+28+29"</formula>
    </cfRule>
  </conditionalFormatting>
  <conditionalFormatting sqref="W34">
    <cfRule type="expression" dxfId="210" priority="44">
      <formula>#REF! ="35≠14+15+16+17+22+30+31+32+33+34"</formula>
    </cfRule>
  </conditionalFormatting>
  <conditionalFormatting sqref="W45">
    <cfRule type="expression" dxfId="209" priority="45">
      <formula>#REF! ="46≠35+38+39+40+43+45"</formula>
    </cfRule>
  </conditionalFormatting>
  <conditionalFormatting sqref="W14">
    <cfRule type="expression" dxfId="208" priority="46">
      <formula>#REF! ="14≠11+12+13"</formula>
    </cfRule>
  </conditionalFormatting>
  <conditionalFormatting sqref="W21">
    <cfRule type="expression" dxfId="207" priority="47">
      <formula>#REF! ="22≠19+20+21"</formula>
    </cfRule>
  </conditionalFormatting>
  <conditionalFormatting sqref="AI29">
    <cfRule type="expression" dxfId="206" priority="33">
      <formula>#REF! ="30≠24+25+26+27+28+29"</formula>
    </cfRule>
  </conditionalFormatting>
  <conditionalFormatting sqref="AI34">
    <cfRule type="expression" dxfId="205" priority="34">
      <formula>#REF! ="35≠14+15+16+17+22+30+31+32+33+34"</formula>
    </cfRule>
  </conditionalFormatting>
  <conditionalFormatting sqref="AI45">
    <cfRule type="expression" dxfId="204" priority="35">
      <formula>#REF! ="46≠35+38+39+40+43+45"</formula>
    </cfRule>
  </conditionalFormatting>
  <conditionalFormatting sqref="AI14">
    <cfRule type="expression" dxfId="203" priority="36">
      <formula>#REF! ="14≠11+12+13"</formula>
    </cfRule>
  </conditionalFormatting>
  <conditionalFormatting sqref="AI21">
    <cfRule type="expression" dxfId="202" priority="37">
      <formula>#REF! ="22≠19+20+21"</formula>
    </cfRule>
  </conditionalFormatting>
  <conditionalFormatting sqref="Q29">
    <cfRule type="expression" dxfId="201" priority="23">
      <formula>#REF! ="30≠24+25+26+27+28+29"</formula>
    </cfRule>
  </conditionalFormatting>
  <conditionalFormatting sqref="Q34">
    <cfRule type="expression" dxfId="200" priority="24">
      <formula>#REF! ="35≠14+15+16+17+22+30+31+32+33+34"</formula>
    </cfRule>
  </conditionalFormatting>
  <conditionalFormatting sqref="Q45">
    <cfRule type="expression" dxfId="199" priority="25">
      <formula>#REF! ="46≠35+38+39+40+43+45"</formula>
    </cfRule>
  </conditionalFormatting>
  <conditionalFormatting sqref="Q14">
    <cfRule type="expression" dxfId="198" priority="26">
      <formula>#REF! ="14≠11+12+13"</formula>
    </cfRule>
  </conditionalFormatting>
  <conditionalFormatting sqref="Q21">
    <cfRule type="expression" dxfId="197" priority="27">
      <formula>#REF! ="22≠19+20+21"</formula>
    </cfRule>
  </conditionalFormatting>
  <conditionalFormatting sqref="K29">
    <cfRule type="expression" dxfId="196" priority="13">
      <formula>#REF! ="30≠24+25+26+27+28+29"</formula>
    </cfRule>
  </conditionalFormatting>
  <conditionalFormatting sqref="K34">
    <cfRule type="expression" dxfId="195" priority="14">
      <formula>#REF! ="35≠14+15+16+17+22+30+31+32+33+34"</formula>
    </cfRule>
  </conditionalFormatting>
  <conditionalFormatting sqref="K45">
    <cfRule type="expression" dxfId="194" priority="15">
      <formula>#REF! ="46≠35+38+39+40+43+45"</formula>
    </cfRule>
  </conditionalFormatting>
  <conditionalFormatting sqref="K14">
    <cfRule type="expression" dxfId="193" priority="16">
      <formula>#REF! ="14≠11+12+13"</formula>
    </cfRule>
  </conditionalFormatting>
  <conditionalFormatting sqref="K21">
    <cfRule type="expression" dxfId="192" priority="17">
      <formula>#REF! ="22≠19+20+21"</formula>
    </cfRule>
  </conditionalFormatting>
  <conditionalFormatting sqref="E29">
    <cfRule type="expression" dxfId="191" priority="3">
      <formula>#REF! ="30≠24+25+26+27+28+29"</formula>
    </cfRule>
  </conditionalFormatting>
  <conditionalFormatting sqref="E34">
    <cfRule type="expression" dxfId="190" priority="4">
      <formula>#REF! ="35≠14+15+16+17+22+30+31+32+33+34"</formula>
    </cfRule>
  </conditionalFormatting>
  <conditionalFormatting sqref="E45">
    <cfRule type="expression" dxfId="189" priority="5">
      <formula>#REF! ="46≠35+38+39+40+43+45"</formula>
    </cfRule>
  </conditionalFormatting>
  <conditionalFormatting sqref="E14">
    <cfRule type="expression" dxfId="188" priority="6">
      <formula>#REF! ="14≠11+12+13"</formula>
    </cfRule>
  </conditionalFormatting>
  <conditionalFormatting sqref="E21">
    <cfRule type="expression" dxfId="187" priority="7">
      <formula>#REF! ="22≠19+20+21"</formula>
    </cfRule>
  </conditionalFormatting>
  <conditionalFormatting sqref="AP34">
    <cfRule type="expression" dxfId="186" priority="1">
      <formula>#REF! ="35≠14+15+16+17+22+30+31+32+33+34"</formula>
    </cfRule>
  </conditionalFormatting>
  <conditionalFormatting sqref="AP45">
    <cfRule type="expression" dxfId="185" priority="2">
      <formula>#REF! ="46≠35+38+39+40+43+45"</formula>
    </cfRule>
  </conditionalFormatting>
  <conditionalFormatting sqref="Z29:AA29 I29 U29 AM29 AD29 O29 AG29 X29 AJ29 R29 L29 C29 F29">
    <cfRule type="expression" dxfId="184" priority="1209">
      <formula>#REF! ="30≠24+25+26+27+28+29"</formula>
    </cfRule>
  </conditionalFormatting>
  <conditionalFormatting sqref="AR34:AS34 AR45:AS45 Z34:AA34 I34 U34 AM34 AD34 O34 AG34 X34 AJ34 R34 L34 C34 F34">
    <cfRule type="expression" dxfId="183" priority="1220">
      <formula>#REF! ="35≠14+15+16+17+22+30+31+32+33+34"</formula>
    </cfRule>
  </conditionalFormatting>
  <conditionalFormatting sqref="Z45:AA45 I45 U45 AM45 AD45 O45 AG45 X45 AJ45 R45 L45 C45 F45">
    <cfRule type="expression" dxfId="182" priority="1233">
      <formula>#REF! ="46≠35+38+39+40+43+45"</formula>
    </cfRule>
  </conditionalFormatting>
  <conditionalFormatting sqref="Z14:AA14 I14 U14 AM14 AD14 O14 AG14 X14 AJ14 R14 L14 C14 F14">
    <cfRule type="expression" dxfId="181" priority="1244">
      <formula>#REF! ="14≠11+12+13"</formula>
    </cfRule>
  </conditionalFormatting>
  <conditionalFormatting sqref="Z21:AA21 I21 U21 AM21 AD21 O21 AG21 X21 AJ21 R21 L21 C21 F21">
    <cfRule type="expression" dxfId="180" priority="1255">
      <formula>#REF! ="22≠19+20+21"</formula>
    </cfRule>
  </conditionalFormatting>
  <hyperlinks>
    <hyperlink ref="B1" location="Innhold!A1" display="Tilbake" xr:uid="{00000000-0004-0000-1E00-000000000000}"/>
  </hyperlink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Ark34"/>
  <dimension ref="A1:BE129"/>
  <sheetViews>
    <sheetView showGridLines="0" zoomScale="70" zoomScaleNormal="70" workbookViewId="0">
      <pane xSplit="1" ySplit="8" topLeftCell="B9" activePane="bottomRight" state="frozen"/>
      <selection activeCell="L39" sqref="L39"/>
      <selection pane="topRight" activeCell="L39" sqref="L39"/>
      <selection pane="bottomLeft" activeCell="L39" sqref="L39"/>
      <selection pane="bottomRight" activeCell="A4" sqref="A4"/>
    </sheetView>
  </sheetViews>
  <sheetFormatPr baseColWidth="10" defaultColWidth="11.42578125" defaultRowHeight="12.75" x14ac:dyDescent="0.2"/>
  <cols>
    <col min="1" max="1" width="106.7109375" style="440" customWidth="1"/>
    <col min="2" max="40" width="11.7109375" style="440" customWidth="1"/>
    <col min="41" max="41" width="15.140625" style="440" customWidth="1"/>
    <col min="42" max="42" width="13" style="440" customWidth="1"/>
    <col min="43" max="43" width="11.7109375" style="440" customWidth="1"/>
    <col min="44" max="45" width="13" style="440" customWidth="1"/>
    <col min="46" max="46" width="11.7109375" style="440" customWidth="1"/>
    <col min="47" max="16384" width="11.42578125" style="440"/>
  </cols>
  <sheetData>
    <row r="1" spans="1:57" ht="20.25" customHeight="1" x14ac:dyDescent="0.3">
      <c r="A1" s="445" t="s">
        <v>149</v>
      </c>
      <c r="B1" s="446" t="s">
        <v>52</v>
      </c>
      <c r="C1" s="447"/>
      <c r="D1" s="447"/>
      <c r="H1" s="447"/>
      <c r="I1" s="447"/>
      <c r="J1" s="447"/>
      <c r="K1" s="447"/>
      <c r="L1" s="447"/>
      <c r="M1" s="447"/>
      <c r="N1" s="447"/>
      <c r="O1" s="447"/>
      <c r="P1" s="447"/>
    </row>
    <row r="2" spans="1:57" ht="20.100000000000001" customHeight="1" x14ac:dyDescent="0.3">
      <c r="A2" s="445" t="s">
        <v>150</v>
      </c>
    </row>
    <row r="3" spans="1:57" ht="20.100000000000001" customHeight="1" x14ac:dyDescent="0.3">
      <c r="A3" s="448" t="s">
        <v>151</v>
      </c>
      <c r="B3" s="449"/>
      <c r="C3" s="449"/>
      <c r="D3" s="449"/>
      <c r="H3" s="449"/>
      <c r="I3" s="449"/>
      <c r="J3" s="449"/>
      <c r="K3" s="449"/>
      <c r="L3" s="449"/>
      <c r="M3" s="449"/>
      <c r="N3" s="449"/>
      <c r="O3" s="449"/>
      <c r="P3" s="449"/>
    </row>
    <row r="4" spans="1:57" ht="18.75" customHeight="1" x14ac:dyDescent="0.25">
      <c r="A4" s="450" t="s">
        <v>409</v>
      </c>
      <c r="B4" s="451"/>
      <c r="C4" s="451"/>
      <c r="D4" s="452"/>
      <c r="E4" s="455"/>
      <c r="F4" s="454"/>
      <c r="G4" s="456"/>
      <c r="H4" s="451"/>
      <c r="I4" s="451"/>
      <c r="J4" s="452"/>
      <c r="K4" s="453"/>
      <c r="L4" s="451"/>
      <c r="M4" s="452"/>
      <c r="N4" s="453"/>
      <c r="O4" s="451"/>
      <c r="P4" s="452"/>
      <c r="Q4" s="454"/>
      <c r="R4" s="454"/>
      <c r="S4" s="454"/>
      <c r="T4" s="455"/>
      <c r="U4" s="454"/>
      <c r="V4" s="456"/>
      <c r="W4" s="455"/>
      <c r="X4" s="454"/>
      <c r="Y4" s="456"/>
      <c r="Z4" s="455"/>
      <c r="AA4" s="454"/>
      <c r="AB4" s="456"/>
      <c r="AC4" s="455"/>
      <c r="AD4" s="454"/>
      <c r="AE4" s="456"/>
      <c r="AF4" s="455"/>
      <c r="AG4" s="454"/>
      <c r="AH4" s="456"/>
      <c r="AI4" s="455"/>
      <c r="AJ4" s="454"/>
      <c r="AK4" s="456"/>
      <c r="AL4" s="455"/>
      <c r="AM4" s="454"/>
      <c r="AN4" s="456"/>
      <c r="AO4" s="455"/>
      <c r="AP4" s="454"/>
      <c r="AQ4" s="456"/>
      <c r="AR4" s="455"/>
      <c r="AS4" s="454"/>
      <c r="AT4" s="456"/>
      <c r="AU4" s="457"/>
      <c r="AV4" s="457"/>
      <c r="AW4" s="457"/>
      <c r="AX4" s="457"/>
      <c r="AY4" s="457"/>
      <c r="AZ4" s="457"/>
      <c r="BA4" s="457"/>
      <c r="BB4" s="457"/>
      <c r="BC4" s="457"/>
      <c r="BD4" s="457"/>
      <c r="BE4" s="457"/>
    </row>
    <row r="5" spans="1:57" ht="18.75" customHeight="1" x14ac:dyDescent="0.3">
      <c r="A5" s="458" t="s">
        <v>101</v>
      </c>
      <c r="B5" s="719" t="s">
        <v>152</v>
      </c>
      <c r="C5" s="720"/>
      <c r="D5" s="721"/>
      <c r="E5" s="716" t="s">
        <v>153</v>
      </c>
      <c r="F5" s="717"/>
      <c r="G5" s="718"/>
      <c r="H5" s="719" t="s">
        <v>153</v>
      </c>
      <c r="I5" s="720"/>
      <c r="J5" s="721"/>
      <c r="K5" s="719" t="s">
        <v>380</v>
      </c>
      <c r="L5" s="720"/>
      <c r="M5" s="721"/>
      <c r="N5" s="719" t="s">
        <v>154</v>
      </c>
      <c r="O5" s="720"/>
      <c r="P5" s="721"/>
      <c r="Q5" s="719" t="s">
        <v>155</v>
      </c>
      <c r="R5" s="720"/>
      <c r="S5" s="721"/>
      <c r="T5" s="641" t="s">
        <v>156</v>
      </c>
      <c r="U5" s="642"/>
      <c r="V5" s="643"/>
      <c r="W5" s="641" t="s">
        <v>156</v>
      </c>
      <c r="X5" s="642"/>
      <c r="Y5" s="643"/>
      <c r="Z5" s="641"/>
      <c r="AA5" s="642"/>
      <c r="AB5" s="643"/>
      <c r="AC5" s="719" t="s">
        <v>157</v>
      </c>
      <c r="AD5" s="720"/>
      <c r="AE5" s="721"/>
      <c r="AF5" s="641"/>
      <c r="AG5" s="642"/>
      <c r="AH5" s="643"/>
      <c r="AI5" s="641"/>
      <c r="AJ5" s="642"/>
      <c r="AK5" s="643"/>
      <c r="AL5" s="719" t="s">
        <v>72</v>
      </c>
      <c r="AM5" s="720"/>
      <c r="AN5" s="721"/>
      <c r="AO5" s="716" t="s">
        <v>2</v>
      </c>
      <c r="AP5" s="717"/>
      <c r="AQ5" s="718"/>
      <c r="AR5" s="719" t="s">
        <v>2</v>
      </c>
      <c r="AS5" s="720"/>
      <c r="AT5" s="721"/>
      <c r="AU5" s="640"/>
      <c r="AV5" s="640"/>
      <c r="AW5" s="725"/>
      <c r="AX5" s="725"/>
      <c r="AY5" s="725"/>
      <c r="AZ5" s="725"/>
      <c r="BA5" s="725"/>
      <c r="BB5" s="725"/>
      <c r="BC5" s="725"/>
      <c r="BD5" s="725"/>
      <c r="BE5" s="725"/>
    </row>
    <row r="6" spans="1:57" ht="21" customHeight="1" x14ac:dyDescent="0.3">
      <c r="A6" s="460"/>
      <c r="B6" s="722" t="s">
        <v>158</v>
      </c>
      <c r="C6" s="723"/>
      <c r="D6" s="724"/>
      <c r="E6" s="713" t="s">
        <v>410</v>
      </c>
      <c r="F6" s="714"/>
      <c r="G6" s="715"/>
      <c r="H6" s="722" t="s">
        <v>159</v>
      </c>
      <c r="I6" s="723"/>
      <c r="J6" s="724"/>
      <c r="K6" s="722" t="s">
        <v>159</v>
      </c>
      <c r="L6" s="723"/>
      <c r="M6" s="724"/>
      <c r="N6" s="722" t="s">
        <v>159</v>
      </c>
      <c r="O6" s="723"/>
      <c r="P6" s="724"/>
      <c r="Q6" s="722" t="s">
        <v>160</v>
      </c>
      <c r="R6" s="723"/>
      <c r="S6" s="724"/>
      <c r="T6" s="722" t="s">
        <v>90</v>
      </c>
      <c r="U6" s="723"/>
      <c r="V6" s="724"/>
      <c r="W6" s="722" t="s">
        <v>63</v>
      </c>
      <c r="X6" s="723"/>
      <c r="Y6" s="724"/>
      <c r="Z6" s="722" t="s">
        <v>65</v>
      </c>
      <c r="AA6" s="723"/>
      <c r="AB6" s="724"/>
      <c r="AC6" s="722" t="s">
        <v>158</v>
      </c>
      <c r="AD6" s="723"/>
      <c r="AE6" s="724"/>
      <c r="AF6" s="722" t="s">
        <v>71</v>
      </c>
      <c r="AG6" s="723"/>
      <c r="AH6" s="724"/>
      <c r="AI6" s="722" t="s">
        <v>67</v>
      </c>
      <c r="AJ6" s="723"/>
      <c r="AK6" s="724"/>
      <c r="AL6" s="722" t="s">
        <v>159</v>
      </c>
      <c r="AM6" s="723"/>
      <c r="AN6" s="724"/>
      <c r="AO6" s="713" t="s">
        <v>411</v>
      </c>
      <c r="AP6" s="714"/>
      <c r="AQ6" s="715"/>
      <c r="AR6" s="722" t="s">
        <v>161</v>
      </c>
      <c r="AS6" s="723"/>
      <c r="AT6" s="724"/>
      <c r="AU6" s="640"/>
      <c r="AV6" s="640"/>
      <c r="AW6" s="725"/>
      <c r="AX6" s="725"/>
      <c r="AY6" s="725"/>
      <c r="AZ6" s="725"/>
      <c r="BA6" s="725"/>
      <c r="BB6" s="725"/>
      <c r="BC6" s="725"/>
      <c r="BD6" s="725"/>
      <c r="BE6" s="725"/>
    </row>
    <row r="7" spans="1:57" ht="18.75" customHeight="1" x14ac:dyDescent="0.3">
      <c r="A7" s="460"/>
      <c r="B7" s="484"/>
      <c r="C7" s="484"/>
      <c r="D7" s="461" t="s">
        <v>80</v>
      </c>
      <c r="E7" s="657"/>
      <c r="F7" s="657"/>
      <c r="G7" s="653" t="s">
        <v>80</v>
      </c>
      <c r="H7" s="484"/>
      <c r="I7" s="484"/>
      <c r="J7" s="461" t="s">
        <v>80</v>
      </c>
      <c r="K7" s="484"/>
      <c r="L7" s="484"/>
      <c r="M7" s="461" t="s">
        <v>80</v>
      </c>
      <c r="N7" s="484"/>
      <c r="O7" s="484"/>
      <c r="P7" s="461" t="s">
        <v>80</v>
      </c>
      <c r="Q7" s="484"/>
      <c r="R7" s="484"/>
      <c r="S7" s="461" t="s">
        <v>80</v>
      </c>
      <c r="T7" s="484"/>
      <c r="U7" s="484"/>
      <c r="V7" s="461" t="s">
        <v>80</v>
      </c>
      <c r="W7" s="484"/>
      <c r="X7" s="484"/>
      <c r="Y7" s="461" t="s">
        <v>80</v>
      </c>
      <c r="Z7" s="484"/>
      <c r="AA7" s="484"/>
      <c r="AB7" s="461" t="s">
        <v>80</v>
      </c>
      <c r="AC7" s="484"/>
      <c r="AD7" s="484"/>
      <c r="AE7" s="461" t="s">
        <v>80</v>
      </c>
      <c r="AF7" s="484"/>
      <c r="AG7" s="484"/>
      <c r="AH7" s="461" t="s">
        <v>80</v>
      </c>
      <c r="AI7" s="484"/>
      <c r="AJ7" s="484"/>
      <c r="AK7" s="461" t="s">
        <v>80</v>
      </c>
      <c r="AL7" s="484"/>
      <c r="AM7" s="484"/>
      <c r="AN7" s="461" t="s">
        <v>80</v>
      </c>
      <c r="AO7" s="657"/>
      <c r="AP7" s="657"/>
      <c r="AQ7" s="653" t="s">
        <v>80</v>
      </c>
      <c r="AR7" s="484"/>
      <c r="AS7" s="484"/>
      <c r="AT7" s="461" t="s">
        <v>80</v>
      </c>
      <c r="AU7" s="640"/>
      <c r="AV7" s="640"/>
      <c r="AW7" s="459"/>
      <c r="AX7" s="459"/>
      <c r="AY7" s="459"/>
      <c r="AZ7" s="459"/>
      <c r="BA7" s="459"/>
      <c r="BB7" s="459"/>
      <c r="BC7" s="459"/>
      <c r="BD7" s="459"/>
      <c r="BE7" s="459"/>
    </row>
    <row r="8" spans="1:57" ht="18.75" customHeight="1" x14ac:dyDescent="0.25">
      <c r="A8" s="430" t="s">
        <v>162</v>
      </c>
      <c r="B8" s="605">
        <v>2020</v>
      </c>
      <c r="C8" s="605">
        <v>2021</v>
      </c>
      <c r="D8" s="431" t="s">
        <v>82</v>
      </c>
      <c r="E8" s="605">
        <f>$B$8</f>
        <v>2020</v>
      </c>
      <c r="F8" s="605">
        <f>$C$8</f>
        <v>2021</v>
      </c>
      <c r="G8" s="654" t="s">
        <v>82</v>
      </c>
      <c r="H8" s="605">
        <f>$B$8</f>
        <v>2020</v>
      </c>
      <c r="I8" s="605">
        <f>$C$8</f>
        <v>2021</v>
      </c>
      <c r="J8" s="431" t="s">
        <v>82</v>
      </c>
      <c r="K8" s="605">
        <f>$B$8</f>
        <v>2020</v>
      </c>
      <c r="L8" s="605">
        <f>$C$8</f>
        <v>2021</v>
      </c>
      <c r="M8" s="431" t="s">
        <v>82</v>
      </c>
      <c r="N8" s="605">
        <f>$B$8</f>
        <v>2020</v>
      </c>
      <c r="O8" s="605">
        <f>$C$8</f>
        <v>2021</v>
      </c>
      <c r="P8" s="431" t="s">
        <v>82</v>
      </c>
      <c r="Q8" s="605">
        <f>$B$8</f>
        <v>2020</v>
      </c>
      <c r="R8" s="605">
        <f>$C$8</f>
        <v>2021</v>
      </c>
      <c r="S8" s="431" t="s">
        <v>82</v>
      </c>
      <c r="T8" s="605">
        <f>$B$8</f>
        <v>2020</v>
      </c>
      <c r="U8" s="605">
        <f>$C$8</f>
        <v>2021</v>
      </c>
      <c r="V8" s="431" t="s">
        <v>82</v>
      </c>
      <c r="W8" s="605">
        <f>$B$8</f>
        <v>2020</v>
      </c>
      <c r="X8" s="605">
        <f>$C$8</f>
        <v>2021</v>
      </c>
      <c r="Y8" s="431" t="s">
        <v>82</v>
      </c>
      <c r="Z8" s="605">
        <f>$B$8</f>
        <v>2020</v>
      </c>
      <c r="AA8" s="605">
        <f>$C$8</f>
        <v>2021</v>
      </c>
      <c r="AB8" s="431" t="s">
        <v>82</v>
      </c>
      <c r="AC8" s="605">
        <f>$B$8</f>
        <v>2020</v>
      </c>
      <c r="AD8" s="605">
        <f>$C$8</f>
        <v>2021</v>
      </c>
      <c r="AE8" s="431" t="s">
        <v>82</v>
      </c>
      <c r="AF8" s="605">
        <f>$B$8</f>
        <v>2020</v>
      </c>
      <c r="AG8" s="605">
        <f>$C$8</f>
        <v>2021</v>
      </c>
      <c r="AH8" s="431" t="s">
        <v>82</v>
      </c>
      <c r="AI8" s="605">
        <f>$B$8</f>
        <v>2020</v>
      </c>
      <c r="AJ8" s="605">
        <f>$C$8</f>
        <v>2021</v>
      </c>
      <c r="AK8" s="431" t="s">
        <v>82</v>
      </c>
      <c r="AL8" s="605">
        <f>$B$8</f>
        <v>2020</v>
      </c>
      <c r="AM8" s="605">
        <f>$C$8</f>
        <v>2021</v>
      </c>
      <c r="AN8" s="431" t="s">
        <v>82</v>
      </c>
      <c r="AO8" s="605">
        <f>$B$8</f>
        <v>2020</v>
      </c>
      <c r="AP8" s="605">
        <f>$C$8</f>
        <v>2021</v>
      </c>
      <c r="AQ8" s="654" t="s">
        <v>82</v>
      </c>
      <c r="AR8" s="605">
        <f>$B$8</f>
        <v>2020</v>
      </c>
      <c r="AS8" s="605">
        <f>$C$8</f>
        <v>2021</v>
      </c>
      <c r="AT8" s="431" t="s">
        <v>82</v>
      </c>
      <c r="AU8" s="463"/>
      <c r="AV8" s="462"/>
      <c r="AW8" s="463"/>
      <c r="AX8" s="463"/>
      <c r="AY8" s="462"/>
      <c r="AZ8" s="463"/>
      <c r="BA8" s="463"/>
      <c r="BB8" s="462"/>
      <c r="BC8" s="463"/>
      <c r="BD8" s="463"/>
      <c r="BE8" s="462"/>
    </row>
    <row r="9" spans="1:57" ht="18.75" customHeight="1" x14ac:dyDescent="0.3">
      <c r="A9" s="432"/>
      <c r="B9" s="609"/>
      <c r="C9" s="410"/>
      <c r="D9" s="410"/>
      <c r="E9" s="577"/>
      <c r="F9" s="411"/>
      <c r="G9" s="314"/>
      <c r="H9" s="609"/>
      <c r="I9" s="410"/>
      <c r="J9" s="410"/>
      <c r="K9" s="609"/>
      <c r="L9" s="410"/>
      <c r="M9" s="410"/>
      <c r="N9" s="609"/>
      <c r="O9" s="410"/>
      <c r="P9" s="410"/>
      <c r="Q9" s="577"/>
      <c r="R9" s="411"/>
      <c r="S9" s="411"/>
      <c r="T9" s="624"/>
      <c r="U9" s="412"/>
      <c r="V9" s="314"/>
      <c r="W9" s="577"/>
      <c r="X9" s="411"/>
      <c r="Y9" s="314"/>
      <c r="Z9" s="104"/>
      <c r="AA9" s="411"/>
      <c r="AB9" s="314"/>
      <c r="AC9" s="577"/>
      <c r="AD9" s="411"/>
      <c r="AE9" s="314"/>
      <c r="AF9" s="577"/>
      <c r="AG9" s="411"/>
      <c r="AH9" s="314"/>
      <c r="AI9" s="577"/>
      <c r="AJ9" s="411"/>
      <c r="AK9" s="314"/>
      <c r="AL9" s="577"/>
      <c r="AM9" s="411"/>
      <c r="AN9" s="314"/>
      <c r="AO9" s="411"/>
      <c r="AP9" s="411"/>
      <c r="AQ9" s="314"/>
      <c r="AR9" s="413"/>
      <c r="AS9" s="413"/>
      <c r="AT9" s="314"/>
    </row>
    <row r="10" spans="1:57" s="441" customFormat="1" ht="18.75" customHeight="1" x14ac:dyDescent="0.3">
      <c r="A10" s="433" t="s">
        <v>163</v>
      </c>
      <c r="B10" s="610"/>
      <c r="C10" s="414"/>
      <c r="D10" s="414"/>
      <c r="E10" s="577"/>
      <c r="F10" s="411"/>
      <c r="G10" s="314"/>
      <c r="H10" s="610"/>
      <c r="I10" s="414"/>
      <c r="J10" s="414"/>
      <c r="K10" s="610"/>
      <c r="L10" s="414"/>
      <c r="M10" s="414"/>
      <c r="N10" s="610"/>
      <c r="O10" s="414"/>
      <c r="P10" s="414"/>
      <c r="Q10" s="577"/>
      <c r="R10" s="411"/>
      <c r="S10" s="411"/>
      <c r="T10" s="624"/>
      <c r="U10" s="412"/>
      <c r="V10" s="314"/>
      <c r="W10" s="577"/>
      <c r="X10" s="411"/>
      <c r="Y10" s="314"/>
      <c r="Z10" s="104"/>
      <c r="AA10" s="411"/>
      <c r="AB10" s="314"/>
      <c r="AC10" s="577"/>
      <c r="AD10" s="411"/>
      <c r="AE10" s="314"/>
      <c r="AF10" s="577"/>
      <c r="AG10" s="411"/>
      <c r="AH10" s="314"/>
      <c r="AI10" s="577"/>
      <c r="AJ10" s="411"/>
      <c r="AK10" s="314"/>
      <c r="AL10" s="577"/>
      <c r="AM10" s="411"/>
      <c r="AN10" s="314"/>
      <c r="AO10" s="411"/>
      <c r="AP10" s="411"/>
      <c r="AQ10" s="314"/>
      <c r="AR10" s="413"/>
      <c r="AS10" s="413"/>
      <c r="AT10" s="314"/>
    </row>
    <row r="11" spans="1:57" s="441" customFormat="1" ht="18.75" customHeight="1" x14ac:dyDescent="0.3">
      <c r="A11" s="434"/>
      <c r="B11" s="610"/>
      <c r="C11" s="414"/>
      <c r="D11" s="414"/>
      <c r="E11" s="577"/>
      <c r="F11" s="411"/>
      <c r="G11" s="314"/>
      <c r="H11" s="610"/>
      <c r="I11" s="414"/>
      <c r="J11" s="414"/>
      <c r="K11" s="610"/>
      <c r="L11" s="414"/>
      <c r="M11" s="414"/>
      <c r="N11" s="610"/>
      <c r="O11" s="414"/>
      <c r="P11" s="414"/>
      <c r="Q11" s="577"/>
      <c r="R11" s="411"/>
      <c r="S11" s="411"/>
      <c r="T11" s="624"/>
      <c r="U11" s="412"/>
      <c r="V11" s="314"/>
      <c r="W11" s="577"/>
      <c r="X11" s="411"/>
      <c r="Y11" s="314"/>
      <c r="Z11" s="104"/>
      <c r="AA11" s="411"/>
      <c r="AB11" s="314"/>
      <c r="AC11" s="577"/>
      <c r="AD11" s="411"/>
      <c r="AE11" s="314"/>
      <c r="AF11" s="577"/>
      <c r="AG11" s="411"/>
      <c r="AH11" s="314"/>
      <c r="AI11" s="577"/>
      <c r="AJ11" s="411"/>
      <c r="AK11" s="314"/>
      <c r="AL11" s="577"/>
      <c r="AM11" s="411"/>
      <c r="AN11" s="314"/>
      <c r="AO11" s="411"/>
      <c r="AP11" s="411"/>
      <c r="AQ11" s="314"/>
      <c r="AR11" s="413"/>
      <c r="AS11" s="413"/>
      <c r="AT11" s="314"/>
    </row>
    <row r="12" spans="1:57" s="441" customFormat="1" ht="20.100000000000001" customHeight="1" x14ac:dyDescent="0.3">
      <c r="A12" s="433" t="s">
        <v>164</v>
      </c>
      <c r="B12" s="195"/>
      <c r="C12" s="415"/>
      <c r="D12" s="415"/>
      <c r="E12" s="577"/>
      <c r="F12" s="411"/>
      <c r="G12" s="314"/>
      <c r="H12" s="195"/>
      <c r="I12" s="415"/>
      <c r="J12" s="415"/>
      <c r="K12" s="195"/>
      <c r="L12" s="415"/>
      <c r="M12" s="415"/>
      <c r="N12" s="195"/>
      <c r="O12" s="415"/>
      <c r="P12" s="415"/>
      <c r="Q12" s="577"/>
      <c r="R12" s="411"/>
      <c r="S12" s="411"/>
      <c r="T12" s="624"/>
      <c r="U12" s="412"/>
      <c r="V12" s="314"/>
      <c r="W12" s="577"/>
      <c r="X12" s="411"/>
      <c r="Y12" s="314"/>
      <c r="Z12" s="104"/>
      <c r="AA12" s="411"/>
      <c r="AB12" s="314"/>
      <c r="AC12" s="577"/>
      <c r="AD12" s="411"/>
      <c r="AE12" s="314"/>
      <c r="AF12" s="577"/>
      <c r="AG12" s="411"/>
      <c r="AH12" s="314"/>
      <c r="AI12" s="577"/>
      <c r="AJ12" s="411"/>
      <c r="AK12" s="314"/>
      <c r="AL12" s="577"/>
      <c r="AM12" s="411"/>
      <c r="AN12" s="314"/>
      <c r="AO12" s="411"/>
      <c r="AP12" s="411"/>
      <c r="AQ12" s="314"/>
      <c r="AR12" s="413"/>
      <c r="AS12" s="413"/>
      <c r="AT12" s="314"/>
    </row>
    <row r="13" spans="1:57" s="464" customFormat="1" ht="20.100000000000001" customHeight="1" x14ac:dyDescent="0.3">
      <c r="A13" s="433" t="s">
        <v>165</v>
      </c>
      <c r="B13" s="195"/>
      <c r="C13" s="415"/>
      <c r="D13" s="416"/>
      <c r="E13" s="104"/>
      <c r="F13" s="579"/>
      <c r="G13" s="421"/>
      <c r="H13" s="195"/>
      <c r="I13" s="415"/>
      <c r="J13" s="416"/>
      <c r="K13" s="195"/>
      <c r="L13" s="415"/>
      <c r="M13" s="416"/>
      <c r="N13" s="195"/>
      <c r="O13" s="415"/>
      <c r="P13" s="416"/>
      <c r="Q13" s="104"/>
      <c r="R13" s="579"/>
      <c r="S13" s="417"/>
      <c r="T13" s="629"/>
      <c r="U13" s="625"/>
      <c r="V13" s="418"/>
      <c r="W13" s="104"/>
      <c r="X13" s="579"/>
      <c r="Y13" s="418"/>
      <c r="Z13" s="104"/>
      <c r="AA13" s="579"/>
      <c r="AB13" s="418"/>
      <c r="AC13" s="104"/>
      <c r="AD13" s="579"/>
      <c r="AE13" s="418"/>
      <c r="AF13" s="104"/>
      <c r="AG13" s="579"/>
      <c r="AH13" s="418"/>
      <c r="AI13" s="104"/>
      <c r="AJ13" s="579"/>
      <c r="AK13" s="418"/>
      <c r="AL13" s="104"/>
      <c r="AM13" s="579"/>
      <c r="AN13" s="418"/>
      <c r="AO13" s="579"/>
      <c r="AP13" s="579"/>
      <c r="AQ13" s="421"/>
      <c r="AR13" s="419"/>
      <c r="AS13" s="419"/>
      <c r="AT13" s="418"/>
    </row>
    <row r="14" spans="1:57" s="464" customFormat="1" ht="20.100000000000001" customHeight="1" x14ac:dyDescent="0.3">
      <c r="A14" s="435" t="s">
        <v>166</v>
      </c>
      <c r="B14" s="193"/>
      <c r="C14" s="421"/>
      <c r="D14" s="418"/>
      <c r="E14" s="104"/>
      <c r="F14" s="579"/>
      <c r="G14" s="421"/>
      <c r="H14" s="193"/>
      <c r="I14" s="421"/>
      <c r="J14" s="418"/>
      <c r="K14" s="193"/>
      <c r="L14" s="421"/>
      <c r="M14" s="418"/>
      <c r="N14" s="193"/>
      <c r="O14" s="421"/>
      <c r="P14" s="418"/>
      <c r="Q14" s="104">
        <v>9.6</v>
      </c>
      <c r="R14" s="579">
        <v>6.8</v>
      </c>
      <c r="S14" s="417"/>
      <c r="T14" s="629"/>
      <c r="U14" s="625"/>
      <c r="V14" s="418"/>
      <c r="W14" s="104">
        <v>965.17340175000004</v>
      </c>
      <c r="X14" s="579">
        <v>991.37499975000003</v>
      </c>
      <c r="Y14" s="418">
        <f t="shared" ref="Y14:Y28" si="0">IF(W14=0, "    ---- ", IF(ABS(ROUND(100/W14*X14-100,1))&lt;999,ROUND(100/W14*X14-100,1),IF(ROUND(100/W14*X14-100,1)&gt;999,999,-999)))</f>
        <v>2.7</v>
      </c>
      <c r="Z14" s="104"/>
      <c r="AA14" s="579">
        <v>0</v>
      </c>
      <c r="AB14" s="418"/>
      <c r="AC14" s="104"/>
      <c r="AD14" s="579"/>
      <c r="AE14" s="418"/>
      <c r="AF14" s="104"/>
      <c r="AG14" s="579"/>
      <c r="AH14" s="418"/>
      <c r="AI14" s="104"/>
      <c r="AJ14" s="579"/>
      <c r="AK14" s="418" t="str">
        <f t="shared" ref="AK14:AK28" si="1">IF(AI14=0, "    ---- ", IF(ABS(ROUND(100/AI14*AJ14-100,1))&lt;999,ROUND(100/AI14*AJ14-100,1),IF(ROUND(100/AI14*AJ14-100,1)&gt;999,999,-999)))</f>
        <v xml:space="preserve">    ---- </v>
      </c>
      <c r="AL14" s="104"/>
      <c r="AM14" s="579"/>
      <c r="AN14" s="418"/>
      <c r="AO14" s="579">
        <f t="shared" ref="AO14:AP29" si="2">B14+H14+K14+N14+Q14+W14+E14+Z14+AC14+AI14+AL14</f>
        <v>974.77340175000006</v>
      </c>
      <c r="AP14" s="579">
        <f t="shared" si="2"/>
        <v>998.17499974999998</v>
      </c>
      <c r="AQ14" s="421">
        <f t="shared" ref="AQ14:AQ28" si="3">IF(AO14=0, "    ---- ", IF(ABS(ROUND(100/AO14*AP14-100,1))&lt;999,ROUND(100/AO14*AP14-100,1),IF(ROUND(100/AO14*AP14-100,1)&gt;999,999,-999)))</f>
        <v>2.4</v>
      </c>
      <c r="AR14" s="419">
        <f t="shared" ref="AR14:AS29" si="4">B14+H14+K14+N14+Q14+T14+W14+E14+Z14+AC14+AF14+AI14+AL14</f>
        <v>974.77340175000006</v>
      </c>
      <c r="AS14" s="419">
        <f t="shared" si="4"/>
        <v>998.17499974999998</v>
      </c>
      <c r="AT14" s="418">
        <f t="shared" ref="AT14:AT29" si="5">IF(AR14=0, "    ---- ", IF(ABS(ROUND(100/AR14*AS14-100,1))&lt;999,ROUND(100/AR14*AS14-100,1),IF(ROUND(100/AR14*AS14-100,1)&gt;999,999,-999)))</f>
        <v>2.4</v>
      </c>
    </row>
    <row r="15" spans="1:57" s="464" customFormat="1" ht="20.100000000000001" customHeight="1" x14ac:dyDescent="0.3">
      <c r="A15" s="435" t="s">
        <v>167</v>
      </c>
      <c r="B15" s="193"/>
      <c r="C15" s="421"/>
      <c r="D15" s="418"/>
      <c r="E15" s="104"/>
      <c r="F15" s="579"/>
      <c r="G15" s="421"/>
      <c r="H15" s="193">
        <v>1533.37</v>
      </c>
      <c r="I15" s="421">
        <v>1383.65</v>
      </c>
      <c r="J15" s="418">
        <f t="shared" ref="J15:J28" si="6">IF(H15=0, "    ---- ", IF(ABS(ROUND(100/H15*I15-100,1))&lt;999,ROUND(100/H15*I15-100,1),IF(ROUND(100/H15*I15-100,1)&gt;999,999,-999)))</f>
        <v>-9.8000000000000007</v>
      </c>
      <c r="K15" s="193"/>
      <c r="L15" s="421"/>
      <c r="M15" s="418"/>
      <c r="N15" s="193"/>
      <c r="O15" s="421"/>
      <c r="P15" s="418"/>
      <c r="Q15" s="104"/>
      <c r="R15" s="579"/>
      <c r="S15" s="417"/>
      <c r="T15" s="629"/>
      <c r="U15" s="625"/>
      <c r="V15" s="418"/>
      <c r="W15" s="104">
        <v>8037.3522591400006</v>
      </c>
      <c r="X15" s="579">
        <v>8445.4030518599993</v>
      </c>
      <c r="Y15" s="418">
        <f t="shared" si="0"/>
        <v>5.0999999999999996</v>
      </c>
      <c r="Z15" s="104"/>
      <c r="AA15" s="579">
        <v>0</v>
      </c>
      <c r="AB15" s="418"/>
      <c r="AC15" s="104">
        <v>899</v>
      </c>
      <c r="AD15" s="579">
        <v>1213</v>
      </c>
      <c r="AE15" s="418">
        <f t="shared" ref="AE15:AE28" si="7">IF(AC15=0, "    ---- ", IF(ABS(ROUND(100/AC15*AD15-100,1))&lt;999,ROUND(100/AC15*AD15-100,1),IF(ROUND(100/AC15*AD15-100,1)&gt;999,999,-999)))</f>
        <v>34.9</v>
      </c>
      <c r="AF15" s="104"/>
      <c r="AG15" s="579"/>
      <c r="AH15" s="418"/>
      <c r="AI15" s="104">
        <v>1618.7940000000001</v>
      </c>
      <c r="AJ15" s="579">
        <v>1758.491</v>
      </c>
      <c r="AK15" s="418">
        <f t="shared" si="1"/>
        <v>8.6</v>
      </c>
      <c r="AL15" s="104">
        <v>13827</v>
      </c>
      <c r="AM15" s="579">
        <v>12580</v>
      </c>
      <c r="AN15" s="418">
        <f t="shared" ref="AN15:AN28" si="8">IF(AL15=0, "    ---- ", IF(ABS(ROUND(100/AL15*AM15-100,1))&lt;999,ROUND(100/AL15*AM15-100,1),IF(ROUND(100/AL15*AM15-100,1)&gt;999,999,-999)))</f>
        <v>-9</v>
      </c>
      <c r="AO15" s="579">
        <f t="shared" si="2"/>
        <v>25915.51625914</v>
      </c>
      <c r="AP15" s="579">
        <f t="shared" si="2"/>
        <v>25380.544051860001</v>
      </c>
      <c r="AQ15" s="421">
        <f t="shared" si="3"/>
        <v>-2.1</v>
      </c>
      <c r="AR15" s="419">
        <f t="shared" si="4"/>
        <v>25915.51625914</v>
      </c>
      <c r="AS15" s="419">
        <f t="shared" si="4"/>
        <v>25380.544051860001</v>
      </c>
      <c r="AT15" s="418">
        <f t="shared" si="5"/>
        <v>-2.1</v>
      </c>
    </row>
    <row r="16" spans="1:57" s="464" customFormat="1" ht="20.100000000000001" customHeight="1" x14ac:dyDescent="0.3">
      <c r="A16" s="435" t="s">
        <v>168</v>
      </c>
      <c r="B16" s="193"/>
      <c r="C16" s="421">
        <f>SUM(C17+C19)</f>
        <v>0</v>
      </c>
      <c r="D16" s="418"/>
      <c r="E16" s="104">
        <f>SUM(E17+E19)</f>
        <v>308.2</v>
      </c>
      <c r="F16" s="579">
        <f>SUM(F17+F19)</f>
        <v>0</v>
      </c>
      <c r="G16" s="421"/>
      <c r="H16" s="193">
        <f>SUM(H17+H19)</f>
        <v>8417.1299999999992</v>
      </c>
      <c r="I16" s="421">
        <f>SUM(I17+I19)</f>
        <v>12129.521281089999</v>
      </c>
      <c r="J16" s="418"/>
      <c r="K16" s="193"/>
      <c r="L16" s="421"/>
      <c r="M16" s="418"/>
      <c r="N16" s="193">
        <f>SUM(N17+N19)</f>
        <v>52.94</v>
      </c>
      <c r="O16" s="421">
        <f>SUM(O17+O19)</f>
        <v>126.063</v>
      </c>
      <c r="P16" s="418"/>
      <c r="Q16" s="104">
        <f>SUM(Q17+Q19)</f>
        <v>261.39999999999998</v>
      </c>
      <c r="R16" s="579">
        <f>SUM(R17+R19)</f>
        <v>267.5</v>
      </c>
      <c r="S16" s="417"/>
      <c r="T16" s="629"/>
      <c r="U16" s="625">
        <f>SUM(U17+U19)</f>
        <v>0</v>
      </c>
      <c r="V16" s="418"/>
      <c r="W16" s="104">
        <v>19676.79327962</v>
      </c>
      <c r="X16" s="579">
        <f>SUM(X17+X19)</f>
        <v>19132.04021341</v>
      </c>
      <c r="Y16" s="418">
        <f t="shared" si="0"/>
        <v>-2.8</v>
      </c>
      <c r="Z16" s="104"/>
      <c r="AA16" s="579">
        <f>SUM(AA17+AA19)</f>
        <v>0</v>
      </c>
      <c r="AB16" s="418"/>
      <c r="AC16" s="104">
        <f>SUM(AC17+AC19)</f>
        <v>4422</v>
      </c>
      <c r="AD16" s="579">
        <f>SUM(AD17+AD19)</f>
        <v>4580</v>
      </c>
      <c r="AE16" s="418">
        <f t="shared" si="7"/>
        <v>3.6</v>
      </c>
      <c r="AF16" s="104"/>
      <c r="AG16" s="579">
        <f>SUM(AG17+AG19)</f>
        <v>0</v>
      </c>
      <c r="AH16" s="418"/>
      <c r="AI16" s="104">
        <f>SUM(AI17+AI19)</f>
        <v>1145.8109999999999</v>
      </c>
      <c r="AJ16" s="579">
        <f>SUM(AJ17+AJ19)</f>
        <v>1132.3330000000001</v>
      </c>
      <c r="AK16" s="418">
        <f t="shared" si="1"/>
        <v>-1.2</v>
      </c>
      <c r="AL16" s="104">
        <f>SUM(AL17+AL19)</f>
        <v>7324</v>
      </c>
      <c r="AM16" s="579">
        <f>SUM(AM17+AM19)</f>
        <v>9903</v>
      </c>
      <c r="AN16" s="418">
        <f t="shared" si="8"/>
        <v>35.200000000000003</v>
      </c>
      <c r="AO16" s="579">
        <f t="shared" si="2"/>
        <v>41608.274279620004</v>
      </c>
      <c r="AP16" s="579">
        <f t="shared" si="2"/>
        <v>47270.457494499999</v>
      </c>
      <c r="AQ16" s="421">
        <f t="shared" si="3"/>
        <v>13.6</v>
      </c>
      <c r="AR16" s="419">
        <f t="shared" si="4"/>
        <v>41608.274279620004</v>
      </c>
      <c r="AS16" s="419">
        <f t="shared" si="4"/>
        <v>47270.457494499999</v>
      </c>
      <c r="AT16" s="418">
        <f t="shared" si="5"/>
        <v>13.6</v>
      </c>
    </row>
    <row r="17" spans="1:46" s="464" customFormat="1" ht="20.100000000000001" customHeight="1" x14ac:dyDescent="0.3">
      <c r="A17" s="435" t="s">
        <v>169</v>
      </c>
      <c r="B17" s="193"/>
      <c r="C17" s="421"/>
      <c r="D17" s="418"/>
      <c r="E17" s="104"/>
      <c r="F17" s="579"/>
      <c r="G17" s="421"/>
      <c r="H17" s="193">
        <v>5970.5069999999996</v>
      </c>
      <c r="I17" s="421">
        <v>9445.98763607</v>
      </c>
      <c r="J17" s="418"/>
      <c r="K17" s="193"/>
      <c r="L17" s="421"/>
      <c r="M17" s="418"/>
      <c r="N17" s="193">
        <v>52.94</v>
      </c>
      <c r="O17" s="421">
        <v>126.063</v>
      </c>
      <c r="P17" s="418"/>
      <c r="Q17" s="104"/>
      <c r="R17" s="579"/>
      <c r="S17" s="417"/>
      <c r="T17" s="629"/>
      <c r="U17" s="625"/>
      <c r="V17" s="418"/>
      <c r="W17" s="104">
        <v>7867.0217952900002</v>
      </c>
      <c r="X17" s="579">
        <v>6880.1003281000003</v>
      </c>
      <c r="Y17" s="418">
        <f t="shared" si="0"/>
        <v>-12.5</v>
      </c>
      <c r="Z17" s="104"/>
      <c r="AA17" s="579">
        <v>0</v>
      </c>
      <c r="AB17" s="418"/>
      <c r="AC17" s="104">
        <v>16</v>
      </c>
      <c r="AD17" s="579">
        <v>11</v>
      </c>
      <c r="AE17" s="418">
        <f t="shared" si="7"/>
        <v>-31.3</v>
      </c>
      <c r="AF17" s="104"/>
      <c r="AG17" s="579"/>
      <c r="AH17" s="418"/>
      <c r="AI17" s="104">
        <v>76.474999999999994</v>
      </c>
      <c r="AJ17" s="579">
        <v>68.834000000000003</v>
      </c>
      <c r="AK17" s="418">
        <f t="shared" si="1"/>
        <v>-10</v>
      </c>
      <c r="AL17" s="104"/>
      <c r="AM17" s="579"/>
      <c r="AN17" s="418" t="str">
        <f t="shared" si="8"/>
        <v xml:space="preserve">    ---- </v>
      </c>
      <c r="AO17" s="579">
        <f t="shared" si="2"/>
        <v>13982.943795289999</v>
      </c>
      <c r="AP17" s="579">
        <f t="shared" si="2"/>
        <v>16531.984964169998</v>
      </c>
      <c r="AQ17" s="421">
        <f t="shared" si="3"/>
        <v>18.2</v>
      </c>
      <c r="AR17" s="419">
        <f t="shared" si="4"/>
        <v>13982.943795289999</v>
      </c>
      <c r="AS17" s="419">
        <f t="shared" si="4"/>
        <v>16531.984964169998</v>
      </c>
      <c r="AT17" s="418">
        <f t="shared" si="5"/>
        <v>18.2</v>
      </c>
    </row>
    <row r="18" spans="1:46" s="464" customFormat="1" ht="20.100000000000001" customHeight="1" x14ac:dyDescent="0.3">
      <c r="A18" s="435" t="s">
        <v>170</v>
      </c>
      <c r="B18" s="193"/>
      <c r="C18" s="421"/>
      <c r="D18" s="418"/>
      <c r="E18" s="104"/>
      <c r="F18" s="579"/>
      <c r="G18" s="421"/>
      <c r="H18" s="193">
        <v>5970.5069999999996</v>
      </c>
      <c r="I18" s="421">
        <v>9445.98763607</v>
      </c>
      <c r="J18" s="418"/>
      <c r="K18" s="193"/>
      <c r="L18" s="421"/>
      <c r="M18" s="418"/>
      <c r="N18" s="193"/>
      <c r="O18" s="421"/>
      <c r="P18" s="418"/>
      <c r="Q18" s="104"/>
      <c r="R18" s="579"/>
      <c r="S18" s="417"/>
      <c r="T18" s="629"/>
      <c r="U18" s="625"/>
      <c r="V18" s="418"/>
      <c r="W18" s="104">
        <v>7867.0217952900002</v>
      </c>
      <c r="X18" s="579">
        <v>6880.1003281000003</v>
      </c>
      <c r="Y18" s="418">
        <f t="shared" si="0"/>
        <v>-12.5</v>
      </c>
      <c r="Z18" s="104"/>
      <c r="AA18" s="579">
        <v>0</v>
      </c>
      <c r="AB18" s="418"/>
      <c r="AC18" s="104"/>
      <c r="AD18" s="579"/>
      <c r="AE18" s="418"/>
      <c r="AF18" s="104"/>
      <c r="AG18" s="579"/>
      <c r="AH18" s="418"/>
      <c r="AI18" s="104">
        <v>7.4999999999996723</v>
      </c>
      <c r="AJ18" s="579">
        <v>-3.2782554626464843E-13</v>
      </c>
      <c r="AK18" s="418">
        <f t="shared" si="1"/>
        <v>-100</v>
      </c>
      <c r="AL18" s="104"/>
      <c r="AM18" s="579"/>
      <c r="AN18" s="418" t="str">
        <f t="shared" si="8"/>
        <v xml:space="preserve">    ---- </v>
      </c>
      <c r="AO18" s="579">
        <f t="shared" si="2"/>
        <v>13845.02879529</v>
      </c>
      <c r="AP18" s="579">
        <f t="shared" si="2"/>
        <v>16326.087964170001</v>
      </c>
      <c r="AQ18" s="421">
        <f t="shared" si="3"/>
        <v>17.899999999999999</v>
      </c>
      <c r="AR18" s="419">
        <f t="shared" si="4"/>
        <v>13845.02879529</v>
      </c>
      <c r="AS18" s="419">
        <f t="shared" si="4"/>
        <v>16326.087964170001</v>
      </c>
      <c r="AT18" s="418">
        <f t="shared" si="5"/>
        <v>17.899999999999999</v>
      </c>
    </row>
    <row r="19" spans="1:46" s="464" customFormat="1" ht="20.100000000000001" customHeight="1" x14ac:dyDescent="0.3">
      <c r="A19" s="435" t="s">
        <v>171</v>
      </c>
      <c r="B19" s="193"/>
      <c r="C19" s="421"/>
      <c r="D19" s="418"/>
      <c r="E19" s="104">
        <v>308.2</v>
      </c>
      <c r="F19" s="579"/>
      <c r="G19" s="421"/>
      <c r="H19" s="193">
        <v>2446.623</v>
      </c>
      <c r="I19" s="421">
        <v>2683.5336450199998</v>
      </c>
      <c r="J19" s="418"/>
      <c r="K19" s="193"/>
      <c r="L19" s="421"/>
      <c r="M19" s="418"/>
      <c r="N19" s="193"/>
      <c r="O19" s="421"/>
      <c r="P19" s="418"/>
      <c r="Q19" s="104">
        <v>261.39999999999998</v>
      </c>
      <c r="R19" s="579">
        <v>267.5</v>
      </c>
      <c r="S19" s="417"/>
      <c r="T19" s="629"/>
      <c r="U19" s="625"/>
      <c r="V19" s="418"/>
      <c r="W19" s="104">
        <v>11809.77148433</v>
      </c>
      <c r="X19" s="579">
        <v>12251.939885309999</v>
      </c>
      <c r="Y19" s="418">
        <f t="shared" si="0"/>
        <v>3.7</v>
      </c>
      <c r="Z19" s="104"/>
      <c r="AA19" s="579">
        <v>0</v>
      </c>
      <c r="AB19" s="418"/>
      <c r="AC19" s="104">
        <v>4406</v>
      </c>
      <c r="AD19" s="579">
        <v>4569</v>
      </c>
      <c r="AE19" s="418">
        <f t="shared" si="7"/>
        <v>3.7</v>
      </c>
      <c r="AF19" s="104"/>
      <c r="AG19" s="579"/>
      <c r="AH19" s="418"/>
      <c r="AI19" s="104">
        <v>1069.336</v>
      </c>
      <c r="AJ19" s="579">
        <v>1063.499</v>
      </c>
      <c r="AK19" s="418">
        <f t="shared" si="1"/>
        <v>-0.5</v>
      </c>
      <c r="AL19" s="104">
        <f>1+6819+504</f>
        <v>7324</v>
      </c>
      <c r="AM19" s="579">
        <f>6985+2918</f>
        <v>9903</v>
      </c>
      <c r="AN19" s="418">
        <f t="shared" si="8"/>
        <v>35.200000000000003</v>
      </c>
      <c r="AO19" s="579">
        <f t="shared" si="2"/>
        <v>27625.330484329999</v>
      </c>
      <c r="AP19" s="579">
        <f t="shared" si="2"/>
        <v>30738.472530329997</v>
      </c>
      <c r="AQ19" s="421">
        <f t="shared" si="3"/>
        <v>11.3</v>
      </c>
      <c r="AR19" s="419">
        <f t="shared" si="4"/>
        <v>27625.330484329999</v>
      </c>
      <c r="AS19" s="419">
        <f t="shared" si="4"/>
        <v>30738.472530329997</v>
      </c>
      <c r="AT19" s="418">
        <f t="shared" si="5"/>
        <v>11.3</v>
      </c>
    </row>
    <row r="20" spans="1:46" s="464" customFormat="1" ht="20.100000000000001" customHeight="1" x14ac:dyDescent="0.3">
      <c r="A20" s="435" t="s">
        <v>172</v>
      </c>
      <c r="B20" s="193">
        <f>SUM(B21:B25)</f>
        <v>683.096</v>
      </c>
      <c r="C20" s="421">
        <f>SUM(C21:C25)</f>
        <v>804.4910000000001</v>
      </c>
      <c r="D20" s="418">
        <f>IF(B20=0, "    ---- ", IF(ABS(ROUND(100/B20*C20-100,1))&lt;999,ROUND(100/B20*C20-100,1),IF(ROUND(100/B20*C20-100,1)&gt;999,999,-999)))</f>
        <v>17.8</v>
      </c>
      <c r="E20" s="104">
        <f>SUM(E21:E25)</f>
        <v>275.90000000000003</v>
      </c>
      <c r="F20" s="579">
        <f>SUM(F21:F25)</f>
        <v>0</v>
      </c>
      <c r="G20" s="421">
        <f t="shared" ref="G20:G28" si="9">IF(E20=0, "    ---- ", IF(ABS(ROUND(100/E20*F20-100,1))&lt;999,ROUND(100/E20*F20-100,1),IF(ROUND(100/E20*F20-100,1)&gt;999,999,-999)))</f>
        <v>-100</v>
      </c>
      <c r="H20" s="193">
        <f>SUM(H21:H25)</f>
        <v>21900.824000000001</v>
      </c>
      <c r="I20" s="421">
        <f>SUM(I21:I25)</f>
        <v>21197.234350259998</v>
      </c>
      <c r="J20" s="418">
        <f t="shared" si="6"/>
        <v>-3.2</v>
      </c>
      <c r="K20" s="193">
        <v>1422.2784909700003</v>
      </c>
      <c r="L20" s="421">
        <f>SUM(L21:L25)</f>
        <v>2204.0929943299998</v>
      </c>
      <c r="M20" s="418">
        <f>IF(K20=0, "    ---- ", IF(ABS(ROUND(100/K20*L20-100,1))&lt;999,ROUND(100/K20*L20-100,1),IF(ROUND(100/K20*L20-100,1)&gt;999,999,-999)))</f>
        <v>55</v>
      </c>
      <c r="N20" s="193">
        <f>SUM(N21:N25)</f>
        <v>232.983</v>
      </c>
      <c r="O20" s="421">
        <f>SUM(O21:O25)</f>
        <v>541.93799999999999</v>
      </c>
      <c r="P20" s="418">
        <f t="shared" ref="P20:P28" si="10">IF(N20=0, "    ---- ", IF(ABS(ROUND(100/N20*O20-100,1))&lt;999,ROUND(100/N20*O20-100,1),IF(ROUND(100/N20*O20-100,1)&gt;999,999,-999)))</f>
        <v>132.6</v>
      </c>
      <c r="Q20" s="104">
        <f>SUM(Q21:Q25)</f>
        <v>719.5</v>
      </c>
      <c r="R20" s="579">
        <f>SUM(R21:R25)</f>
        <v>923.09999999999991</v>
      </c>
      <c r="S20" s="417">
        <f t="shared" ref="S20:S28" si="11">IF(Q20=0, "    ---- ", IF(ABS(ROUND(100/Q20*R20-100,1))&lt;999,ROUND(100/Q20*R20-100,1),IF(ROUND(100/Q20*R20-100,1)&gt;999,999,-999)))</f>
        <v>28.3</v>
      </c>
      <c r="T20" s="629"/>
      <c r="U20" s="625">
        <f>SUM(U21:U25)</f>
        <v>0</v>
      </c>
      <c r="V20" s="418" t="str">
        <f>IF(T20=0, "    ---- ", IF(ABS(ROUND(100/T20*U20-100,1))&lt;999,ROUND(100/T20*U20-100,1),IF(ROUND(100/T20*U20-100,1)&gt;999,999,-999)))</f>
        <v xml:space="preserve">    ---- </v>
      </c>
      <c r="W20" s="104">
        <v>14826.350470109999</v>
      </c>
      <c r="X20" s="579">
        <f>SUM(X21:X25)</f>
        <v>12341.025364090001</v>
      </c>
      <c r="Y20" s="418">
        <f t="shared" si="0"/>
        <v>-16.8</v>
      </c>
      <c r="Z20" s="104">
        <f>SUM(Z21:Z25)</f>
        <v>10740.030542340115</v>
      </c>
      <c r="AA20" s="579">
        <f>SUM(AA21:AA25)</f>
        <v>10665.720000000001</v>
      </c>
      <c r="AB20" s="418">
        <f t="shared" ref="AB20:AB28" si="12">IF(Z20=0, "    ---- ", IF(ABS(ROUND(100/Z20*AA20-100,1))&lt;999,ROUND(100/Z20*AA20-100,1),IF(ROUND(100/Z20*AA20-100,1)&gt;999,999,-999)))</f>
        <v>-0.7</v>
      </c>
      <c r="AC20" s="104">
        <f>SUM(AC21:AC25)</f>
        <v>3781</v>
      </c>
      <c r="AD20" s="579">
        <f>SUM(AD21:AD25)</f>
        <v>4553</v>
      </c>
      <c r="AE20" s="418">
        <f t="shared" si="7"/>
        <v>20.399999999999999</v>
      </c>
      <c r="AF20" s="104"/>
      <c r="AG20" s="579">
        <f>SUM(AG21:AG25)</f>
        <v>0</v>
      </c>
      <c r="AH20" s="314" t="str">
        <f>IF(AF20=0, "    ---- ", IF(ABS(ROUND(100/AF20*AG20-100,1))&lt;999,ROUND(100/AF20*AG20-100,1),IF(ROUND(100/AF20*AG20-100,1)&gt;999,999,-999)))</f>
        <v xml:space="preserve">    ---- </v>
      </c>
      <c r="AI20" s="104">
        <f>SUM(AI21:AI25)</f>
        <v>3415.6809999999996</v>
      </c>
      <c r="AJ20" s="579">
        <f>SUM(AJ21:AJ25)</f>
        <v>3609.2190000000001</v>
      </c>
      <c r="AK20" s="418">
        <f t="shared" si="1"/>
        <v>5.7</v>
      </c>
      <c r="AL20" s="104">
        <f>SUM(AL21:AL25)</f>
        <v>12447</v>
      </c>
      <c r="AM20" s="579">
        <f>SUM(AM21:AM25)</f>
        <v>12761</v>
      </c>
      <c r="AN20" s="418">
        <f t="shared" si="8"/>
        <v>2.5</v>
      </c>
      <c r="AO20" s="579">
        <f t="shared" si="2"/>
        <v>70444.643503420113</v>
      </c>
      <c r="AP20" s="579">
        <f t="shared" si="2"/>
        <v>69600.820708679996</v>
      </c>
      <c r="AQ20" s="421">
        <f t="shared" si="3"/>
        <v>-1.2</v>
      </c>
      <c r="AR20" s="419">
        <f t="shared" si="4"/>
        <v>70444.643503420113</v>
      </c>
      <c r="AS20" s="419">
        <f t="shared" si="4"/>
        <v>69600.820708679996</v>
      </c>
      <c r="AT20" s="418">
        <f t="shared" si="5"/>
        <v>-1.2</v>
      </c>
    </row>
    <row r="21" spans="1:46" s="464" customFormat="1" ht="20.100000000000001" customHeight="1" x14ac:dyDescent="0.3">
      <c r="A21" s="435" t="s">
        <v>173</v>
      </c>
      <c r="B21" s="193">
        <v>5.4989999999999997</v>
      </c>
      <c r="C21" s="421">
        <v>6.8250000000000002</v>
      </c>
      <c r="D21" s="418">
        <f>IF(B21=0, "    ---- ", IF(ABS(ROUND(100/B21*C21-100,1))&lt;999,ROUND(100/B21*C21-100,1),IF(ROUND(100/B21*C21-100,1)&gt;999,999,-999)))</f>
        <v>24.1</v>
      </c>
      <c r="E21" s="104">
        <v>6.6</v>
      </c>
      <c r="F21" s="579"/>
      <c r="G21" s="421">
        <f t="shared" si="9"/>
        <v>-100</v>
      </c>
      <c r="H21" s="193">
        <v>435.35599999999999</v>
      </c>
      <c r="I21" s="421">
        <v>393.0028858</v>
      </c>
      <c r="J21" s="418">
        <f t="shared" si="6"/>
        <v>-9.6999999999999993</v>
      </c>
      <c r="K21" s="193"/>
      <c r="L21" s="421">
        <v>0</v>
      </c>
      <c r="M21" s="418" t="str">
        <f>IF(K21=0, "    ---- ", IF(ABS(ROUND(100/K21*L21-100,1))&lt;999,ROUND(100/K21*L21-100,1),IF(ROUND(100/K21*L21-100,1)&gt;999,999,-999)))</f>
        <v xml:space="preserve">    ---- </v>
      </c>
      <c r="N21" s="193">
        <v>26.055</v>
      </c>
      <c r="O21" s="421">
        <v>82.340999999999994</v>
      </c>
      <c r="P21" s="418">
        <f t="shared" si="10"/>
        <v>216</v>
      </c>
      <c r="Q21" s="104">
        <v>27.6</v>
      </c>
      <c r="R21" s="579">
        <v>18.3</v>
      </c>
      <c r="S21" s="417">
        <f t="shared" si="11"/>
        <v>-33.700000000000003</v>
      </c>
      <c r="T21" s="629"/>
      <c r="U21" s="625"/>
      <c r="V21" s="418"/>
      <c r="W21" s="104">
        <v>5.2555584500000005</v>
      </c>
      <c r="X21" s="579">
        <v>6.7540584500000005</v>
      </c>
      <c r="Y21" s="418">
        <f t="shared" si="0"/>
        <v>28.5</v>
      </c>
      <c r="Z21" s="104"/>
      <c r="AA21" s="579">
        <v>6.75</v>
      </c>
      <c r="AB21" s="418" t="str">
        <f t="shared" si="12"/>
        <v xml:space="preserve">    ---- </v>
      </c>
      <c r="AC21" s="104">
        <v>2006</v>
      </c>
      <c r="AD21" s="579">
        <v>2190</v>
      </c>
      <c r="AE21" s="418"/>
      <c r="AF21" s="104"/>
      <c r="AG21" s="579"/>
      <c r="AH21" s="418"/>
      <c r="AI21" s="104">
        <v>0.48899999999999999</v>
      </c>
      <c r="AJ21" s="579">
        <v>1.204</v>
      </c>
      <c r="AK21" s="418">
        <f t="shared" si="1"/>
        <v>146.19999999999999</v>
      </c>
      <c r="AL21" s="104">
        <v>14</v>
      </c>
      <c r="AM21" s="579">
        <v>90</v>
      </c>
      <c r="AN21" s="418">
        <f t="shared" si="8"/>
        <v>542.9</v>
      </c>
      <c r="AO21" s="579">
        <f t="shared" si="2"/>
        <v>2526.8545584500002</v>
      </c>
      <c r="AP21" s="579">
        <f t="shared" si="2"/>
        <v>2795.1769442500004</v>
      </c>
      <c r="AQ21" s="421">
        <f t="shared" si="3"/>
        <v>10.6</v>
      </c>
      <c r="AR21" s="419">
        <f t="shared" si="4"/>
        <v>2526.8545584500002</v>
      </c>
      <c r="AS21" s="419">
        <f t="shared" si="4"/>
        <v>2795.1769442500004</v>
      </c>
      <c r="AT21" s="418">
        <f t="shared" si="5"/>
        <v>10.6</v>
      </c>
    </row>
    <row r="22" spans="1:46" s="464" customFormat="1" ht="20.100000000000001" customHeight="1" x14ac:dyDescent="0.3">
      <c r="A22" s="435" t="s">
        <v>174</v>
      </c>
      <c r="B22" s="193">
        <v>677.59699999999998</v>
      </c>
      <c r="C22" s="421">
        <v>797.66600000000005</v>
      </c>
      <c r="D22" s="418">
        <f>IF(B22=0, "    ---- ", IF(ABS(ROUND(100/B22*C22-100,1))&lt;999,ROUND(100/B22*C22-100,1),IF(ROUND(100/B22*C22-100,1)&gt;999,999,-999)))</f>
        <v>17.7</v>
      </c>
      <c r="E22" s="104">
        <v>255</v>
      </c>
      <c r="F22" s="579"/>
      <c r="G22" s="421">
        <f t="shared" si="9"/>
        <v>-100</v>
      </c>
      <c r="H22" s="193">
        <v>21138.149000000001</v>
      </c>
      <c r="I22" s="421">
        <v>20479.04221494</v>
      </c>
      <c r="J22" s="418">
        <f t="shared" si="6"/>
        <v>-3.1</v>
      </c>
      <c r="K22" s="193">
        <v>1285.1678755100002</v>
      </c>
      <c r="L22" s="421">
        <v>1958.0040078799998</v>
      </c>
      <c r="M22" s="418">
        <f>IF(K22=0, "    ---- ", IF(ABS(ROUND(100/K22*L22-100,1))&lt;999,ROUND(100/K22*L22-100,1),IF(ROUND(100/K22*L22-100,1)&gt;999,999,-999)))</f>
        <v>52.4</v>
      </c>
      <c r="N22" s="193">
        <v>164.62799999999999</v>
      </c>
      <c r="O22" s="421">
        <v>356.54899999999998</v>
      </c>
      <c r="P22" s="418">
        <f t="shared" si="10"/>
        <v>116.6</v>
      </c>
      <c r="Q22" s="104">
        <v>691.9</v>
      </c>
      <c r="R22" s="579">
        <v>904.8</v>
      </c>
      <c r="S22" s="417">
        <f t="shared" si="11"/>
        <v>30.8</v>
      </c>
      <c r="T22" s="629"/>
      <c r="U22" s="625"/>
      <c r="V22" s="418"/>
      <c r="W22" s="104">
        <v>11535.956967799999</v>
      </c>
      <c r="X22" s="579">
        <v>9910.2505500000007</v>
      </c>
      <c r="Y22" s="418">
        <f t="shared" si="0"/>
        <v>-14.1</v>
      </c>
      <c r="Z22" s="104">
        <v>10740.030542340115</v>
      </c>
      <c r="AA22" s="579">
        <v>10658.710000000001</v>
      </c>
      <c r="AB22" s="418">
        <f t="shared" si="12"/>
        <v>-0.8</v>
      </c>
      <c r="AC22" s="104">
        <v>1970</v>
      </c>
      <c r="AD22" s="579">
        <v>2272</v>
      </c>
      <c r="AE22" s="418">
        <f t="shared" si="7"/>
        <v>15.3</v>
      </c>
      <c r="AF22" s="104"/>
      <c r="AG22" s="579"/>
      <c r="AH22" s="418"/>
      <c r="AI22" s="104">
        <v>2572.8539999999998</v>
      </c>
      <c r="AJ22" s="579">
        <v>3304.2359999999999</v>
      </c>
      <c r="AK22" s="418">
        <f t="shared" si="1"/>
        <v>28.4</v>
      </c>
      <c r="AL22" s="104">
        <v>10645</v>
      </c>
      <c r="AM22" s="579">
        <v>11559</v>
      </c>
      <c r="AN22" s="418">
        <f t="shared" si="8"/>
        <v>8.6</v>
      </c>
      <c r="AO22" s="579">
        <f t="shared" si="2"/>
        <v>61676.283385650117</v>
      </c>
      <c r="AP22" s="579">
        <f t="shared" si="2"/>
        <v>62200.257772819998</v>
      </c>
      <c r="AQ22" s="421">
        <f t="shared" si="3"/>
        <v>0.8</v>
      </c>
      <c r="AR22" s="419">
        <f t="shared" si="4"/>
        <v>61676.283385650117</v>
      </c>
      <c r="AS22" s="419">
        <f t="shared" si="4"/>
        <v>62200.257772819998</v>
      </c>
      <c r="AT22" s="418">
        <f t="shared" si="5"/>
        <v>0.8</v>
      </c>
    </row>
    <row r="23" spans="1:46" s="464" customFormat="1" ht="20.100000000000001" customHeight="1" x14ac:dyDescent="0.3">
      <c r="A23" s="435" t="s">
        <v>175</v>
      </c>
      <c r="B23" s="193"/>
      <c r="C23" s="421"/>
      <c r="D23" s="418"/>
      <c r="E23" s="104">
        <v>14.3</v>
      </c>
      <c r="F23" s="579"/>
      <c r="G23" s="421">
        <f t="shared" si="9"/>
        <v>-100</v>
      </c>
      <c r="H23" s="193">
        <v>9.6210000000000004</v>
      </c>
      <c r="I23" s="421">
        <v>1.7899053700000001</v>
      </c>
      <c r="J23" s="418">
        <f t="shared" si="6"/>
        <v>-81.400000000000006</v>
      </c>
      <c r="K23" s="193">
        <v>136.12100986999999</v>
      </c>
      <c r="L23" s="421">
        <v>244.37152026000001</v>
      </c>
      <c r="M23" s="418"/>
      <c r="N23" s="193"/>
      <c r="O23" s="421"/>
      <c r="P23" s="418"/>
      <c r="Q23" s="104"/>
      <c r="R23" s="579"/>
      <c r="S23" s="417" t="str">
        <f t="shared" si="11"/>
        <v xml:space="preserve">    ---- </v>
      </c>
      <c r="T23" s="629"/>
      <c r="U23" s="625"/>
      <c r="V23" s="418"/>
      <c r="W23" s="104">
        <v>1813.9550208599999</v>
      </c>
      <c r="X23" s="579">
        <v>1677.6790948900002</v>
      </c>
      <c r="Y23" s="418">
        <f t="shared" si="0"/>
        <v>-7.5</v>
      </c>
      <c r="Z23" s="104"/>
      <c r="AA23" s="579">
        <v>0.26</v>
      </c>
      <c r="AB23" s="418" t="str">
        <f t="shared" si="12"/>
        <v xml:space="preserve">    ---- </v>
      </c>
      <c r="AC23" s="104"/>
      <c r="AD23" s="579"/>
      <c r="AE23" s="418" t="str">
        <f t="shared" si="7"/>
        <v xml:space="preserve">    ---- </v>
      </c>
      <c r="AF23" s="104"/>
      <c r="AG23" s="579"/>
      <c r="AH23" s="418"/>
      <c r="AI23" s="104"/>
      <c r="AJ23" s="579">
        <v>0</v>
      </c>
      <c r="AK23" s="418" t="str">
        <f t="shared" si="1"/>
        <v xml:space="preserve">    ---- </v>
      </c>
      <c r="AL23" s="104"/>
      <c r="AM23" s="579"/>
      <c r="AN23" s="418" t="str">
        <f t="shared" si="8"/>
        <v xml:space="preserve">    ---- </v>
      </c>
      <c r="AO23" s="579">
        <f t="shared" si="2"/>
        <v>1973.9970307299998</v>
      </c>
      <c r="AP23" s="579">
        <f t="shared" si="2"/>
        <v>1924.1005205200001</v>
      </c>
      <c r="AQ23" s="421">
        <f t="shared" si="3"/>
        <v>-2.5</v>
      </c>
      <c r="AR23" s="419">
        <f t="shared" si="4"/>
        <v>1973.9970307299998</v>
      </c>
      <c r="AS23" s="419">
        <f t="shared" si="4"/>
        <v>1924.1005205200001</v>
      </c>
      <c r="AT23" s="418">
        <f t="shared" si="5"/>
        <v>-2.5</v>
      </c>
    </row>
    <row r="24" spans="1:46" s="464" customFormat="1" ht="20.100000000000001" customHeight="1" x14ac:dyDescent="0.3">
      <c r="A24" s="435" t="s">
        <v>176</v>
      </c>
      <c r="B24" s="193"/>
      <c r="C24" s="421"/>
      <c r="D24" s="418"/>
      <c r="E24" s="104"/>
      <c r="F24" s="579"/>
      <c r="G24" s="421"/>
      <c r="H24" s="193">
        <v>0.97899999999999998</v>
      </c>
      <c r="I24" s="421">
        <v>7.22438818</v>
      </c>
      <c r="J24" s="418">
        <f t="shared" si="6"/>
        <v>637.9</v>
      </c>
      <c r="K24" s="193"/>
      <c r="L24" s="421">
        <v>0</v>
      </c>
      <c r="M24" s="418"/>
      <c r="N24" s="193"/>
      <c r="O24" s="421"/>
      <c r="P24" s="418"/>
      <c r="Q24" s="104"/>
      <c r="R24" s="579"/>
      <c r="S24" s="417"/>
      <c r="T24" s="629"/>
      <c r="U24" s="625"/>
      <c r="V24" s="418"/>
      <c r="W24" s="104">
        <v>1310.88053085</v>
      </c>
      <c r="X24" s="579">
        <v>741.62346622000007</v>
      </c>
      <c r="Y24" s="418">
        <f t="shared" si="0"/>
        <v>-43.4</v>
      </c>
      <c r="Z24" s="104"/>
      <c r="AA24" s="579">
        <v>0</v>
      </c>
      <c r="AB24" s="418"/>
      <c r="AC24" s="104">
        <v>-195</v>
      </c>
      <c r="AD24" s="579">
        <v>91</v>
      </c>
      <c r="AE24" s="418">
        <f t="shared" si="7"/>
        <v>-146.69999999999999</v>
      </c>
      <c r="AF24" s="104"/>
      <c r="AG24" s="579"/>
      <c r="AH24" s="418"/>
      <c r="AI24" s="104">
        <v>0.75</v>
      </c>
      <c r="AJ24" s="579">
        <v>0.75700000000000001</v>
      </c>
      <c r="AK24" s="418"/>
      <c r="AL24" s="104">
        <v>1788</v>
      </c>
      <c r="AM24" s="579">
        <v>1112</v>
      </c>
      <c r="AN24" s="418">
        <f t="shared" si="8"/>
        <v>-37.799999999999997</v>
      </c>
      <c r="AO24" s="579">
        <f t="shared" si="2"/>
        <v>2905.6095308499998</v>
      </c>
      <c r="AP24" s="579">
        <f t="shared" si="2"/>
        <v>1952.6048544</v>
      </c>
      <c r="AQ24" s="421">
        <f t="shared" si="3"/>
        <v>-32.799999999999997</v>
      </c>
      <c r="AR24" s="419">
        <f t="shared" si="4"/>
        <v>2905.6095308499998</v>
      </c>
      <c r="AS24" s="419">
        <f t="shared" si="4"/>
        <v>1952.6048544</v>
      </c>
      <c r="AT24" s="418">
        <f t="shared" si="5"/>
        <v>-32.799999999999997</v>
      </c>
    </row>
    <row r="25" spans="1:46" s="464" customFormat="1" ht="20.100000000000001" customHeight="1" x14ac:dyDescent="0.3">
      <c r="A25" s="435" t="s">
        <v>177</v>
      </c>
      <c r="B25" s="193"/>
      <c r="C25" s="421"/>
      <c r="D25" s="418"/>
      <c r="E25" s="104"/>
      <c r="F25" s="579"/>
      <c r="G25" s="421"/>
      <c r="H25" s="193">
        <v>316.71899999999999</v>
      </c>
      <c r="I25" s="421">
        <v>316.17495596999998</v>
      </c>
      <c r="J25" s="418">
        <f t="shared" si="6"/>
        <v>-0.2</v>
      </c>
      <c r="K25" s="193">
        <v>0.98960558999999981</v>
      </c>
      <c r="L25" s="421">
        <v>1.717466189999991</v>
      </c>
      <c r="M25" s="418">
        <f>IF(K25=0, "    ---- ", IF(ABS(ROUND(100/K25*L25-100,1))&lt;999,ROUND(100/K25*L25-100,1),IF(ROUND(100/K25*L25-100,1)&gt;999,999,-999)))</f>
        <v>73.599999999999994</v>
      </c>
      <c r="N25" s="193">
        <v>42.3</v>
      </c>
      <c r="O25" s="421">
        <v>103.048</v>
      </c>
      <c r="P25" s="418">
        <f t="shared" si="10"/>
        <v>143.6</v>
      </c>
      <c r="Q25" s="104"/>
      <c r="R25" s="579"/>
      <c r="S25" s="417"/>
      <c r="T25" s="629"/>
      <c r="U25" s="625"/>
      <c r="V25" s="418" t="str">
        <f>IF(T25=0, "    ---- ", IF(ABS(ROUND(100/T25*U25-100,1))&lt;999,ROUND(100/T25*U25-100,1),IF(ROUND(100/T25*U25-100,1)&gt;999,999,-999)))</f>
        <v xml:space="preserve">    ---- </v>
      </c>
      <c r="W25" s="104">
        <v>160.30239215</v>
      </c>
      <c r="X25" s="579">
        <v>4.7181945299999999</v>
      </c>
      <c r="Y25" s="418">
        <f t="shared" si="0"/>
        <v>-97.1</v>
      </c>
      <c r="Z25" s="104"/>
      <c r="AA25" s="579">
        <v>0</v>
      </c>
      <c r="AB25" s="418"/>
      <c r="AC25" s="104"/>
      <c r="AD25" s="579"/>
      <c r="AE25" s="418"/>
      <c r="AF25" s="104"/>
      <c r="AG25" s="579"/>
      <c r="AH25" s="314" t="str">
        <f>IF(AF25=0, "    ---- ", IF(ABS(ROUND(100/AF25*AG25-100,1))&lt;999,ROUND(100/AF25*AG25-100,1),IF(ROUND(100/AF25*AG25-100,1)&gt;999,999,-999)))</f>
        <v xml:space="preserve">    ---- </v>
      </c>
      <c r="AI25" s="104">
        <v>841.58799999999997</v>
      </c>
      <c r="AJ25" s="579">
        <v>303.02199999999999</v>
      </c>
      <c r="AK25" s="418">
        <f t="shared" si="1"/>
        <v>-64</v>
      </c>
      <c r="AL25" s="104"/>
      <c r="AM25" s="579"/>
      <c r="AN25" s="418" t="str">
        <f t="shared" si="8"/>
        <v xml:space="preserve">    ---- </v>
      </c>
      <c r="AO25" s="579">
        <f t="shared" si="2"/>
        <v>1361.8989977399999</v>
      </c>
      <c r="AP25" s="579">
        <f t="shared" si="2"/>
        <v>728.68061668999997</v>
      </c>
      <c r="AQ25" s="421">
        <f t="shared" si="3"/>
        <v>-46.5</v>
      </c>
      <c r="AR25" s="419">
        <f t="shared" si="4"/>
        <v>1361.8989977399999</v>
      </c>
      <c r="AS25" s="419">
        <f t="shared" si="4"/>
        <v>728.68061668999997</v>
      </c>
      <c r="AT25" s="418">
        <f t="shared" si="5"/>
        <v>-46.5</v>
      </c>
    </row>
    <row r="26" spans="1:46" s="464" customFormat="1" ht="20.100000000000001" customHeight="1" x14ac:dyDescent="0.3">
      <c r="A26" s="435" t="s">
        <v>178</v>
      </c>
      <c r="B26" s="193"/>
      <c r="C26" s="421"/>
      <c r="D26" s="418"/>
      <c r="E26" s="104"/>
      <c r="F26" s="579"/>
      <c r="G26" s="421"/>
      <c r="H26" s="193"/>
      <c r="I26" s="421"/>
      <c r="J26" s="418"/>
      <c r="K26" s="193"/>
      <c r="L26" s="421">
        <v>0</v>
      </c>
      <c r="M26" s="418"/>
      <c r="N26" s="193"/>
      <c r="O26" s="421"/>
      <c r="P26" s="418"/>
      <c r="Q26" s="104"/>
      <c r="R26" s="579"/>
      <c r="S26" s="417"/>
      <c r="T26" s="629"/>
      <c r="U26" s="625"/>
      <c r="V26" s="418"/>
      <c r="W26" s="104"/>
      <c r="X26" s="579"/>
      <c r="Y26" s="418"/>
      <c r="Z26" s="104"/>
      <c r="AA26" s="579">
        <v>0</v>
      </c>
      <c r="AB26" s="418"/>
      <c r="AC26" s="104"/>
      <c r="AD26" s="579"/>
      <c r="AE26" s="418"/>
      <c r="AF26" s="104"/>
      <c r="AG26" s="579"/>
      <c r="AH26" s="418"/>
      <c r="AI26" s="104"/>
      <c r="AJ26" s="579"/>
      <c r="AK26" s="418"/>
      <c r="AL26" s="104"/>
      <c r="AM26" s="579"/>
      <c r="AN26" s="418"/>
      <c r="AO26" s="579">
        <f t="shared" si="2"/>
        <v>0</v>
      </c>
      <c r="AP26" s="579">
        <f t="shared" si="2"/>
        <v>0</v>
      </c>
      <c r="AQ26" s="421" t="str">
        <f t="shared" si="3"/>
        <v xml:space="preserve">    ---- </v>
      </c>
      <c r="AR26" s="419">
        <f t="shared" si="4"/>
        <v>0</v>
      </c>
      <c r="AS26" s="419">
        <f t="shared" si="4"/>
        <v>0</v>
      </c>
      <c r="AT26" s="418" t="str">
        <f t="shared" si="5"/>
        <v xml:space="preserve">    ---- </v>
      </c>
    </row>
    <row r="27" spans="1:46" s="464" customFormat="1" ht="20.100000000000001" customHeight="1" x14ac:dyDescent="0.3">
      <c r="A27" s="436" t="s">
        <v>179</v>
      </c>
      <c r="B27" s="193">
        <f>SUM(B14+B15+B16+B20+B26)</f>
        <v>683.096</v>
      </c>
      <c r="C27" s="421">
        <f>SUM(C14+C15+C16+C20+C26)</f>
        <v>804.4910000000001</v>
      </c>
      <c r="D27" s="418">
        <f>IF(B27=0, "    ---- ", IF(ABS(ROUND(100/B27*C27-100,1))&lt;999,ROUND(100/B27*C27-100,1),IF(ROUND(100/B27*C27-100,1)&gt;999,999,-999)))</f>
        <v>17.8</v>
      </c>
      <c r="E27" s="104">
        <f>SUM(E14+E15+E16+E20+E26)</f>
        <v>584.1</v>
      </c>
      <c r="F27" s="579">
        <f>SUM(F14+F15+F16+F20+F26)</f>
        <v>0</v>
      </c>
      <c r="G27" s="421">
        <f t="shared" si="9"/>
        <v>-100</v>
      </c>
      <c r="H27" s="193">
        <f>SUM(H14+H15+H16+H20+H26)</f>
        <v>31851.324000000001</v>
      </c>
      <c r="I27" s="421">
        <f>SUM(I14+I15+I16+I20+I26)</f>
        <v>34710.405631349997</v>
      </c>
      <c r="J27" s="418">
        <f t="shared" si="6"/>
        <v>9</v>
      </c>
      <c r="K27" s="193">
        <v>1422.2784909700003</v>
      </c>
      <c r="L27" s="421">
        <f>SUM(L14+L15+L16+L20+L26)</f>
        <v>2204.0929943299998</v>
      </c>
      <c r="M27" s="418">
        <f>IF(K27=0, "    ---- ", IF(ABS(ROUND(100/K27*L27-100,1))&lt;999,ROUND(100/K27*L27-100,1),IF(ROUND(100/K27*L27-100,1)&gt;999,999,-999)))</f>
        <v>55</v>
      </c>
      <c r="N27" s="193">
        <f>SUM(N14+N15+N16+N20+N26)</f>
        <v>285.923</v>
      </c>
      <c r="O27" s="421">
        <f>SUM(O14+O15+O16+O20+O26)</f>
        <v>668.00099999999998</v>
      </c>
      <c r="P27" s="418">
        <f t="shared" si="10"/>
        <v>133.6</v>
      </c>
      <c r="Q27" s="104">
        <f>SUM(Q14+Q15+Q16+Q20+Q26)</f>
        <v>990.5</v>
      </c>
      <c r="R27" s="579">
        <f>SUM(R14+R15+R16+R20+R26)</f>
        <v>1197.3999999999999</v>
      </c>
      <c r="S27" s="417">
        <f t="shared" si="11"/>
        <v>20.9</v>
      </c>
      <c r="T27" s="629"/>
      <c r="U27" s="625">
        <f>SUM(U14+U15+U16+U20+U26)</f>
        <v>0</v>
      </c>
      <c r="V27" s="418" t="str">
        <f>IF(T27=0, "    ---- ", IF(ABS(ROUND(100/T27*U27-100,1))&lt;999,ROUND(100/T27*U27-100,1),IF(ROUND(100/T27*U27-100,1)&gt;999,999,-999)))</f>
        <v xml:space="preserve">    ---- </v>
      </c>
      <c r="W27" s="104">
        <v>43505.669410620001</v>
      </c>
      <c r="X27" s="579">
        <f>SUM(X14+X15+X16+X20+X26)</f>
        <v>40909.843629110001</v>
      </c>
      <c r="Y27" s="418">
        <f t="shared" si="0"/>
        <v>-6</v>
      </c>
      <c r="Z27" s="104">
        <f>SUM(Z14+Z15+Z16+Z20+Z26)</f>
        <v>10740.030542340115</v>
      </c>
      <c r="AA27" s="579">
        <f>SUM(AA14+AA15+AA16+AA20+AA26)</f>
        <v>10665.720000000001</v>
      </c>
      <c r="AB27" s="418">
        <f t="shared" si="12"/>
        <v>-0.7</v>
      </c>
      <c r="AC27" s="104">
        <f>SUM(AC14+AC15+AC16+AC20+AC26)</f>
        <v>9102</v>
      </c>
      <c r="AD27" s="579">
        <f>SUM(AD14+AD15+AD16+AD20+AD26)</f>
        <v>10346</v>
      </c>
      <c r="AE27" s="418">
        <f t="shared" si="7"/>
        <v>13.7</v>
      </c>
      <c r="AF27" s="104"/>
      <c r="AG27" s="579">
        <f>SUM(AG14+AG15+AG16+AG20+AG26)</f>
        <v>0</v>
      </c>
      <c r="AH27" s="314" t="str">
        <f>IF(AF27=0, "    ---- ", IF(ABS(ROUND(100/AF27*AG27-100,1))&lt;999,ROUND(100/AF27*AG27-100,1),IF(ROUND(100/AF27*AG27-100,1)&gt;999,999,-999)))</f>
        <v xml:space="preserve">    ---- </v>
      </c>
      <c r="AI27" s="104">
        <f>SUM(AI14+AI15+AI16+AI20+AI26)</f>
        <v>6180.2860000000001</v>
      </c>
      <c r="AJ27" s="579">
        <f>SUM(AJ14+AJ15+AJ16+AJ20+AJ26)</f>
        <v>6500.0429999999997</v>
      </c>
      <c r="AK27" s="418">
        <f t="shared" si="1"/>
        <v>5.2</v>
      </c>
      <c r="AL27" s="104">
        <f>SUM(AL14+AL15+AL16+AL20+AL26)</f>
        <v>33598</v>
      </c>
      <c r="AM27" s="579">
        <f>SUM(AM14+AM15+AM16+AM20+AM26)</f>
        <v>35244</v>
      </c>
      <c r="AN27" s="418">
        <f t="shared" si="8"/>
        <v>4.9000000000000004</v>
      </c>
      <c r="AO27" s="579">
        <f t="shared" si="2"/>
        <v>138943.20744393012</v>
      </c>
      <c r="AP27" s="579">
        <f t="shared" si="2"/>
        <v>143249.99725479001</v>
      </c>
      <c r="AQ27" s="421">
        <f t="shared" si="3"/>
        <v>3.1</v>
      </c>
      <c r="AR27" s="419">
        <f t="shared" si="4"/>
        <v>138943.20744393012</v>
      </c>
      <c r="AS27" s="419">
        <f t="shared" si="4"/>
        <v>143249.99725479001</v>
      </c>
      <c r="AT27" s="418">
        <f t="shared" si="5"/>
        <v>3.1</v>
      </c>
    </row>
    <row r="28" spans="1:46" s="464" customFormat="1" ht="20.100000000000001" customHeight="1" x14ac:dyDescent="0.3">
      <c r="A28" s="435" t="s">
        <v>180</v>
      </c>
      <c r="B28" s="193">
        <f>52.072+229.733+5.039</f>
        <v>286.84399999999999</v>
      </c>
      <c r="C28" s="421">
        <f>61.434+138.615+3.188</f>
        <v>203.23699999999999</v>
      </c>
      <c r="D28" s="418">
        <f>IF(B28=0, "    ---- ", IF(ABS(ROUND(100/B28*C28-100,1))&lt;999,ROUND(100/B28*C28-100,1),IF(ROUND(100/B28*C28-100,1)&gt;999,999,-999)))</f>
        <v>-29.1</v>
      </c>
      <c r="E28" s="104">
        <v>28</v>
      </c>
      <c r="F28" s="579"/>
      <c r="G28" s="421">
        <f t="shared" si="9"/>
        <v>-100</v>
      </c>
      <c r="H28" s="193">
        <v>1105.9280000000001</v>
      </c>
      <c r="I28" s="421">
        <v>1032.4690000000001</v>
      </c>
      <c r="J28" s="418">
        <f t="shared" si="6"/>
        <v>-6.6</v>
      </c>
      <c r="K28" s="193">
        <v>1661.9759338200004</v>
      </c>
      <c r="L28" s="421">
        <v>1323.63399235</v>
      </c>
      <c r="M28" s="418">
        <f>IF(K28=0, "    ---- ", IF(ABS(ROUND(100/K28*L28-100,1))&lt;999,ROUND(100/K28*L28-100,1),IF(ROUND(100/K28*L28-100,1)&gt;999,999,-999)))</f>
        <v>-20.399999999999999</v>
      </c>
      <c r="N28" s="193">
        <v>653.84699999999998</v>
      </c>
      <c r="O28" s="421">
        <v>525.91899999999998</v>
      </c>
      <c r="P28" s="418">
        <f t="shared" si="10"/>
        <v>-19.600000000000001</v>
      </c>
      <c r="Q28" s="104">
        <f>40.6+174.8+206.6+2.6</f>
        <v>424.6</v>
      </c>
      <c r="R28" s="579">
        <v>336.1</v>
      </c>
      <c r="S28" s="417">
        <f t="shared" si="11"/>
        <v>-20.8</v>
      </c>
      <c r="T28" s="629">
        <v>149.58546472</v>
      </c>
      <c r="U28" s="625">
        <v>157.74681726</v>
      </c>
      <c r="V28" s="418"/>
      <c r="W28" s="104">
        <v>2563.9208323199996</v>
      </c>
      <c r="X28" s="579">
        <v>4556.2179340299999</v>
      </c>
      <c r="Y28" s="418">
        <f t="shared" si="0"/>
        <v>77.7</v>
      </c>
      <c r="Z28" s="104">
        <v>913</v>
      </c>
      <c r="AA28" s="579">
        <v>1165</v>
      </c>
      <c r="AB28" s="418">
        <f t="shared" si="12"/>
        <v>27.6</v>
      </c>
      <c r="AC28" s="104">
        <v>1887</v>
      </c>
      <c r="AD28" s="579">
        <f>93+1540+28+57+1</f>
        <v>1719</v>
      </c>
      <c r="AE28" s="418">
        <f t="shared" si="7"/>
        <v>-8.9</v>
      </c>
      <c r="AF28" s="104">
        <v>80.537290569999698</v>
      </c>
      <c r="AG28" s="579">
        <v>95.978247940000003</v>
      </c>
      <c r="AH28" s="418"/>
      <c r="AI28" s="104">
        <v>581.26400000000001</v>
      </c>
      <c r="AJ28" s="579">
        <v>690.02499999999998</v>
      </c>
      <c r="AK28" s="418">
        <f t="shared" si="1"/>
        <v>18.7</v>
      </c>
      <c r="AL28" s="104">
        <f>351+9097+3443+54-1</f>
        <v>12944</v>
      </c>
      <c r="AM28" s="579">
        <f>441+2397+2279+53</f>
        <v>5170</v>
      </c>
      <c r="AN28" s="418">
        <f t="shared" si="8"/>
        <v>-60.1</v>
      </c>
      <c r="AO28" s="579">
        <f t="shared" si="2"/>
        <v>23050.379766140002</v>
      </c>
      <c r="AP28" s="579">
        <f t="shared" si="2"/>
        <v>16721.601926379997</v>
      </c>
      <c r="AQ28" s="421">
        <f t="shared" si="3"/>
        <v>-27.5</v>
      </c>
      <c r="AR28" s="419">
        <f t="shared" si="4"/>
        <v>23280.50252143</v>
      </c>
      <c r="AS28" s="419">
        <f t="shared" si="4"/>
        <v>16975.326991579997</v>
      </c>
      <c r="AT28" s="418">
        <f t="shared" si="5"/>
        <v>-27.1</v>
      </c>
    </row>
    <row r="29" spans="1:46" s="464" customFormat="1" ht="20.100000000000001" customHeight="1" x14ac:dyDescent="0.3">
      <c r="A29" s="435" t="s">
        <v>181</v>
      </c>
      <c r="B29" s="193">
        <f>SUM(B27+B28)</f>
        <v>969.94</v>
      </c>
      <c r="C29" s="421">
        <f>SUM(C27+C28)</f>
        <v>1007.7280000000001</v>
      </c>
      <c r="D29" s="418">
        <f>IF(B29=0, "    ---- ", IF(ABS(ROUND(100/B29*C29-100,1))&lt;999,ROUND(100/B29*C29-100,1),IF(ROUND(100/B29*C29-100,1)&gt;999,999,-999)))</f>
        <v>3.9</v>
      </c>
      <c r="E29" s="193">
        <f>SUM(E27+E28)</f>
        <v>612.1</v>
      </c>
      <c r="F29" s="421">
        <f>SUM(F27+F28)</f>
        <v>0</v>
      </c>
      <c r="G29" s="421">
        <f>IF(E29=0, "    ---- ", IF(ABS(ROUND(100/E29*F29-100,1))&lt;999,ROUND(100/E29*F29-100,1),IF(ROUND(100/E29*F29-100,1)&gt;999,999,-999)))</f>
        <v>-100</v>
      </c>
      <c r="H29" s="193">
        <f>SUM(H27+H28)</f>
        <v>32957.252</v>
      </c>
      <c r="I29" s="421">
        <f>SUM(I27+I28)</f>
        <v>35742.874631349994</v>
      </c>
      <c r="J29" s="418">
        <f>IF(H29=0, "    ---- ", IF(ABS(ROUND(100/H29*I29-100,1))&lt;999,ROUND(100/H29*I29-100,1),IF(ROUND(100/H29*I29-100,1)&gt;999,999,-999)))</f>
        <v>8.5</v>
      </c>
      <c r="K29" s="193">
        <v>3084.2544247900005</v>
      </c>
      <c r="L29" s="421">
        <f>SUM(L27+L28)</f>
        <v>3527.7269866799998</v>
      </c>
      <c r="M29" s="418">
        <f>IF(K29=0, "    ---- ", IF(ABS(ROUND(100/K29*L29-100,1))&lt;999,ROUND(100/K29*L29-100,1),IF(ROUND(100/K29*L29-100,1)&gt;999,999,-999)))</f>
        <v>14.4</v>
      </c>
      <c r="N29" s="193">
        <f>SUM(N27+N28)</f>
        <v>939.77</v>
      </c>
      <c r="O29" s="421">
        <f>SUM(O27+O28)</f>
        <v>1193.92</v>
      </c>
      <c r="P29" s="418">
        <f>IF(N29=0, "    ---- ", IF(ABS(ROUND(100/N29*O29-100,1))&lt;999,ROUND(100/N29*O29-100,1),IF(ROUND(100/N29*O29-100,1)&gt;999,999,-999)))</f>
        <v>27</v>
      </c>
      <c r="Q29" s="193">
        <f>SUM(Q27+Q28)</f>
        <v>1415.1</v>
      </c>
      <c r="R29" s="421">
        <f>SUM(R27+R28)</f>
        <v>1533.5</v>
      </c>
      <c r="S29" s="418">
        <f>IF(Q29=0, "    ---- ", IF(ABS(ROUND(100/Q29*R29-100,1))&lt;999,ROUND(100/Q29*R29-100,1),IF(ROUND(100/Q29*R29-100,1)&gt;999,999,-999)))</f>
        <v>8.4</v>
      </c>
      <c r="T29" s="193">
        <f>SUM(T27+T28)</f>
        <v>149.58546472</v>
      </c>
      <c r="U29" s="421">
        <f>SUM(U27+U28)</f>
        <v>157.74681726</v>
      </c>
      <c r="V29" s="418">
        <f>IF(T29=0, "    ---- ", IF(ABS(ROUND(100/T29*U29-100,1))&lt;999,ROUND(100/T29*U29-100,1),IF(ROUND(100/T29*U29-100,1)&gt;999,999,-999)))</f>
        <v>5.5</v>
      </c>
      <c r="W29" s="193">
        <v>46069.590242940001</v>
      </c>
      <c r="X29" s="421">
        <f>SUM(X27+X28)</f>
        <v>45466.06156314</v>
      </c>
      <c r="Y29" s="418">
        <f>IF(W29=0, "    ---- ", IF(ABS(ROUND(100/W29*X29-100,1))&lt;999,ROUND(100/W29*X29-100,1),IF(ROUND(100/W29*X29-100,1)&gt;999,999,-999)))</f>
        <v>-1.3</v>
      </c>
      <c r="Z29" s="193">
        <f>SUM(Z27+Z28)</f>
        <v>11653.030542340115</v>
      </c>
      <c r="AA29" s="421">
        <f>SUM(AA27+AA28)</f>
        <v>11830.720000000001</v>
      </c>
      <c r="AB29" s="418">
        <f>IF(Z29=0, "    ---- ", IF(ABS(ROUND(100/Z29*AA29-100,1))&lt;999,ROUND(100/Z29*AA29-100,1),IF(ROUND(100/Z29*AA29-100,1)&gt;999,999,-999)))</f>
        <v>1.5</v>
      </c>
      <c r="AC29" s="193">
        <f>SUM(AC27+AC28)</f>
        <v>10989</v>
      </c>
      <c r="AD29" s="421">
        <f>SUM(AD27+AD28)</f>
        <v>12065</v>
      </c>
      <c r="AE29" s="418">
        <f>IF(AC29=0, "    ---- ", IF(ABS(ROUND(100/AC29*AD29-100,1))&lt;999,ROUND(100/AC29*AD29-100,1),IF(ROUND(100/AC29*AD29-100,1)&gt;999,999,-999)))</f>
        <v>9.8000000000000007</v>
      </c>
      <c r="AF29" s="193">
        <f>SUM(AF27+AF28)</f>
        <v>80.537290569999698</v>
      </c>
      <c r="AG29" s="421">
        <f>SUM(AG27+AG28)</f>
        <v>95.978247940000003</v>
      </c>
      <c r="AH29" s="418">
        <f>IF(AF29=0, "    ---- ", IF(ABS(ROUND(100/AF29*AG29-100,1))&lt;999,ROUND(100/AF29*AG29-100,1),IF(ROUND(100/AF29*AG29-100,1)&gt;999,999,-999)))</f>
        <v>19.2</v>
      </c>
      <c r="AI29" s="193">
        <f>SUM(AI27+AI28)</f>
        <v>6761.55</v>
      </c>
      <c r="AJ29" s="421">
        <f>SUM(AJ27+AJ28)</f>
        <v>7190.0679999999993</v>
      </c>
      <c r="AK29" s="418">
        <f>IF(AI29=0, "    ---- ", IF(ABS(ROUND(100/AI29*AJ29-100,1))&lt;999,ROUND(100/AI29*AJ29-100,1),IF(ROUND(100/AI29*AJ29-100,1)&gt;999,999,-999)))</f>
        <v>6.3</v>
      </c>
      <c r="AL29" s="193">
        <f>SUM(AL27+AL28)</f>
        <v>46542</v>
      </c>
      <c r="AM29" s="421">
        <f>SUM(AM27+AM28)</f>
        <v>40414</v>
      </c>
      <c r="AN29" s="418">
        <f>IF(AL29=0, "    ---- ", IF(ABS(ROUND(100/AL29*AM29-100,1))&lt;999,ROUND(100/AL29*AM29-100,1),IF(ROUND(100/AL29*AM29-100,1)&gt;999,999,-999)))</f>
        <v>-13.2</v>
      </c>
      <c r="AO29" s="579">
        <f t="shared" si="2"/>
        <v>161993.58721007011</v>
      </c>
      <c r="AP29" s="579">
        <f t="shared" si="2"/>
        <v>159971.59918116999</v>
      </c>
      <c r="AQ29" s="421">
        <f>IF(AO29=0, "    ---- ", IF(ABS(ROUND(100/AO29*AP29-100,1))&lt;999,ROUND(100/AO29*AP29-100,1),IF(ROUND(100/AO29*AP29-100,1)&gt;999,999,-999)))</f>
        <v>-1.2</v>
      </c>
      <c r="AR29" s="419">
        <f t="shared" si="4"/>
        <v>162223.70996536012</v>
      </c>
      <c r="AS29" s="419">
        <f t="shared" si="4"/>
        <v>160225.32424637</v>
      </c>
      <c r="AT29" s="420">
        <f t="shared" si="5"/>
        <v>-1.2</v>
      </c>
    </row>
    <row r="30" spans="1:46" s="441" customFormat="1" ht="20.100000000000001" customHeight="1" x14ac:dyDescent="0.3">
      <c r="A30" s="435"/>
      <c r="B30" s="577"/>
      <c r="C30" s="411"/>
      <c r="D30" s="421"/>
      <c r="E30" s="577"/>
      <c r="F30" s="411"/>
      <c r="G30" s="314"/>
      <c r="H30" s="577"/>
      <c r="I30" s="411"/>
      <c r="J30" s="421"/>
      <c r="K30" s="577"/>
      <c r="L30" s="411"/>
      <c r="M30" s="421"/>
      <c r="N30" s="577"/>
      <c r="O30" s="411"/>
      <c r="P30" s="421"/>
      <c r="Q30" s="193"/>
      <c r="R30" s="421"/>
      <c r="S30" s="411"/>
      <c r="T30" s="577"/>
      <c r="U30" s="411"/>
      <c r="V30" s="314"/>
      <c r="W30" s="577"/>
      <c r="X30" s="411"/>
      <c r="Y30" s="314"/>
      <c r="Z30" s="104"/>
      <c r="AA30" s="411"/>
      <c r="AB30" s="314"/>
      <c r="AC30" s="577"/>
      <c r="AD30" s="411"/>
      <c r="AE30" s="314"/>
      <c r="AF30" s="577"/>
      <c r="AG30" s="411"/>
      <c r="AH30" s="314"/>
      <c r="AI30" s="577"/>
      <c r="AJ30" s="411"/>
      <c r="AK30" s="314"/>
      <c r="AL30" s="577"/>
      <c r="AM30" s="411"/>
      <c r="AN30" s="314"/>
      <c r="AO30" s="411"/>
      <c r="AP30" s="411"/>
      <c r="AQ30" s="314"/>
      <c r="AR30" s="413"/>
      <c r="AS30" s="413"/>
      <c r="AT30" s="422"/>
    </row>
    <row r="31" spans="1:46" s="441" customFormat="1" ht="20.100000000000001" customHeight="1" x14ac:dyDescent="0.3">
      <c r="A31" s="433" t="s">
        <v>182</v>
      </c>
      <c r="B31" s="193"/>
      <c r="C31" s="421"/>
      <c r="D31" s="421"/>
      <c r="E31" s="193"/>
      <c r="F31" s="421"/>
      <c r="G31" s="314"/>
      <c r="H31" s="193"/>
      <c r="I31" s="421"/>
      <c r="J31" s="421"/>
      <c r="K31" s="193"/>
      <c r="L31" s="421"/>
      <c r="M31" s="421"/>
      <c r="N31" s="193"/>
      <c r="O31" s="421"/>
      <c r="P31" s="421"/>
      <c r="Q31" s="193"/>
      <c r="R31" s="421"/>
      <c r="S31" s="411"/>
      <c r="T31" s="193"/>
      <c r="U31" s="421"/>
      <c r="V31" s="314"/>
      <c r="W31" s="193"/>
      <c r="X31" s="421"/>
      <c r="Y31" s="314"/>
      <c r="Z31" s="193"/>
      <c r="AA31" s="421"/>
      <c r="AB31" s="314"/>
      <c r="AC31" s="193"/>
      <c r="AD31" s="421"/>
      <c r="AE31" s="314"/>
      <c r="AF31" s="193"/>
      <c r="AG31" s="421"/>
      <c r="AH31" s="314"/>
      <c r="AI31" s="193"/>
      <c r="AJ31" s="421"/>
      <c r="AK31" s="314"/>
      <c r="AL31" s="193"/>
      <c r="AM31" s="421"/>
      <c r="AN31" s="314"/>
      <c r="AO31" s="411"/>
      <c r="AP31" s="411"/>
      <c r="AQ31" s="314"/>
      <c r="AR31" s="413"/>
      <c r="AS31" s="413"/>
      <c r="AT31" s="422"/>
    </row>
    <row r="32" spans="1:46" s="441" customFormat="1" ht="20.100000000000001" customHeight="1" x14ac:dyDescent="0.3">
      <c r="A32" s="433" t="s">
        <v>183</v>
      </c>
      <c r="B32" s="193"/>
      <c r="C32" s="421"/>
      <c r="D32" s="314"/>
      <c r="E32" s="193"/>
      <c r="F32" s="421"/>
      <c r="G32" s="314"/>
      <c r="H32" s="193"/>
      <c r="I32" s="421"/>
      <c r="J32" s="314"/>
      <c r="K32" s="193"/>
      <c r="L32" s="421"/>
      <c r="M32" s="314"/>
      <c r="N32" s="193"/>
      <c r="O32" s="421"/>
      <c r="P32" s="314"/>
      <c r="Q32" s="193"/>
      <c r="R32" s="421"/>
      <c r="S32" s="411"/>
      <c r="T32" s="193"/>
      <c r="U32" s="421"/>
      <c r="V32" s="314"/>
      <c r="W32" s="193"/>
      <c r="X32" s="421"/>
      <c r="Y32" s="314"/>
      <c r="Z32" s="193"/>
      <c r="AA32" s="421"/>
      <c r="AB32" s="314"/>
      <c r="AC32" s="193"/>
      <c r="AD32" s="421"/>
      <c r="AE32" s="314"/>
      <c r="AF32" s="193"/>
      <c r="AG32" s="421"/>
      <c r="AH32" s="314"/>
      <c r="AI32" s="193"/>
      <c r="AJ32" s="421"/>
      <c r="AK32" s="314"/>
      <c r="AL32" s="193"/>
      <c r="AM32" s="421"/>
      <c r="AN32" s="314"/>
      <c r="AO32" s="411"/>
      <c r="AP32" s="411"/>
      <c r="AQ32" s="314"/>
      <c r="AR32" s="413"/>
      <c r="AS32" s="413"/>
      <c r="AT32" s="422"/>
    </row>
    <row r="33" spans="1:46" s="441" customFormat="1" ht="20.100000000000001" customHeight="1" x14ac:dyDescent="0.3">
      <c r="A33" s="435" t="s">
        <v>184</v>
      </c>
      <c r="B33" s="193"/>
      <c r="C33" s="421"/>
      <c r="D33" s="421"/>
      <c r="E33" s="193"/>
      <c r="F33" s="421"/>
      <c r="G33" s="314"/>
      <c r="H33" s="193">
        <v>26.204000000000001</v>
      </c>
      <c r="I33" s="421">
        <v>19.31040771</v>
      </c>
      <c r="J33" s="421">
        <f t="shared" ref="J33:J91" si="13">IF(H33=0, "    ---- ", IF(ABS(ROUND(100/H33*I33-100,1))&lt;999,ROUND(100/H33*I33-100,1),IF(ROUND(100/H33*I33-100,1)&gt;999,999,-999)))</f>
        <v>-26.3</v>
      </c>
      <c r="K33" s="193"/>
      <c r="L33" s="421"/>
      <c r="M33" s="421"/>
      <c r="N33" s="193"/>
      <c r="O33" s="421"/>
      <c r="P33" s="421"/>
      <c r="Q33" s="193"/>
      <c r="R33" s="421"/>
      <c r="S33" s="411"/>
      <c r="T33" s="193"/>
      <c r="U33" s="421"/>
      <c r="V33" s="314"/>
      <c r="W33" s="193"/>
      <c r="X33" s="421"/>
      <c r="Y33" s="314"/>
      <c r="Z33" s="193"/>
      <c r="AA33" s="421"/>
      <c r="AB33" s="314"/>
      <c r="AC33" s="193"/>
      <c r="AD33" s="421"/>
      <c r="AE33" s="314" t="str">
        <f t="shared" ref="AE33:AE42" si="14">IF(AC33=0, "    ---- ", IF(ABS(ROUND(100/AC33*AD33-100,1))&lt;999,ROUND(100/AC33*AD33-100,1),IF(ROUND(100/AC33*AD33-100,1)&gt;999,999,-999)))</f>
        <v xml:space="preserve">    ---- </v>
      </c>
      <c r="AF33" s="193"/>
      <c r="AG33" s="421"/>
      <c r="AH33" s="314"/>
      <c r="AI33" s="193"/>
      <c r="AJ33" s="421"/>
      <c r="AK33" s="314" t="str">
        <f t="shared" ref="AK33:AK91" si="15">IF(AI33=0, "    ---- ", IF(ABS(ROUND(100/AI33*AJ33-100,1))&lt;999,ROUND(100/AI33*AJ33-100,1),IF(ROUND(100/AI33*AJ33-100,1)&gt;999,999,-999)))</f>
        <v xml:space="preserve">    ---- </v>
      </c>
      <c r="AL33" s="193"/>
      <c r="AM33" s="421"/>
      <c r="AN33" s="314"/>
      <c r="AO33" s="579">
        <f t="shared" ref="AO33:AP46" si="16">B33+H33+K33+N33+Q33+W33+E33+Z33+AC33+AI33+AL33</f>
        <v>26.204000000000001</v>
      </c>
      <c r="AP33" s="579">
        <f t="shared" si="16"/>
        <v>19.31040771</v>
      </c>
      <c r="AQ33" s="314">
        <f t="shared" ref="AQ33:AQ91" si="17">IF(AO33=0, "    ---- ", IF(ABS(ROUND(100/AO33*AP33-100,1))&lt;999,ROUND(100/AO33*AP33-100,1),IF(ROUND(100/AO33*AP33-100,1)&gt;999,999,-999)))</f>
        <v>-26.3</v>
      </c>
      <c r="AR33" s="419">
        <f t="shared" ref="AR33:AS46" si="18">B33+H33+K33+N33+Q33+T33+W33+E33+Z33+AC33+AF33+AI33+AL33</f>
        <v>26.204000000000001</v>
      </c>
      <c r="AS33" s="419">
        <f t="shared" si="18"/>
        <v>19.31040771</v>
      </c>
      <c r="AT33" s="422">
        <f t="shared" ref="AT33:AT91" si="19">IF(AR33=0, "    ---- ", IF(ABS(ROUND(100/AR33*AS33-100,1))&lt;999,ROUND(100/AR33*AS33-100,1),IF(ROUND(100/AR33*AS33-100,1)&gt;999,999,-999)))</f>
        <v>-26.3</v>
      </c>
    </row>
    <row r="34" spans="1:46" s="441" customFormat="1" ht="20.100000000000001" customHeight="1" x14ac:dyDescent="0.3">
      <c r="A34" s="435" t="s">
        <v>185</v>
      </c>
      <c r="B34" s="193"/>
      <c r="C34" s="421"/>
      <c r="D34" s="421"/>
      <c r="E34" s="193">
        <v>205.2</v>
      </c>
      <c r="F34" s="421"/>
      <c r="G34" s="314">
        <f>IF(E34=0, "    ---- ", IF(ABS(ROUND(100/E34*F34-100,1))&lt;999,ROUND(100/E34*F34-100,1),IF(ROUND(100/E34*F34-100,1)&gt;999,999,-999)))</f>
        <v>-100</v>
      </c>
      <c r="H34" s="193">
        <v>27996.891</v>
      </c>
      <c r="I34" s="421">
        <v>28728.491999999998</v>
      </c>
      <c r="J34" s="421">
        <f t="shared" si="13"/>
        <v>2.6</v>
      </c>
      <c r="K34" s="193"/>
      <c r="L34" s="421"/>
      <c r="M34" s="421"/>
      <c r="N34" s="193"/>
      <c r="O34" s="421"/>
      <c r="P34" s="421"/>
      <c r="Q34" s="193">
        <v>982.5</v>
      </c>
      <c r="R34" s="421">
        <v>1053.9000000000001</v>
      </c>
      <c r="S34" s="411"/>
      <c r="T34" s="193"/>
      <c r="U34" s="421"/>
      <c r="V34" s="314"/>
      <c r="W34" s="193">
        <v>74978.618349700002</v>
      </c>
      <c r="X34" s="421">
        <v>79911.987819140006</v>
      </c>
      <c r="Y34" s="314">
        <f>IF(W34=0, "    ---- ", IF(ABS(ROUND(100/W34*X34-100,1))&lt;999,ROUND(100/W34*X34-100,1),IF(ROUND(100/W34*X34-100,1)&gt;999,999,-999)))</f>
        <v>6.6</v>
      </c>
      <c r="Z34" s="193">
        <v>7443.57485817</v>
      </c>
      <c r="AA34" s="421">
        <v>7503.9950394000007</v>
      </c>
      <c r="AB34" s="314">
        <f t="shared" ref="AB34:AB91" si="20">IF(Z34=0, "    ---- ", IF(ABS(ROUND(100/Z34*AA34-100,1))&lt;999,ROUND(100/Z34*AA34-100,1),IF(ROUND(100/Z34*AA34-100,1)&gt;999,999,-999)))</f>
        <v>0.8</v>
      </c>
      <c r="AC34" s="193">
        <f>9740+5785</f>
        <v>15525</v>
      </c>
      <c r="AD34" s="421">
        <f>11717+7236</f>
        <v>18953</v>
      </c>
      <c r="AE34" s="314">
        <f t="shared" si="14"/>
        <v>22.1</v>
      </c>
      <c r="AF34" s="193"/>
      <c r="AG34" s="421"/>
      <c r="AH34" s="314"/>
      <c r="AI34" s="193">
        <v>4798.1850000000004</v>
      </c>
      <c r="AJ34" s="421">
        <v>4976.4859999999999</v>
      </c>
      <c r="AK34" s="314">
        <f t="shared" si="15"/>
        <v>3.7</v>
      </c>
      <c r="AL34" s="193">
        <v>29032</v>
      </c>
      <c r="AM34" s="421">
        <v>20787</v>
      </c>
      <c r="AN34" s="314">
        <f t="shared" ref="AN34:AN91" si="21">IF(AL34=0, "    ---- ", IF(ABS(ROUND(100/AL34*AM34-100,1))&lt;999,ROUND(100/AL34*AM34-100,1),IF(ROUND(100/AL34*AM34-100,1)&gt;999,999,-999)))</f>
        <v>-28.4</v>
      </c>
      <c r="AO34" s="579">
        <f t="shared" si="16"/>
        <v>160961.96920787002</v>
      </c>
      <c r="AP34" s="579">
        <f t="shared" si="16"/>
        <v>161914.86085854002</v>
      </c>
      <c r="AQ34" s="314">
        <f t="shared" si="17"/>
        <v>0.6</v>
      </c>
      <c r="AR34" s="419">
        <f t="shared" si="18"/>
        <v>160961.96920787002</v>
      </c>
      <c r="AS34" s="419">
        <f t="shared" si="18"/>
        <v>161914.86085854002</v>
      </c>
      <c r="AT34" s="422">
        <f t="shared" si="19"/>
        <v>0.6</v>
      </c>
    </row>
    <row r="35" spans="1:46" s="441" customFormat="1" ht="20.100000000000001" customHeight="1" x14ac:dyDescent="0.3">
      <c r="A35" s="435" t="s">
        <v>186</v>
      </c>
      <c r="B35" s="193"/>
      <c r="C35" s="421">
        <f>SUM(C36+C38)</f>
        <v>0</v>
      </c>
      <c r="D35" s="421"/>
      <c r="E35" s="193">
        <f>SUM(E36+E38)</f>
        <v>1452.6</v>
      </c>
      <c r="F35" s="421">
        <f>SUM(F36+F38)</f>
        <v>0</v>
      </c>
      <c r="G35" s="314">
        <f>IF(E35=0, "    ---- ", IF(ABS(ROUND(100/E35*F35-100,1))&lt;999,ROUND(100/E35*F35-100,1),IF(ROUND(100/E35*F35-100,1)&gt;999,999,-999)))</f>
        <v>-100</v>
      </c>
      <c r="H35" s="193">
        <f>SUM(H36+H38)</f>
        <v>99822.248999999996</v>
      </c>
      <c r="I35" s="421">
        <f>SUM(I36+I38)</f>
        <v>100327.31151654001</v>
      </c>
      <c r="J35" s="421">
        <f t="shared" si="13"/>
        <v>0.5</v>
      </c>
      <c r="K35" s="193"/>
      <c r="L35" s="421">
        <f>SUM(L36+L38)</f>
        <v>238.37672087999999</v>
      </c>
      <c r="M35" s="421"/>
      <c r="N35" s="193">
        <f>SUM(N36+N38)</f>
        <v>213.87799999999999</v>
      </c>
      <c r="O35" s="421">
        <f>SUM(O36+O38)</f>
        <v>212.29499999999999</v>
      </c>
      <c r="P35" s="421"/>
      <c r="Q35" s="193">
        <f>SUM(Q36+Q38)</f>
        <v>5173</v>
      </c>
      <c r="R35" s="421">
        <f>SUM(R36+R38)</f>
        <v>5639.3</v>
      </c>
      <c r="S35" s="411">
        <f>IF(Q35=0, "    ---- ", IF(ABS(ROUND(100/Q35*R35-100,1))&lt;999,ROUND(100/Q35*R35-100,1),IF(ROUND(100/Q35*R35-100,1)&gt;999,999,-999)))</f>
        <v>9</v>
      </c>
      <c r="T35" s="193"/>
      <c r="U35" s="421">
        <f>SUM(U36+U38)</f>
        <v>0</v>
      </c>
      <c r="V35" s="314"/>
      <c r="W35" s="193">
        <v>246488.24231474998</v>
      </c>
      <c r="X35" s="421">
        <f>SUM(X36+X38)</f>
        <v>248860.59535404999</v>
      </c>
      <c r="Y35" s="314">
        <f>IF(W35=0, "    ---- ", IF(ABS(ROUND(100/W35*X35-100,1))&lt;999,ROUND(100/W35*X35-100,1),IF(ROUND(100/W35*X35-100,1)&gt;999,999,-999)))</f>
        <v>1</v>
      </c>
      <c r="Z35" s="193">
        <f>SUM(Z36+Z38)</f>
        <v>31694.931311549899</v>
      </c>
      <c r="AA35" s="421">
        <f>SUM(AA36+AA38)</f>
        <v>33156.035845649996</v>
      </c>
      <c r="AB35" s="314">
        <f t="shared" si="20"/>
        <v>4.5999999999999996</v>
      </c>
      <c r="AC35" s="193">
        <f>SUM(AC36+AC38)</f>
        <v>20515</v>
      </c>
      <c r="AD35" s="421">
        <f>SUM(AD36+AD38)</f>
        <v>23023</v>
      </c>
      <c r="AE35" s="314">
        <f t="shared" si="14"/>
        <v>12.2</v>
      </c>
      <c r="AF35" s="193"/>
      <c r="AG35" s="421">
        <f>SUM(AG36+AG38)</f>
        <v>0</v>
      </c>
      <c r="AH35" s="314"/>
      <c r="AI35" s="193">
        <f>SUM(AI36+AI38)</f>
        <v>7894.0820000000003</v>
      </c>
      <c r="AJ35" s="421">
        <f>SUM(AJ36+AJ38)</f>
        <v>7862.2049999999999</v>
      </c>
      <c r="AK35" s="314">
        <f t="shared" si="15"/>
        <v>-0.4</v>
      </c>
      <c r="AL35" s="193">
        <f>SUM(AL36+AL38)</f>
        <v>133895</v>
      </c>
      <c r="AM35" s="421">
        <f>SUM(AM36+AM38)</f>
        <v>141538</v>
      </c>
      <c r="AN35" s="314">
        <f t="shared" si="21"/>
        <v>5.7</v>
      </c>
      <c r="AO35" s="579">
        <f t="shared" si="16"/>
        <v>547148.98262629984</v>
      </c>
      <c r="AP35" s="579">
        <f t="shared" si="16"/>
        <v>560857.11943712004</v>
      </c>
      <c r="AQ35" s="314">
        <f t="shared" si="17"/>
        <v>2.5</v>
      </c>
      <c r="AR35" s="419">
        <f t="shared" si="18"/>
        <v>547148.98262629984</v>
      </c>
      <c r="AS35" s="419">
        <f t="shared" si="18"/>
        <v>560857.11943712004</v>
      </c>
      <c r="AT35" s="422">
        <f t="shared" si="19"/>
        <v>2.5</v>
      </c>
    </row>
    <row r="36" spans="1:46" s="441" customFormat="1" ht="20.100000000000001" customHeight="1" x14ac:dyDescent="0.3">
      <c r="A36" s="435" t="s">
        <v>187</v>
      </c>
      <c r="B36" s="193"/>
      <c r="C36" s="421"/>
      <c r="D36" s="314"/>
      <c r="E36" s="193">
        <v>94.1</v>
      </c>
      <c r="F36" s="421"/>
      <c r="G36" s="314">
        <f>IF(E36=0, "    ---- ", IF(ABS(ROUND(100/E36*F36-100,1))&lt;999,ROUND(100/E36*F36-100,1),IF(ROUND(100/E36*F36-100,1)&gt;999,999,-999)))</f>
        <v>-100</v>
      </c>
      <c r="H36" s="193">
        <v>71417.97</v>
      </c>
      <c r="I36" s="421">
        <v>71653.603465020002</v>
      </c>
      <c r="J36" s="314">
        <f t="shared" si="13"/>
        <v>0.3</v>
      </c>
      <c r="K36" s="193"/>
      <c r="L36" s="421"/>
      <c r="M36" s="314"/>
      <c r="N36" s="193">
        <v>213.87799999999999</v>
      </c>
      <c r="O36" s="421">
        <v>212.29499999999999</v>
      </c>
      <c r="P36" s="314"/>
      <c r="Q36" s="193"/>
      <c r="R36" s="421"/>
      <c r="S36" s="411" t="str">
        <f>IF(Q36=0, "    ---- ", IF(ABS(ROUND(100/Q36*R36-100,1))&lt;999,ROUND(100/Q36*R36-100,1),IF(ROUND(100/Q36*R36-100,1)&gt;999,999,-999)))</f>
        <v xml:space="preserve">    ---- </v>
      </c>
      <c r="T36" s="193"/>
      <c r="U36" s="421"/>
      <c r="V36" s="314"/>
      <c r="W36" s="193">
        <v>25280.873593230001</v>
      </c>
      <c r="X36" s="421">
        <v>21443.05812496</v>
      </c>
      <c r="Y36" s="314">
        <f>IF(W36=0, "    ---- ", IF(ABS(ROUND(100/W36*X36-100,1))&lt;999,ROUND(100/W36*X36-100,1),IF(ROUND(100/W36*X36-100,1)&gt;999,999,-999)))</f>
        <v>-15.2</v>
      </c>
      <c r="Z36" s="193">
        <v>517.27915186000007</v>
      </c>
      <c r="AA36" s="421">
        <v>517.29838832999997</v>
      </c>
      <c r="AB36" s="314">
        <f t="shared" si="20"/>
        <v>0</v>
      </c>
      <c r="AC36" s="193">
        <v>0</v>
      </c>
      <c r="AD36" s="421"/>
      <c r="AE36" s="314" t="str">
        <f t="shared" si="14"/>
        <v xml:space="preserve">    ---- </v>
      </c>
      <c r="AF36" s="193"/>
      <c r="AG36" s="421"/>
      <c r="AH36" s="314"/>
      <c r="AI36" s="193">
        <v>592.23699999999997</v>
      </c>
      <c r="AJ36" s="421">
        <v>533.654</v>
      </c>
      <c r="AK36" s="314">
        <f t="shared" si="15"/>
        <v>-9.9</v>
      </c>
      <c r="AL36" s="193">
        <v>13396</v>
      </c>
      <c r="AM36" s="421">
        <v>10992</v>
      </c>
      <c r="AN36" s="314">
        <f t="shared" si="21"/>
        <v>-17.899999999999999</v>
      </c>
      <c r="AO36" s="579">
        <f t="shared" si="16"/>
        <v>111512.33774509</v>
      </c>
      <c r="AP36" s="579">
        <f t="shared" si="16"/>
        <v>105351.90897830999</v>
      </c>
      <c r="AQ36" s="314">
        <f t="shared" si="17"/>
        <v>-5.5</v>
      </c>
      <c r="AR36" s="419">
        <f t="shared" si="18"/>
        <v>111512.33774509</v>
      </c>
      <c r="AS36" s="419">
        <f t="shared" si="18"/>
        <v>105351.90897830999</v>
      </c>
      <c r="AT36" s="422">
        <f t="shared" si="19"/>
        <v>-5.5</v>
      </c>
    </row>
    <row r="37" spans="1:46" s="441" customFormat="1" ht="20.100000000000001" customHeight="1" x14ac:dyDescent="0.3">
      <c r="A37" s="435" t="s">
        <v>170</v>
      </c>
      <c r="B37" s="193"/>
      <c r="C37" s="421"/>
      <c r="D37" s="421"/>
      <c r="E37" s="193"/>
      <c r="F37" s="421"/>
      <c r="G37" s="314"/>
      <c r="H37" s="193">
        <v>71417.97</v>
      </c>
      <c r="I37" s="421">
        <v>71653.603465020002</v>
      </c>
      <c r="J37" s="421">
        <f t="shared" si="13"/>
        <v>0.3</v>
      </c>
      <c r="K37" s="193"/>
      <c r="L37" s="421"/>
      <c r="M37" s="421"/>
      <c r="N37" s="193"/>
      <c r="O37" s="421"/>
      <c r="P37" s="421"/>
      <c r="Q37" s="193"/>
      <c r="R37" s="421"/>
      <c r="S37" s="411" t="str">
        <f>IF(Q37=0, "    ---- ", IF(ABS(ROUND(100/Q37*R37-100,1))&lt;999,ROUND(100/Q37*R37-100,1),IF(ROUND(100/Q37*R37-100,1)&gt;999,999,-999)))</f>
        <v xml:space="preserve">    ---- </v>
      </c>
      <c r="T37" s="193"/>
      <c r="U37" s="421"/>
      <c r="V37" s="314"/>
      <c r="W37" s="193">
        <v>25280.873593230001</v>
      </c>
      <c r="X37" s="421">
        <v>21443.05812496</v>
      </c>
      <c r="Y37" s="314">
        <f>IF(W37=0, "    ---- ", IF(ABS(ROUND(100/W37*X37-100,1))&lt;999,ROUND(100/W37*X37-100,1),IF(ROUND(100/W37*X37-100,1)&gt;999,999,-999)))</f>
        <v>-15.2</v>
      </c>
      <c r="Z37" s="193">
        <v>517.27915186000007</v>
      </c>
      <c r="AA37" s="421">
        <v>517.29838832999997</v>
      </c>
      <c r="AB37" s="314">
        <f t="shared" si="20"/>
        <v>0</v>
      </c>
      <c r="AC37" s="193"/>
      <c r="AD37" s="421"/>
      <c r="AE37" s="314" t="str">
        <f t="shared" si="14"/>
        <v xml:space="preserve">    ---- </v>
      </c>
      <c r="AF37" s="193"/>
      <c r="AG37" s="421"/>
      <c r="AH37" s="314"/>
      <c r="AI37" s="193">
        <v>34.499999999999318</v>
      </c>
      <c r="AJ37" s="421">
        <v>-8.4750354290008545E-13</v>
      </c>
      <c r="AK37" s="314">
        <f t="shared" si="15"/>
        <v>-100</v>
      </c>
      <c r="AL37" s="193">
        <v>13396</v>
      </c>
      <c r="AM37" s="421">
        <v>10992</v>
      </c>
      <c r="AN37" s="314">
        <f t="shared" si="21"/>
        <v>-17.899999999999999</v>
      </c>
      <c r="AO37" s="579">
        <f t="shared" si="16"/>
        <v>110646.62274509</v>
      </c>
      <c r="AP37" s="579">
        <f t="shared" si="16"/>
        <v>104605.95997831001</v>
      </c>
      <c r="AQ37" s="314">
        <f t="shared" si="17"/>
        <v>-5.5</v>
      </c>
      <c r="AR37" s="419">
        <f t="shared" si="18"/>
        <v>110646.62274509</v>
      </c>
      <c r="AS37" s="419">
        <f t="shared" si="18"/>
        <v>104605.95997831001</v>
      </c>
      <c r="AT37" s="422">
        <f t="shared" si="19"/>
        <v>-5.5</v>
      </c>
    </row>
    <row r="38" spans="1:46" s="441" customFormat="1" ht="20.100000000000001" customHeight="1" x14ac:dyDescent="0.3">
      <c r="A38" s="435" t="s">
        <v>188</v>
      </c>
      <c r="B38" s="193"/>
      <c r="C38" s="421"/>
      <c r="D38" s="421"/>
      <c r="E38" s="193">
        <v>1358.5</v>
      </c>
      <c r="F38" s="421"/>
      <c r="G38" s="314">
        <f>IF(E38=0, "    ---- ", IF(ABS(ROUND(100/E38*F38-100,1))&lt;999,ROUND(100/E38*F38-100,1),IF(ROUND(100/E38*F38-100,1)&gt;999,999,-999)))</f>
        <v>-100</v>
      </c>
      <c r="H38" s="193">
        <v>28404.278999999999</v>
      </c>
      <c r="I38" s="421">
        <v>28673.70805152</v>
      </c>
      <c r="J38" s="421"/>
      <c r="K38" s="193"/>
      <c r="L38" s="421">
        <v>238.37672087999999</v>
      </c>
      <c r="M38" s="421"/>
      <c r="N38" s="193"/>
      <c r="O38" s="421"/>
      <c r="P38" s="421"/>
      <c r="Q38" s="193">
        <v>5173</v>
      </c>
      <c r="R38" s="421">
        <v>5639.3</v>
      </c>
      <c r="S38" s="411">
        <f t="shared" ref="S38:S57" si="22">IF(Q38=0, "    ---- ", IF(ABS(ROUND(100/Q38*R38-100,1))&lt;999,ROUND(100/Q38*R38-100,1),IF(ROUND(100/Q38*R38-100,1)&gt;999,999,-999)))</f>
        <v>9</v>
      </c>
      <c r="T38" s="193"/>
      <c r="U38" s="421"/>
      <c r="V38" s="314"/>
      <c r="W38" s="193">
        <v>221207.36872151998</v>
      </c>
      <c r="X38" s="421">
        <v>227417.53722909</v>
      </c>
      <c r="Y38" s="314">
        <f t="shared" ref="Y38:Y45" si="23">IF(W38=0, "    ---- ", IF(ABS(ROUND(100/W38*X38-100,1))&lt;999,ROUND(100/W38*X38-100,1),IF(ROUND(100/W38*X38-100,1)&gt;999,999,-999)))</f>
        <v>2.8</v>
      </c>
      <c r="Z38" s="193">
        <v>31177.6521596899</v>
      </c>
      <c r="AA38" s="421">
        <v>32638.73745732</v>
      </c>
      <c r="AB38" s="314">
        <f t="shared" si="20"/>
        <v>4.7</v>
      </c>
      <c r="AC38" s="193">
        <v>20515</v>
      </c>
      <c r="AD38" s="421">
        <v>23023</v>
      </c>
      <c r="AE38" s="314">
        <f t="shared" si="14"/>
        <v>12.2</v>
      </c>
      <c r="AF38" s="193"/>
      <c r="AG38" s="421"/>
      <c r="AH38" s="314"/>
      <c r="AI38" s="193">
        <v>7301.8450000000003</v>
      </c>
      <c r="AJ38" s="421">
        <v>7328.5510000000004</v>
      </c>
      <c r="AK38" s="314">
        <f t="shared" si="15"/>
        <v>0.4</v>
      </c>
      <c r="AL38" s="193">
        <f>86842+23586+10071</f>
        <v>120499</v>
      </c>
      <c r="AM38" s="421">
        <f>102062+21993+6491</f>
        <v>130546</v>
      </c>
      <c r="AN38" s="314">
        <f t="shared" si="21"/>
        <v>8.3000000000000007</v>
      </c>
      <c r="AO38" s="579">
        <f t="shared" si="16"/>
        <v>435636.64488120988</v>
      </c>
      <c r="AP38" s="579">
        <f t="shared" si="16"/>
        <v>455505.21045880998</v>
      </c>
      <c r="AQ38" s="314">
        <f t="shared" si="17"/>
        <v>4.5999999999999996</v>
      </c>
      <c r="AR38" s="419">
        <f t="shared" si="18"/>
        <v>435636.64488120988</v>
      </c>
      <c r="AS38" s="419">
        <f t="shared" si="18"/>
        <v>455505.21045880998</v>
      </c>
      <c r="AT38" s="422">
        <f t="shared" si="19"/>
        <v>4.5999999999999996</v>
      </c>
    </row>
    <row r="39" spans="1:46" s="441" customFormat="1" ht="20.100000000000001" customHeight="1" x14ac:dyDescent="0.3">
      <c r="A39" s="435" t="s">
        <v>189</v>
      </c>
      <c r="B39" s="193">
        <f>SUM(B40:B44)</f>
        <v>1183.7910000000002</v>
      </c>
      <c r="C39" s="421">
        <f>SUM(C40:C44)</f>
        <v>1351.9549999999999</v>
      </c>
      <c r="D39" s="421">
        <f>IF(B39=0, "    ---- ", IF(ABS(ROUND(100/B39*C39-100,1))&lt;999,ROUND(100/B39*C39-100,1),IF(ROUND(100/B39*C39-100,1)&gt;999,999,-999)))</f>
        <v>14.2</v>
      </c>
      <c r="E39" s="193">
        <f>SUM(E40:E44)</f>
        <v>162.9</v>
      </c>
      <c r="F39" s="421">
        <f>SUM(F40:F44)</f>
        <v>0</v>
      </c>
      <c r="G39" s="314">
        <f>IF(E39=0, "    ---- ", IF(ABS(ROUND(100/E39*F39-100,1))&lt;999,ROUND(100/E39*F39-100,1),IF(ROUND(100/E39*F39-100,1)&gt;999,999,-999)))</f>
        <v>-100</v>
      </c>
      <c r="H39" s="193">
        <f>SUM(H40:H44)</f>
        <v>73819.790000000008</v>
      </c>
      <c r="I39" s="421">
        <f>SUM(I40:I44)</f>
        <v>72378.459263660014</v>
      </c>
      <c r="J39" s="421">
        <f t="shared" si="13"/>
        <v>-2</v>
      </c>
      <c r="K39" s="193">
        <v>5948.0066489199999</v>
      </c>
      <c r="L39" s="421">
        <f>SUM(L40:L44)</f>
        <v>6695.8995370500006</v>
      </c>
      <c r="M39" s="421">
        <f>IF(K39=0, "    ---- ", IF(ABS(ROUND(100/K39*L39-100,1))&lt;999,ROUND(100/K39*L39-100,1),IF(ROUND(100/K39*L39-100,1)&gt;999,999,-999)))</f>
        <v>12.6</v>
      </c>
      <c r="N39" s="193">
        <f>SUM(N40:N44)</f>
        <v>941.25200000000007</v>
      </c>
      <c r="O39" s="421">
        <f>SUM(O40:O44)</f>
        <v>912.64800000000014</v>
      </c>
      <c r="P39" s="421">
        <f t="shared" ref="P39:P46" si="24">IF(N39=0, "    ---- ", IF(ABS(ROUND(100/N39*O39-100,1))&lt;999,ROUND(100/N39*O39-100,1),IF(ROUND(100/N39*O39-100,1)&gt;999,999,-999)))</f>
        <v>-3</v>
      </c>
      <c r="Q39" s="193">
        <f>SUM(Q40:Q44)</f>
        <v>701.9</v>
      </c>
      <c r="R39" s="421">
        <f>SUM(R40:R44)</f>
        <v>700.80000000000007</v>
      </c>
      <c r="S39" s="411">
        <f t="shared" si="22"/>
        <v>-0.2</v>
      </c>
      <c r="T39" s="193"/>
      <c r="U39" s="421">
        <f>SUM(U40:U44)</f>
        <v>0</v>
      </c>
      <c r="V39" s="314"/>
      <c r="W39" s="193">
        <v>249182.58662958999</v>
      </c>
      <c r="X39" s="421">
        <f>SUM(X40:X44)</f>
        <v>274303.36762072996</v>
      </c>
      <c r="Y39" s="314">
        <f t="shared" si="23"/>
        <v>10.1</v>
      </c>
      <c r="Z39" s="193">
        <f>SUM(Z40:Z44)</f>
        <v>13458.523285970001</v>
      </c>
      <c r="AA39" s="421">
        <f>SUM(AA40:AA44)</f>
        <v>14119.644954319998</v>
      </c>
      <c r="AB39" s="314">
        <f t="shared" si="20"/>
        <v>4.9000000000000004</v>
      </c>
      <c r="AC39" s="193">
        <f>SUM(AC40:AC44)</f>
        <v>53275</v>
      </c>
      <c r="AD39" s="421">
        <f>SUM(AD40:AD44)</f>
        <v>62508</v>
      </c>
      <c r="AE39" s="314">
        <f t="shared" si="14"/>
        <v>17.3</v>
      </c>
      <c r="AF39" s="193"/>
      <c r="AG39" s="421">
        <f>SUM(AG40:AG44)</f>
        <v>0</v>
      </c>
      <c r="AH39" s="314"/>
      <c r="AI39" s="193">
        <f>SUM(AI40:AI44)</f>
        <v>8433.012999999999</v>
      </c>
      <c r="AJ39" s="421">
        <f>SUM(AJ40:AJ44)</f>
        <v>9924.33</v>
      </c>
      <c r="AK39" s="314">
        <f t="shared" si="15"/>
        <v>17.7</v>
      </c>
      <c r="AL39" s="193">
        <f>SUM(AL40:AL44)</f>
        <v>31173</v>
      </c>
      <c r="AM39" s="421">
        <f>SUM(AM40:AM44)</f>
        <v>43333</v>
      </c>
      <c r="AN39" s="314">
        <f t="shared" si="21"/>
        <v>39</v>
      </c>
      <c r="AO39" s="579">
        <f t="shared" si="16"/>
        <v>438279.76256447996</v>
      </c>
      <c r="AP39" s="579">
        <f t="shared" si="16"/>
        <v>486228.10437575995</v>
      </c>
      <c r="AQ39" s="314">
        <f t="shared" si="17"/>
        <v>10.9</v>
      </c>
      <c r="AR39" s="419">
        <f t="shared" si="18"/>
        <v>438279.76256447996</v>
      </c>
      <c r="AS39" s="419">
        <f t="shared" si="18"/>
        <v>486228.10437575995</v>
      </c>
      <c r="AT39" s="422">
        <f t="shared" si="19"/>
        <v>10.9</v>
      </c>
    </row>
    <row r="40" spans="1:46" s="441" customFormat="1" ht="20.100000000000001" customHeight="1" x14ac:dyDescent="0.3">
      <c r="A40" s="435" t="s">
        <v>190</v>
      </c>
      <c r="B40" s="193">
        <v>33.402000000000001</v>
      </c>
      <c r="C40" s="421">
        <v>42.036999999999999</v>
      </c>
      <c r="D40" s="314">
        <f>IF(B40=0, "    ---- ", IF(ABS(ROUND(100/B40*C40-100,1))&lt;999,ROUND(100/B40*C40-100,1),IF(ROUND(100/B40*C40-100,1)&gt;999,999,-999)))</f>
        <v>25.9</v>
      </c>
      <c r="E40" s="193">
        <v>47.4</v>
      </c>
      <c r="F40" s="421"/>
      <c r="G40" s="314">
        <f>IF(E40=0, "    ---- ", IF(ABS(ROUND(100/E40*F40-100,1))&lt;999,ROUND(100/E40*F40-100,1),IF(ROUND(100/E40*F40-100,1)&gt;999,999,-999)))</f>
        <v>-100</v>
      </c>
      <c r="H40" s="193">
        <v>5556.4719999999998</v>
      </c>
      <c r="I40" s="421">
        <v>15700.473587350001</v>
      </c>
      <c r="J40" s="314">
        <f t="shared" si="13"/>
        <v>182.6</v>
      </c>
      <c r="K40" s="193"/>
      <c r="L40" s="421"/>
      <c r="M40" s="314" t="str">
        <f>IF(K40=0, "    ---- ", IF(ABS(ROUND(100/K40*L40-100,1))&lt;999,ROUND(100/K40*L40-100,1),IF(ROUND(100/K40*L40-100,1)&gt;999,999,-999)))</f>
        <v xml:space="preserve">    ---- </v>
      </c>
      <c r="N40" s="193">
        <v>105.26300000000001</v>
      </c>
      <c r="O40" s="421">
        <v>138.666</v>
      </c>
      <c r="P40" s="314">
        <f t="shared" si="24"/>
        <v>31.7</v>
      </c>
      <c r="Q40" s="193"/>
      <c r="R40" s="421">
        <v>5.2</v>
      </c>
      <c r="S40" s="411"/>
      <c r="T40" s="193"/>
      <c r="U40" s="421"/>
      <c r="V40" s="314"/>
      <c r="W40" s="193">
        <v>112240.6651494</v>
      </c>
      <c r="X40" s="421">
        <v>142569.46039527</v>
      </c>
      <c r="Y40" s="314">
        <f t="shared" si="23"/>
        <v>27</v>
      </c>
      <c r="Z40" s="193">
        <v>5108.87098255</v>
      </c>
      <c r="AA40" s="421">
        <v>5993.72827581</v>
      </c>
      <c r="AB40" s="314">
        <f t="shared" si="20"/>
        <v>17.3</v>
      </c>
      <c r="AC40" s="193">
        <v>36334</v>
      </c>
      <c r="AD40" s="421">
        <v>39243</v>
      </c>
      <c r="AE40" s="314">
        <f t="shared" si="14"/>
        <v>8</v>
      </c>
      <c r="AF40" s="193"/>
      <c r="AG40" s="421"/>
      <c r="AH40" s="314"/>
      <c r="AI40" s="193">
        <v>2723.5680000000002</v>
      </c>
      <c r="AJ40" s="421">
        <v>3472.808</v>
      </c>
      <c r="AK40" s="314">
        <f t="shared" si="15"/>
        <v>27.5</v>
      </c>
      <c r="AL40" s="193">
        <v>4779</v>
      </c>
      <c r="AM40" s="421">
        <v>15228</v>
      </c>
      <c r="AN40" s="314">
        <f t="shared" si="21"/>
        <v>218.6</v>
      </c>
      <c r="AO40" s="579">
        <f t="shared" si="16"/>
        <v>166928.64113194999</v>
      </c>
      <c r="AP40" s="579">
        <f t="shared" si="16"/>
        <v>222393.37325842999</v>
      </c>
      <c r="AQ40" s="314">
        <f t="shared" si="17"/>
        <v>33.200000000000003</v>
      </c>
      <c r="AR40" s="419">
        <f t="shared" si="18"/>
        <v>166928.64113194999</v>
      </c>
      <c r="AS40" s="419">
        <f t="shared" si="18"/>
        <v>222393.37325842999</v>
      </c>
      <c r="AT40" s="422">
        <f t="shared" si="19"/>
        <v>33.200000000000003</v>
      </c>
    </row>
    <row r="41" spans="1:46" s="441" customFormat="1" ht="20.100000000000001" customHeight="1" x14ac:dyDescent="0.3">
      <c r="A41" s="435" t="s">
        <v>191</v>
      </c>
      <c r="B41" s="193">
        <v>1090.4670000000001</v>
      </c>
      <c r="C41" s="421">
        <v>1243.961</v>
      </c>
      <c r="D41" s="421">
        <f>IF(B41=0, "    ---- ", IF(ABS(ROUND(100/B41*C41-100,1))&lt;999,ROUND(100/B41*C41-100,1),IF(ROUND(100/B41*C41-100,1)&gt;999,999,-999)))</f>
        <v>14.1</v>
      </c>
      <c r="E41" s="193">
        <v>35.5</v>
      </c>
      <c r="F41" s="421"/>
      <c r="G41" s="314">
        <f>IF(E41=0, "    ---- ", IF(ABS(ROUND(100/E41*F41-100,1))&lt;999,ROUND(100/E41*F41-100,1),IF(ROUND(100/E41*F41-100,1)&gt;999,999,-999)))</f>
        <v>-100</v>
      </c>
      <c r="H41" s="193">
        <v>63018.946000000004</v>
      </c>
      <c r="I41" s="421">
        <v>54595.502634949997</v>
      </c>
      <c r="J41" s="421">
        <f t="shared" si="13"/>
        <v>-13.4</v>
      </c>
      <c r="K41" s="193">
        <v>5579.513293</v>
      </c>
      <c r="L41" s="421">
        <v>6831.0047591800003</v>
      </c>
      <c r="M41" s="421">
        <f>IF(K41=0, "    ---- ", IF(ABS(ROUND(100/K41*L41-100,1))&lt;999,ROUND(100/K41*L41-100,1),IF(ROUND(100/K41*L41-100,1)&gt;999,999,-999)))</f>
        <v>22.4</v>
      </c>
      <c r="N41" s="193">
        <v>665.096</v>
      </c>
      <c r="O41" s="421">
        <v>600.44500000000005</v>
      </c>
      <c r="P41" s="421">
        <f>IF(N41=0, "    ---- ", IF(ABS(ROUND(100/N41*O41-100,1))&lt;999,ROUND(100/N41*O41-100,1),IF(ROUND(100/N41*O41-100,1)&gt;999,999,-999)))</f>
        <v>-9.6999999999999993</v>
      </c>
      <c r="Q41" s="193">
        <v>571.9</v>
      </c>
      <c r="R41" s="421">
        <v>666.7</v>
      </c>
      <c r="S41" s="411">
        <f t="shared" si="22"/>
        <v>16.600000000000001</v>
      </c>
      <c r="T41" s="193"/>
      <c r="U41" s="421"/>
      <c r="V41" s="314"/>
      <c r="W41" s="193">
        <v>109217.93044655</v>
      </c>
      <c r="X41" s="421">
        <v>115368.06119943</v>
      </c>
      <c r="Y41" s="314">
        <f t="shared" si="23"/>
        <v>5.6</v>
      </c>
      <c r="Z41" s="193">
        <v>8125.1042715600006</v>
      </c>
      <c r="AA41" s="421">
        <v>7921.7319807299991</v>
      </c>
      <c r="AB41" s="314">
        <f t="shared" si="20"/>
        <v>-2.5</v>
      </c>
      <c r="AC41" s="193">
        <v>17911</v>
      </c>
      <c r="AD41" s="421">
        <v>19033</v>
      </c>
      <c r="AE41" s="314">
        <f t="shared" si="14"/>
        <v>6.3</v>
      </c>
      <c r="AF41" s="193"/>
      <c r="AG41" s="421"/>
      <c r="AH41" s="314"/>
      <c r="AI41" s="193">
        <v>5114.3639999999996</v>
      </c>
      <c r="AJ41" s="421">
        <v>6054.9359999999997</v>
      </c>
      <c r="AK41" s="314">
        <f t="shared" si="15"/>
        <v>18.399999999999999</v>
      </c>
      <c r="AL41" s="193">
        <v>21891</v>
      </c>
      <c r="AM41" s="421">
        <v>26006</v>
      </c>
      <c r="AN41" s="314">
        <f t="shared" si="21"/>
        <v>18.8</v>
      </c>
      <c r="AO41" s="579">
        <f t="shared" si="16"/>
        <v>233220.82101111001</v>
      </c>
      <c r="AP41" s="579">
        <f t="shared" si="16"/>
        <v>238321.34257428997</v>
      </c>
      <c r="AQ41" s="314">
        <f t="shared" si="17"/>
        <v>2.2000000000000002</v>
      </c>
      <c r="AR41" s="419">
        <f t="shared" si="18"/>
        <v>233220.82101111001</v>
      </c>
      <c r="AS41" s="419">
        <f t="shared" si="18"/>
        <v>238321.34257428997</v>
      </c>
      <c r="AT41" s="422">
        <f t="shared" si="19"/>
        <v>2.2000000000000002</v>
      </c>
    </row>
    <row r="42" spans="1:46" s="441" customFormat="1" ht="20.100000000000001" customHeight="1" x14ac:dyDescent="0.3">
      <c r="A42" s="435" t="s">
        <v>192</v>
      </c>
      <c r="B42" s="193"/>
      <c r="C42" s="421"/>
      <c r="D42" s="421"/>
      <c r="E42" s="193">
        <v>80</v>
      </c>
      <c r="F42" s="421"/>
      <c r="G42" s="314">
        <f>IF(E42=0, "    ---- ", IF(ABS(ROUND(100/E42*F42-100,1))&lt;999,ROUND(100/E42*F42-100,1),IF(ROUND(100/E42*F42-100,1)&gt;999,999,-999)))</f>
        <v>-100</v>
      </c>
      <c r="H42" s="193">
        <v>4267.1180000000004</v>
      </c>
      <c r="I42" s="421">
        <v>1260.49877945</v>
      </c>
      <c r="J42" s="421">
        <f t="shared" si="13"/>
        <v>-70.5</v>
      </c>
      <c r="K42" s="193">
        <v>-136.12100986999999</v>
      </c>
      <c r="L42" s="421">
        <v>-244.37152026000001</v>
      </c>
      <c r="M42" s="421"/>
      <c r="N42" s="193"/>
      <c r="O42" s="421"/>
      <c r="P42" s="421"/>
      <c r="Q42" s="193"/>
      <c r="R42" s="421"/>
      <c r="S42" s="411" t="str">
        <f t="shared" si="22"/>
        <v xml:space="preserve">    ---- </v>
      </c>
      <c r="T42" s="193"/>
      <c r="U42" s="421"/>
      <c r="V42" s="314"/>
      <c r="W42" s="193">
        <v>20257.78993938</v>
      </c>
      <c r="X42" s="421">
        <v>12067.35218267</v>
      </c>
      <c r="Y42" s="314">
        <f t="shared" si="23"/>
        <v>-40.4</v>
      </c>
      <c r="Z42" s="193"/>
      <c r="AA42" s="421">
        <v>0</v>
      </c>
      <c r="AB42" s="314"/>
      <c r="AC42" s="193">
        <v>0</v>
      </c>
      <c r="AD42" s="421"/>
      <c r="AE42" s="314" t="str">
        <f t="shared" si="14"/>
        <v xml:space="preserve">    ---- </v>
      </c>
      <c r="AF42" s="193"/>
      <c r="AG42" s="421"/>
      <c r="AH42" s="314"/>
      <c r="AI42" s="193"/>
      <c r="AJ42" s="421">
        <v>0</v>
      </c>
      <c r="AK42" s="314"/>
      <c r="AL42" s="193"/>
      <c r="AM42" s="421"/>
      <c r="AN42" s="314" t="str">
        <f t="shared" si="21"/>
        <v xml:space="preserve">    ---- </v>
      </c>
      <c r="AO42" s="579">
        <f t="shared" si="16"/>
        <v>24468.786929509999</v>
      </c>
      <c r="AP42" s="579">
        <f t="shared" si="16"/>
        <v>13083.479441859999</v>
      </c>
      <c r="AQ42" s="314">
        <f t="shared" si="17"/>
        <v>-46.5</v>
      </c>
      <c r="AR42" s="419">
        <f t="shared" si="18"/>
        <v>24468.786929509999</v>
      </c>
      <c r="AS42" s="419">
        <f t="shared" si="18"/>
        <v>13083.479441859999</v>
      </c>
      <c r="AT42" s="422">
        <f t="shared" si="19"/>
        <v>-46.5</v>
      </c>
    </row>
    <row r="43" spans="1:46" s="441" customFormat="1" ht="20.100000000000001" customHeight="1" x14ac:dyDescent="0.3">
      <c r="A43" s="435" t="s">
        <v>193</v>
      </c>
      <c r="B43" s="193">
        <v>0.56499999999999995</v>
      </c>
      <c r="C43" s="421"/>
      <c r="D43" s="421">
        <f>IF(B43=0, "    ---- ", IF(ABS(ROUND(100/B43*C43-100,1))&lt;999,ROUND(100/B43*C43-100,1),IF(ROUND(100/B43*C43-100,1)&gt;999,999,-999)))</f>
        <v>-100</v>
      </c>
      <c r="E43" s="193"/>
      <c r="F43" s="421"/>
      <c r="G43" s="314"/>
      <c r="H43" s="193">
        <v>288.56</v>
      </c>
      <c r="I43" s="421">
        <v>384.62476426000001</v>
      </c>
      <c r="J43" s="421">
        <f t="shared" si="13"/>
        <v>33.299999999999997</v>
      </c>
      <c r="K43" s="193"/>
      <c r="L43" s="421">
        <v>14.887119849999999</v>
      </c>
      <c r="M43" s="421"/>
      <c r="N43" s="193"/>
      <c r="O43" s="421"/>
      <c r="P43" s="421"/>
      <c r="Q43" s="193"/>
      <c r="R43" s="421"/>
      <c r="S43" s="411"/>
      <c r="T43" s="193"/>
      <c r="U43" s="421"/>
      <c r="V43" s="314"/>
      <c r="W43" s="193">
        <v>1746.71206932</v>
      </c>
      <c r="X43" s="421">
        <v>3066.7391915799999</v>
      </c>
      <c r="Y43" s="314">
        <f t="shared" si="23"/>
        <v>75.599999999999994</v>
      </c>
      <c r="Z43" s="193">
        <v>87.47988513</v>
      </c>
      <c r="AA43" s="421">
        <v>78.43541848000001</v>
      </c>
      <c r="AB43" s="314">
        <f t="shared" si="20"/>
        <v>-10.3</v>
      </c>
      <c r="AC43" s="193">
        <v>-5225</v>
      </c>
      <c r="AD43" s="421">
        <v>2733</v>
      </c>
      <c r="AE43" s="314">
        <f>IF(AC43=0, "    ---- ", IF(ABS(ROUND(100/AC43*AD43-100,1))&lt;999,ROUND(100/AC43*AD43-100,1),IF(ROUND(100/AC43*AD43-100,1)&gt;999,999,-999)))</f>
        <v>-152.30000000000001</v>
      </c>
      <c r="AF43" s="193"/>
      <c r="AG43" s="421"/>
      <c r="AH43" s="314"/>
      <c r="AI43" s="193">
        <v>14.772</v>
      </c>
      <c r="AJ43" s="421">
        <v>77.218000000000004</v>
      </c>
      <c r="AK43" s="314">
        <f t="shared" si="15"/>
        <v>422.7</v>
      </c>
      <c r="AL43" s="193">
        <v>4503</v>
      </c>
      <c r="AM43" s="421">
        <v>2099</v>
      </c>
      <c r="AN43" s="314">
        <f t="shared" si="21"/>
        <v>-53.4</v>
      </c>
      <c r="AO43" s="579">
        <f t="shared" si="16"/>
        <v>1416.0889544500001</v>
      </c>
      <c r="AP43" s="579">
        <f t="shared" si="16"/>
        <v>8453.9044941700013</v>
      </c>
      <c r="AQ43" s="314">
        <f t="shared" si="17"/>
        <v>497</v>
      </c>
      <c r="AR43" s="419">
        <f t="shared" si="18"/>
        <v>1416.0889544500001</v>
      </c>
      <c r="AS43" s="419">
        <f t="shared" si="18"/>
        <v>8453.9044941700013</v>
      </c>
      <c r="AT43" s="422">
        <f t="shared" si="19"/>
        <v>497</v>
      </c>
    </row>
    <row r="44" spans="1:46" s="441" customFormat="1" ht="20.100000000000001" customHeight="1" x14ac:dyDescent="0.3">
      <c r="A44" s="435" t="s">
        <v>194</v>
      </c>
      <c r="B44" s="193">
        <v>59.356999999999999</v>
      </c>
      <c r="C44" s="421">
        <v>65.956999999999994</v>
      </c>
      <c r="D44" s="421">
        <f>IF(B44=0, "    ---- ", IF(ABS(ROUND(100/B44*C44-100,1))&lt;999,ROUND(100/B44*C44-100,1),IF(ROUND(100/B44*C44-100,1)&gt;999,999,-999)))</f>
        <v>11.1</v>
      </c>
      <c r="E44" s="193"/>
      <c r="F44" s="421"/>
      <c r="G44" s="314"/>
      <c r="H44" s="193">
        <v>688.69399999999996</v>
      </c>
      <c r="I44" s="421">
        <v>437.35949765000009</v>
      </c>
      <c r="J44" s="421">
        <f t="shared" si="13"/>
        <v>-36.5</v>
      </c>
      <c r="K44" s="193">
        <v>504.61436578999997</v>
      </c>
      <c r="L44" s="421">
        <v>94.379178280000005</v>
      </c>
      <c r="M44" s="421">
        <f>IF(K44=0, "    ---- ", IF(ABS(ROUND(100/K44*L44-100,1))&lt;999,ROUND(100/K44*L44-100,1),IF(ROUND(100/K44*L44-100,1)&gt;999,999,-999)))</f>
        <v>-81.3</v>
      </c>
      <c r="N44" s="193">
        <v>170.893</v>
      </c>
      <c r="O44" s="421">
        <v>173.53700000000001</v>
      </c>
      <c r="P44" s="421">
        <f t="shared" si="24"/>
        <v>1.5</v>
      </c>
      <c r="Q44" s="193">
        <v>130</v>
      </c>
      <c r="R44" s="421">
        <v>28.9</v>
      </c>
      <c r="S44" s="411">
        <f t="shared" si="22"/>
        <v>-77.8</v>
      </c>
      <c r="T44" s="193"/>
      <c r="U44" s="421"/>
      <c r="V44" s="314"/>
      <c r="W44" s="193">
        <v>5719.4890249399996</v>
      </c>
      <c r="X44" s="421">
        <v>1231.7546517799999</v>
      </c>
      <c r="Y44" s="314">
        <f t="shared" si="23"/>
        <v>-78.5</v>
      </c>
      <c r="Z44" s="193">
        <v>137.06814673</v>
      </c>
      <c r="AA44" s="421">
        <v>125.7492793</v>
      </c>
      <c r="AB44" s="314">
        <f t="shared" si="20"/>
        <v>-8.3000000000000007</v>
      </c>
      <c r="AC44" s="193">
        <v>4255</v>
      </c>
      <c r="AD44" s="421">
        <v>1499</v>
      </c>
      <c r="AE44" s="314">
        <f>IF(AC44=0, "    ---- ", IF(ABS(ROUND(100/AC44*AD44-100,1))&lt;999,ROUND(100/AC44*AD44-100,1),IF(ROUND(100/AC44*AD44-100,1)&gt;999,999,-999)))</f>
        <v>-64.8</v>
      </c>
      <c r="AF44" s="193"/>
      <c r="AG44" s="421"/>
      <c r="AH44" s="314"/>
      <c r="AI44" s="193">
        <v>580.30899999999997</v>
      </c>
      <c r="AJ44" s="421">
        <v>319.36799999999999</v>
      </c>
      <c r="AK44" s="314">
        <f t="shared" si="15"/>
        <v>-45</v>
      </c>
      <c r="AL44" s="193"/>
      <c r="AM44" s="421"/>
      <c r="AN44" s="314" t="str">
        <f t="shared" si="21"/>
        <v xml:space="preserve">    ---- </v>
      </c>
      <c r="AO44" s="579">
        <f t="shared" si="16"/>
        <v>12245.424537459998</v>
      </c>
      <c r="AP44" s="579">
        <f t="shared" si="16"/>
        <v>3976.0046070100002</v>
      </c>
      <c r="AQ44" s="314">
        <f t="shared" si="17"/>
        <v>-67.5</v>
      </c>
      <c r="AR44" s="419">
        <f t="shared" si="18"/>
        <v>12245.424537459998</v>
      </c>
      <c r="AS44" s="419">
        <f t="shared" si="18"/>
        <v>3976.0046070100002</v>
      </c>
      <c r="AT44" s="422">
        <f t="shared" si="19"/>
        <v>-67.5</v>
      </c>
    </row>
    <row r="45" spans="1:46" s="441" customFormat="1" ht="20.100000000000001" customHeight="1" x14ac:dyDescent="0.3">
      <c r="A45" s="436" t="s">
        <v>195</v>
      </c>
      <c r="B45" s="193">
        <f>SUM(B33+B34+B35+B39)</f>
        <v>1183.7910000000002</v>
      </c>
      <c r="C45" s="421">
        <f>SUM(C33+C34+C35+C39)</f>
        <v>1351.9549999999999</v>
      </c>
      <c r="D45" s="314">
        <f>IF(B45=0, "    ---- ", IF(ABS(ROUND(100/B45*C45-100,1))&lt;999,ROUND(100/B45*C45-100,1),IF(ROUND(100/B45*C45-100,1)&gt;999,999,-999)))</f>
        <v>14.2</v>
      </c>
      <c r="E45" s="193">
        <f>SUM(E33+E34+E35+E39)</f>
        <v>1820.7</v>
      </c>
      <c r="F45" s="421">
        <f>SUM(F33+F34+F35+F39)</f>
        <v>0</v>
      </c>
      <c r="G45" s="314">
        <f>IF(E45=0, "    ---- ", IF(ABS(ROUND(100/E45*F45-100,1))&lt;999,ROUND(100/E45*F45-100,1),IF(ROUND(100/E45*F45-100,1)&gt;999,999,-999)))</f>
        <v>-100</v>
      </c>
      <c r="H45" s="193">
        <f>SUM(H33+H34+H35+H39)</f>
        <v>201665.13400000002</v>
      </c>
      <c r="I45" s="421">
        <f>SUM(I33+I34+I35+I39)</f>
        <v>201453.57318791002</v>
      </c>
      <c r="J45" s="314">
        <f t="shared" si="13"/>
        <v>-0.1</v>
      </c>
      <c r="K45" s="193">
        <v>5948.0066489199999</v>
      </c>
      <c r="L45" s="421">
        <f>SUM(L33+L34+L35+L39)</f>
        <v>6934.2762579300006</v>
      </c>
      <c r="M45" s="314">
        <f>IF(K45=0, "    ---- ", IF(ABS(ROUND(100/K45*L45-100,1))&lt;999,ROUND(100/K45*L45-100,1),IF(ROUND(100/K45*L45-100,1)&gt;999,999,-999)))</f>
        <v>16.600000000000001</v>
      </c>
      <c r="N45" s="193">
        <f>SUM(N33+N34+N35+N39)</f>
        <v>1155.1300000000001</v>
      </c>
      <c r="O45" s="421">
        <f>SUM(O33+O34+O35+O39)</f>
        <v>1124.9430000000002</v>
      </c>
      <c r="P45" s="314">
        <f t="shared" si="24"/>
        <v>-2.6</v>
      </c>
      <c r="Q45" s="193">
        <f>SUM(Q33+Q34+Q35+Q39)</f>
        <v>6857.4</v>
      </c>
      <c r="R45" s="421">
        <f>SUM(R33+R34+R35+R39)</f>
        <v>7394.0000000000009</v>
      </c>
      <c r="S45" s="411">
        <f t="shared" si="22"/>
        <v>7.8</v>
      </c>
      <c r="T45" s="193"/>
      <c r="U45" s="421">
        <f>SUM(U33+U34+U35+U39)</f>
        <v>0</v>
      </c>
      <c r="V45" s="314"/>
      <c r="W45" s="193">
        <v>570649.44729404</v>
      </c>
      <c r="X45" s="421">
        <f>SUM(X33+X34+X35+X39)</f>
        <v>603075.95079391997</v>
      </c>
      <c r="Y45" s="314">
        <f t="shared" si="23"/>
        <v>5.7</v>
      </c>
      <c r="Z45" s="193">
        <f>SUM(Z33+Z34+Z35+Z39)</f>
        <v>52597.029455689903</v>
      </c>
      <c r="AA45" s="421">
        <f>SUM(AA33+AA34+AA35+AA39)</f>
        <v>54779.67583937</v>
      </c>
      <c r="AB45" s="314">
        <f t="shared" si="20"/>
        <v>4.0999999999999996</v>
      </c>
      <c r="AC45" s="193">
        <f>SUM(AC33+AC34+AC35+AC39)</f>
        <v>89315</v>
      </c>
      <c r="AD45" s="421">
        <f>SUM(AD33+AD34+AD35+AD39)</f>
        <v>104484</v>
      </c>
      <c r="AE45" s="314">
        <f>IF(AC45=0, "    ---- ", IF(ABS(ROUND(100/AC45*AD45-100,1))&lt;999,ROUND(100/AC45*AD45-100,1),IF(ROUND(100/AC45*AD45-100,1)&gt;999,999,-999)))</f>
        <v>17</v>
      </c>
      <c r="AF45" s="193"/>
      <c r="AG45" s="421">
        <f>SUM(AG33+AG34+AG35+AG39)</f>
        <v>0</v>
      </c>
      <c r="AH45" s="314"/>
      <c r="AI45" s="193">
        <f>SUM(AI33+AI34+AI35+AI39)</f>
        <v>21125.279999999999</v>
      </c>
      <c r="AJ45" s="421">
        <f>SUM(AJ33+AJ34+AJ35+AJ39)</f>
        <v>22763.021000000001</v>
      </c>
      <c r="AK45" s="314">
        <f t="shared" si="15"/>
        <v>7.8</v>
      </c>
      <c r="AL45" s="193">
        <f>SUM(AL33+AL34+AL35+AL39)</f>
        <v>194100</v>
      </c>
      <c r="AM45" s="421">
        <f>SUM(AM33+AM34+AM35+AM39)</f>
        <v>205658</v>
      </c>
      <c r="AN45" s="314">
        <f t="shared" si="21"/>
        <v>6</v>
      </c>
      <c r="AO45" s="579">
        <f t="shared" si="16"/>
        <v>1146416.9183986499</v>
      </c>
      <c r="AP45" s="579">
        <f t="shared" si="16"/>
        <v>1209019.3950791298</v>
      </c>
      <c r="AQ45" s="314">
        <f t="shared" si="17"/>
        <v>5.5</v>
      </c>
      <c r="AR45" s="419">
        <f t="shared" si="18"/>
        <v>1146416.9183986499</v>
      </c>
      <c r="AS45" s="419">
        <f t="shared" si="18"/>
        <v>1209019.3950791298</v>
      </c>
      <c r="AT45" s="422">
        <f t="shared" si="19"/>
        <v>5.5</v>
      </c>
    </row>
    <row r="46" spans="1:46" s="441" customFormat="1" ht="20.100000000000001" customHeight="1" x14ac:dyDescent="0.3">
      <c r="A46" s="433" t="s">
        <v>314</v>
      </c>
      <c r="B46" s="193">
        <v>146.934</v>
      </c>
      <c r="C46" s="421">
        <v>186.33699999999999</v>
      </c>
      <c r="D46" s="314">
        <f>IF(B46=0, "    ---- ", IF(ABS(ROUND(100/B46*C46-100,1))&lt;999,ROUND(100/B46*C46-100,1),IF(ROUND(100/B46*C46-100,1)&gt;999,999,-999)))</f>
        <v>26.8</v>
      </c>
      <c r="E46" s="193"/>
      <c r="F46" s="421"/>
      <c r="G46" s="314"/>
      <c r="H46" s="193">
        <v>218.928</v>
      </c>
      <c r="I46" s="421">
        <v>264.57889319999998</v>
      </c>
      <c r="J46" s="314"/>
      <c r="K46" s="193">
        <v>521.37427322999997</v>
      </c>
      <c r="L46" s="421">
        <v>524.33777470999996</v>
      </c>
      <c r="M46" s="314">
        <f>IF(K46=0, "    ---- ", IF(ABS(ROUND(100/K46*L46-100,1))&lt;999,ROUND(100/K46*L46-100,1),IF(ROUND(100/K46*L46-100,1)&gt;999,999,-999)))</f>
        <v>0.6</v>
      </c>
      <c r="N46" s="193">
        <v>65.257999999999996</v>
      </c>
      <c r="O46" s="421">
        <v>50.344000000000001</v>
      </c>
      <c r="P46" s="314">
        <f t="shared" si="24"/>
        <v>-22.9</v>
      </c>
      <c r="Q46" s="193">
        <v>476.6</v>
      </c>
      <c r="R46" s="421">
        <v>538.79999999999995</v>
      </c>
      <c r="S46" s="411"/>
      <c r="T46" s="193"/>
      <c r="U46" s="421"/>
      <c r="V46" s="314"/>
      <c r="W46" s="193"/>
      <c r="X46" s="421"/>
      <c r="Y46" s="314"/>
      <c r="Z46" s="193">
        <v>51.49</v>
      </c>
      <c r="AA46" s="421">
        <v>58.93</v>
      </c>
      <c r="AB46" s="314">
        <f t="shared" si="20"/>
        <v>14.4</v>
      </c>
      <c r="AC46" s="193"/>
      <c r="AD46" s="421"/>
      <c r="AE46" s="314"/>
      <c r="AF46" s="193"/>
      <c r="AG46" s="421"/>
      <c r="AH46" s="314"/>
      <c r="AI46" s="193"/>
      <c r="AJ46" s="421"/>
      <c r="AK46" s="314" t="str">
        <f t="shared" si="15"/>
        <v xml:space="preserve">    ---- </v>
      </c>
      <c r="AL46" s="193">
        <v>25</v>
      </c>
      <c r="AM46" s="421">
        <v>3</v>
      </c>
      <c r="AN46" s="314"/>
      <c r="AO46" s="579">
        <f t="shared" si="16"/>
        <v>1505.58427323</v>
      </c>
      <c r="AP46" s="579">
        <f t="shared" si="16"/>
        <v>1626.3276679099999</v>
      </c>
      <c r="AQ46" s="314">
        <f t="shared" si="17"/>
        <v>8</v>
      </c>
      <c r="AR46" s="419">
        <f t="shared" si="18"/>
        <v>1505.58427323</v>
      </c>
      <c r="AS46" s="419">
        <f t="shared" si="18"/>
        <v>1626.3276679099999</v>
      </c>
      <c r="AT46" s="422">
        <f t="shared" si="19"/>
        <v>8</v>
      </c>
    </row>
    <row r="47" spans="1:46" s="441" customFormat="1" ht="20.100000000000001" customHeight="1" x14ac:dyDescent="0.3">
      <c r="A47" s="433" t="s">
        <v>196</v>
      </c>
      <c r="B47" s="193"/>
      <c r="C47" s="421"/>
      <c r="D47" s="421"/>
      <c r="E47" s="193"/>
      <c r="F47" s="421"/>
      <c r="G47" s="314"/>
      <c r="H47" s="193"/>
      <c r="I47" s="421"/>
      <c r="J47" s="421"/>
      <c r="K47" s="193"/>
      <c r="L47" s="421"/>
      <c r="M47" s="421"/>
      <c r="N47" s="193"/>
      <c r="O47" s="421"/>
      <c r="P47" s="421"/>
      <c r="Q47" s="193"/>
      <c r="R47" s="421"/>
      <c r="S47" s="411"/>
      <c r="T47" s="193"/>
      <c r="U47" s="421"/>
      <c r="V47" s="314"/>
      <c r="W47" s="193"/>
      <c r="X47" s="421"/>
      <c r="Y47" s="314"/>
      <c r="Z47" s="193"/>
      <c r="AA47" s="421"/>
      <c r="AB47" s="314"/>
      <c r="AC47" s="193"/>
      <c r="AD47" s="421"/>
      <c r="AE47" s="314"/>
      <c r="AF47" s="193"/>
      <c r="AG47" s="421"/>
      <c r="AH47" s="314"/>
      <c r="AI47" s="193"/>
      <c r="AJ47" s="421"/>
      <c r="AK47" s="314"/>
      <c r="AL47" s="193"/>
      <c r="AM47" s="421"/>
      <c r="AN47" s="314"/>
      <c r="AO47" s="411"/>
      <c r="AP47" s="411"/>
      <c r="AQ47" s="314"/>
      <c r="AR47" s="413"/>
      <c r="AS47" s="413"/>
      <c r="AT47" s="422"/>
    </row>
    <row r="48" spans="1:46" s="441" customFormat="1" ht="20.100000000000001" customHeight="1" x14ac:dyDescent="0.3">
      <c r="A48" s="435" t="s">
        <v>197</v>
      </c>
      <c r="B48" s="193"/>
      <c r="C48" s="421"/>
      <c r="D48" s="421"/>
      <c r="E48" s="193"/>
      <c r="F48" s="421"/>
      <c r="G48" s="314"/>
      <c r="H48" s="193"/>
      <c r="I48" s="421"/>
      <c r="J48" s="421"/>
      <c r="K48" s="193"/>
      <c r="L48" s="421"/>
      <c r="M48" s="421"/>
      <c r="N48" s="193"/>
      <c r="O48" s="421"/>
      <c r="P48" s="421"/>
      <c r="Q48" s="193"/>
      <c r="R48" s="421"/>
      <c r="S48" s="411"/>
      <c r="T48" s="193"/>
      <c r="U48" s="421"/>
      <c r="V48" s="314"/>
      <c r="W48" s="193"/>
      <c r="X48" s="421"/>
      <c r="Y48" s="314"/>
      <c r="Z48" s="193"/>
      <c r="AA48" s="421">
        <v>0</v>
      </c>
      <c r="AB48" s="314"/>
      <c r="AC48" s="193"/>
      <c r="AD48" s="421"/>
      <c r="AE48" s="314"/>
      <c r="AF48" s="193"/>
      <c r="AG48" s="421"/>
      <c r="AH48" s="314"/>
      <c r="AI48" s="193"/>
      <c r="AJ48" s="421"/>
      <c r="AK48" s="314"/>
      <c r="AL48" s="193"/>
      <c r="AM48" s="421"/>
      <c r="AN48" s="314"/>
      <c r="AO48" s="579">
        <f t="shared" ref="AO48:AP62" si="25">B48+H48+K48+N48+Q48+W48+E48+Z48+AC48+AI48+AL48</f>
        <v>0</v>
      </c>
      <c r="AP48" s="579">
        <f t="shared" si="25"/>
        <v>0</v>
      </c>
      <c r="AQ48" s="314" t="str">
        <f t="shared" si="17"/>
        <v xml:space="preserve">    ---- </v>
      </c>
      <c r="AR48" s="419">
        <f t="shared" ref="AR48:AS62" si="26">B48+H48+K48+N48+Q48+T48+W48+E48+Z48+AC48+AF48+AI48+AL48</f>
        <v>0</v>
      </c>
      <c r="AS48" s="419">
        <f t="shared" si="26"/>
        <v>0</v>
      </c>
      <c r="AT48" s="422" t="str">
        <f t="shared" si="19"/>
        <v xml:space="preserve">    ---- </v>
      </c>
    </row>
    <row r="49" spans="1:46" s="441" customFormat="1" ht="20.100000000000001" customHeight="1" x14ac:dyDescent="0.3">
      <c r="A49" s="435" t="s">
        <v>198</v>
      </c>
      <c r="B49" s="193"/>
      <c r="C49" s="421"/>
      <c r="D49" s="421"/>
      <c r="E49" s="193"/>
      <c r="F49" s="421"/>
      <c r="G49" s="314"/>
      <c r="H49" s="193"/>
      <c r="I49" s="421"/>
      <c r="J49" s="421"/>
      <c r="K49" s="193"/>
      <c r="L49" s="421"/>
      <c r="M49" s="421"/>
      <c r="N49" s="193"/>
      <c r="O49" s="421"/>
      <c r="P49" s="421"/>
      <c r="Q49" s="193">
        <v>1546.2</v>
      </c>
      <c r="R49" s="421">
        <v>1689.5</v>
      </c>
      <c r="S49" s="411"/>
      <c r="T49" s="193"/>
      <c r="U49" s="421"/>
      <c r="V49" s="314"/>
      <c r="W49" s="193">
        <v>352.68829787999999</v>
      </c>
      <c r="X49" s="421">
        <v>291.47526587999999</v>
      </c>
      <c r="Y49" s="314">
        <f t="shared" ref="Y49:Y60" si="27">IF(W49=0, "    ---- ", IF(ABS(ROUND(100/W49*X49-100,1))&lt;999,ROUND(100/W49*X49-100,1),IF(ROUND(100/W49*X49-100,1)&gt;999,999,-999)))</f>
        <v>-17.399999999999999</v>
      </c>
      <c r="Z49" s="193"/>
      <c r="AA49" s="421">
        <v>0</v>
      </c>
      <c r="AB49" s="314"/>
      <c r="AC49" s="193"/>
      <c r="AD49" s="421"/>
      <c r="AE49" s="314"/>
      <c r="AF49" s="193"/>
      <c r="AG49" s="421"/>
      <c r="AH49" s="314"/>
      <c r="AI49" s="193"/>
      <c r="AJ49" s="421"/>
      <c r="AK49" s="314"/>
      <c r="AL49" s="193">
        <v>19464</v>
      </c>
      <c r="AM49" s="421">
        <v>5924</v>
      </c>
      <c r="AN49" s="314">
        <f t="shared" si="21"/>
        <v>-69.599999999999994</v>
      </c>
      <c r="AO49" s="579">
        <f t="shared" si="25"/>
        <v>21362.888297879999</v>
      </c>
      <c r="AP49" s="579">
        <f t="shared" si="25"/>
        <v>7904.9752658799998</v>
      </c>
      <c r="AQ49" s="314">
        <f t="shared" si="17"/>
        <v>-63</v>
      </c>
      <c r="AR49" s="419">
        <f t="shared" si="26"/>
        <v>21362.888297879999</v>
      </c>
      <c r="AS49" s="419">
        <f t="shared" si="26"/>
        <v>7904.9752658799998</v>
      </c>
      <c r="AT49" s="422">
        <f t="shared" si="19"/>
        <v>-63</v>
      </c>
    </row>
    <row r="50" spans="1:46" s="441" customFormat="1" ht="20.100000000000001" customHeight="1" x14ac:dyDescent="0.3">
      <c r="A50" s="435" t="s">
        <v>199</v>
      </c>
      <c r="B50" s="193"/>
      <c r="C50" s="421">
        <f>SUM(C51+C53)</f>
        <v>0</v>
      </c>
      <c r="D50" s="421"/>
      <c r="E50" s="193"/>
      <c r="F50" s="421">
        <f>SUM(F51+F53)</f>
        <v>0</v>
      </c>
      <c r="G50" s="314"/>
      <c r="H50" s="193"/>
      <c r="I50" s="421">
        <f>SUM(I51+I53)</f>
        <v>0</v>
      </c>
      <c r="J50" s="421"/>
      <c r="K50" s="193"/>
      <c r="L50" s="421"/>
      <c r="M50" s="421"/>
      <c r="N50" s="193"/>
      <c r="O50" s="421">
        <f>SUM(O51+O53)</f>
        <v>0</v>
      </c>
      <c r="P50" s="421"/>
      <c r="Q50" s="193"/>
      <c r="R50" s="421">
        <f>SUM(R51+R53)</f>
        <v>0</v>
      </c>
      <c r="S50" s="411"/>
      <c r="T50" s="193"/>
      <c r="U50" s="421">
        <f>SUM(U51+U53)</f>
        <v>0</v>
      </c>
      <c r="V50" s="314"/>
      <c r="W50" s="193">
        <v>715.35781163000001</v>
      </c>
      <c r="X50" s="421">
        <f>SUM(X51+X53)</f>
        <v>735.53232027000001</v>
      </c>
      <c r="Y50" s="314">
        <f t="shared" si="27"/>
        <v>2.8</v>
      </c>
      <c r="Z50" s="193"/>
      <c r="AA50" s="421">
        <f>SUM(AA51+AA53)</f>
        <v>0</v>
      </c>
      <c r="AB50" s="314"/>
      <c r="AC50" s="193"/>
      <c r="AD50" s="421">
        <f>SUM(AD51+AD53)</f>
        <v>0</v>
      </c>
      <c r="AE50" s="314"/>
      <c r="AF50" s="193"/>
      <c r="AG50" s="421">
        <f>SUM(AG51+AG53)</f>
        <v>0</v>
      </c>
      <c r="AH50" s="314"/>
      <c r="AI50" s="193"/>
      <c r="AJ50" s="421">
        <f>SUM(AJ51+AJ53)</f>
        <v>0</v>
      </c>
      <c r="AK50" s="314"/>
      <c r="AL50" s="193">
        <f>SUM(AL51+AL53)</f>
        <v>1316</v>
      </c>
      <c r="AM50" s="421">
        <f>SUM(AM51+AM53)</f>
        <v>1548</v>
      </c>
      <c r="AN50" s="314"/>
      <c r="AO50" s="579">
        <f t="shared" si="25"/>
        <v>2031.35781163</v>
      </c>
      <c r="AP50" s="579">
        <f t="shared" si="25"/>
        <v>2283.5323202700001</v>
      </c>
      <c r="AQ50" s="314">
        <f t="shared" si="17"/>
        <v>12.4</v>
      </c>
      <c r="AR50" s="419">
        <f t="shared" si="26"/>
        <v>2031.35781163</v>
      </c>
      <c r="AS50" s="419">
        <f t="shared" si="26"/>
        <v>2283.5323202700001</v>
      </c>
      <c r="AT50" s="422">
        <f t="shared" si="19"/>
        <v>12.4</v>
      </c>
    </row>
    <row r="51" spans="1:46" s="441" customFormat="1" ht="20.100000000000001" customHeight="1" x14ac:dyDescent="0.3">
      <c r="A51" s="435" t="s">
        <v>200</v>
      </c>
      <c r="B51" s="193"/>
      <c r="C51" s="421"/>
      <c r="D51" s="314"/>
      <c r="E51" s="193"/>
      <c r="F51" s="421"/>
      <c r="G51" s="314"/>
      <c r="H51" s="193"/>
      <c r="I51" s="421"/>
      <c r="J51" s="314"/>
      <c r="K51" s="193"/>
      <c r="L51" s="421"/>
      <c r="M51" s="314"/>
      <c r="N51" s="193"/>
      <c r="O51" s="421"/>
      <c r="P51" s="314"/>
      <c r="Q51" s="193"/>
      <c r="R51" s="421"/>
      <c r="S51" s="411"/>
      <c r="T51" s="193"/>
      <c r="U51" s="421"/>
      <c r="V51" s="314"/>
      <c r="W51" s="193">
        <v>50.048898649999998</v>
      </c>
      <c r="X51" s="421">
        <v>50.083350029999998</v>
      </c>
      <c r="Y51" s="314">
        <f t="shared" si="27"/>
        <v>0.1</v>
      </c>
      <c r="Z51" s="193"/>
      <c r="AA51" s="421">
        <v>0</v>
      </c>
      <c r="AB51" s="314"/>
      <c r="AC51" s="193"/>
      <c r="AD51" s="421"/>
      <c r="AE51" s="314"/>
      <c r="AF51" s="193"/>
      <c r="AG51" s="421"/>
      <c r="AH51" s="314"/>
      <c r="AI51" s="193"/>
      <c r="AJ51" s="421"/>
      <c r="AK51" s="314"/>
      <c r="AL51" s="193"/>
      <c r="AM51" s="421"/>
      <c r="AN51" s="314"/>
      <c r="AO51" s="579">
        <f t="shared" si="25"/>
        <v>50.048898649999998</v>
      </c>
      <c r="AP51" s="579">
        <f t="shared" si="25"/>
        <v>50.083350029999998</v>
      </c>
      <c r="AQ51" s="314">
        <f t="shared" si="17"/>
        <v>0.1</v>
      </c>
      <c r="AR51" s="419">
        <f t="shared" si="26"/>
        <v>50.048898649999998</v>
      </c>
      <c r="AS51" s="419">
        <f t="shared" si="26"/>
        <v>50.083350029999998</v>
      </c>
      <c r="AT51" s="422">
        <f t="shared" si="19"/>
        <v>0.1</v>
      </c>
    </row>
    <row r="52" spans="1:46" s="464" customFormat="1" ht="20.100000000000001" customHeight="1" x14ac:dyDescent="0.3">
      <c r="A52" s="435" t="s">
        <v>170</v>
      </c>
      <c r="B52" s="193"/>
      <c r="C52" s="421"/>
      <c r="D52" s="418"/>
      <c r="E52" s="193"/>
      <c r="F52" s="421"/>
      <c r="G52" s="421"/>
      <c r="H52" s="193"/>
      <c r="I52" s="421"/>
      <c r="J52" s="418"/>
      <c r="K52" s="193"/>
      <c r="L52" s="421"/>
      <c r="M52" s="418"/>
      <c r="N52" s="193"/>
      <c r="O52" s="421"/>
      <c r="P52" s="418"/>
      <c r="Q52" s="193"/>
      <c r="R52" s="421"/>
      <c r="S52" s="417"/>
      <c r="T52" s="193"/>
      <c r="U52" s="421"/>
      <c r="V52" s="418"/>
      <c r="W52" s="193">
        <v>50.048898649999998</v>
      </c>
      <c r="X52" s="421">
        <v>50.083350029999998</v>
      </c>
      <c r="Y52" s="418"/>
      <c r="Z52" s="193"/>
      <c r="AA52" s="421"/>
      <c r="AB52" s="418"/>
      <c r="AC52" s="193"/>
      <c r="AD52" s="421"/>
      <c r="AE52" s="418"/>
      <c r="AF52" s="193"/>
      <c r="AG52" s="421"/>
      <c r="AH52" s="418"/>
      <c r="AI52" s="193"/>
      <c r="AJ52" s="421"/>
      <c r="AK52" s="418"/>
      <c r="AL52" s="193"/>
      <c r="AM52" s="421"/>
      <c r="AN52" s="418"/>
      <c r="AO52" s="579">
        <f t="shared" si="25"/>
        <v>50.048898649999998</v>
      </c>
      <c r="AP52" s="579">
        <f t="shared" si="25"/>
        <v>50.083350029999998</v>
      </c>
      <c r="AQ52" s="421">
        <f t="shared" si="17"/>
        <v>0.1</v>
      </c>
      <c r="AR52" s="419">
        <f t="shared" si="26"/>
        <v>50.048898649999998</v>
      </c>
      <c r="AS52" s="419">
        <f t="shared" si="26"/>
        <v>50.083350029999998</v>
      </c>
      <c r="AT52" s="420">
        <f t="shared" si="19"/>
        <v>0.1</v>
      </c>
    </row>
    <row r="53" spans="1:46" s="441" customFormat="1" ht="20.100000000000001" customHeight="1" x14ac:dyDescent="0.3">
      <c r="A53" s="435" t="s">
        <v>201</v>
      </c>
      <c r="B53" s="193"/>
      <c r="C53" s="421"/>
      <c r="D53" s="421"/>
      <c r="E53" s="193"/>
      <c r="F53" s="421"/>
      <c r="G53" s="314"/>
      <c r="H53" s="193"/>
      <c r="I53" s="421"/>
      <c r="J53" s="421"/>
      <c r="K53" s="193"/>
      <c r="L53" s="421"/>
      <c r="M53" s="421"/>
      <c r="N53" s="193"/>
      <c r="O53" s="421"/>
      <c r="P53" s="421"/>
      <c r="Q53" s="193"/>
      <c r="R53" s="421"/>
      <c r="S53" s="411"/>
      <c r="T53" s="193"/>
      <c r="U53" s="421"/>
      <c r="V53" s="314"/>
      <c r="W53" s="193">
        <v>665.30891298000006</v>
      </c>
      <c r="X53" s="421">
        <v>685.44897023999999</v>
      </c>
      <c r="Y53" s="314">
        <f t="shared" si="27"/>
        <v>3</v>
      </c>
      <c r="Z53" s="193"/>
      <c r="AA53" s="421">
        <v>0</v>
      </c>
      <c r="AB53" s="314"/>
      <c r="AC53" s="193"/>
      <c r="AD53" s="421"/>
      <c r="AE53" s="314"/>
      <c r="AF53" s="193"/>
      <c r="AG53" s="421"/>
      <c r="AH53" s="314"/>
      <c r="AI53" s="193"/>
      <c r="AJ53" s="421"/>
      <c r="AK53" s="314"/>
      <c r="AL53" s="193">
        <f>43+1273</f>
        <v>1316</v>
      </c>
      <c r="AM53" s="421">
        <f>960+588</f>
        <v>1548</v>
      </c>
      <c r="AN53" s="314"/>
      <c r="AO53" s="579">
        <f t="shared" si="25"/>
        <v>1981.3089129800001</v>
      </c>
      <c r="AP53" s="579">
        <f t="shared" si="25"/>
        <v>2233.4489702400001</v>
      </c>
      <c r="AQ53" s="314">
        <f t="shared" si="17"/>
        <v>12.7</v>
      </c>
      <c r="AR53" s="419">
        <f t="shared" si="26"/>
        <v>1981.3089129800001</v>
      </c>
      <c r="AS53" s="419">
        <f t="shared" si="26"/>
        <v>2233.4489702400001</v>
      </c>
      <c r="AT53" s="422">
        <f t="shared" si="19"/>
        <v>12.7</v>
      </c>
    </row>
    <row r="54" spans="1:46" s="441" customFormat="1" ht="20.100000000000001" customHeight="1" x14ac:dyDescent="0.3">
      <c r="A54" s="435" t="s">
        <v>202</v>
      </c>
      <c r="B54" s="193">
        <f>SUM(B55:B59)</f>
        <v>18526.27</v>
      </c>
      <c r="C54" s="421">
        <f>SUM(C55:C59)</f>
        <v>25191.577000000001</v>
      </c>
      <c r="D54" s="421">
        <f>IF(B54=0, "    ---- ", IF(ABS(ROUND(100/B54*C54-100,1))&lt;999,ROUND(100/B54*C54-100,1),IF(ROUND(100/B54*C54-100,1)&gt;999,999,-999)))</f>
        <v>36</v>
      </c>
      <c r="E54" s="193">
        <f>SUM(E55:E59)</f>
        <v>4551.3</v>
      </c>
      <c r="F54" s="421">
        <f>SUM(F55:F59)</f>
        <v>0</v>
      </c>
      <c r="G54" s="314">
        <f>IF(E54=0, "    ---- ", IF(ABS(ROUND(100/E54*F54-100,1))&lt;999,ROUND(100/E54*F54-100,1),IF(ROUND(100/E54*F54-100,1)&gt;999,999,-999)))</f>
        <v>-100</v>
      </c>
      <c r="H54" s="193">
        <f>SUM(H55:H59)</f>
        <v>84790.630999999994</v>
      </c>
      <c r="I54" s="421">
        <f>SUM(I55:I59)</f>
        <v>122659.43922628999</v>
      </c>
      <c r="J54" s="421">
        <f t="shared" si="13"/>
        <v>44.7</v>
      </c>
      <c r="K54" s="193"/>
      <c r="L54" s="421"/>
      <c r="M54" s="421" t="str">
        <f>IF(K54=0, "    ---- ", IF(ABS(ROUND(100/K54*L54-100,1))&lt;999,ROUND(100/K54*L54-100,1),IF(ROUND(100/K54*L54-100,1)&gt;999,999,-999)))</f>
        <v xml:space="preserve">    ---- </v>
      </c>
      <c r="N54" s="193">
        <f>SUM(N55:N59)</f>
        <v>3863.942</v>
      </c>
      <c r="O54" s="421">
        <f>SUM(O55:O59)</f>
        <v>0</v>
      </c>
      <c r="P54" s="421">
        <f>IF(N54=0, "    ---- ", IF(ABS(ROUND(100/N54*O54-100,1))&lt;999,ROUND(100/N54*O54-100,1),IF(ROUND(100/N54*O54-100,1)&gt;999,999,-999)))</f>
        <v>-100</v>
      </c>
      <c r="Q54" s="193">
        <f>SUM(Q55:Q59)</f>
        <v>24660.9</v>
      </c>
      <c r="R54" s="421">
        <f>SUM(R55:R59)</f>
        <v>34643.199999999997</v>
      </c>
      <c r="S54" s="411">
        <f t="shared" si="22"/>
        <v>40.5</v>
      </c>
      <c r="T54" s="193"/>
      <c r="U54" s="421">
        <f>SUM(U55:U59)</f>
        <v>0</v>
      </c>
      <c r="V54" s="314"/>
      <c r="W54" s="193">
        <v>1013.5707076600002</v>
      </c>
      <c r="X54" s="421">
        <f>SUM(X55:X59)</f>
        <v>1054.35785179</v>
      </c>
      <c r="Y54" s="314">
        <f t="shared" si="27"/>
        <v>4</v>
      </c>
      <c r="Z54" s="193">
        <f>SUM(Z55:Z59)</f>
        <v>70145.17</v>
      </c>
      <c r="AA54" s="421">
        <f>SUM(AA55:AA59)</f>
        <v>105547.00000000001</v>
      </c>
      <c r="AB54" s="314">
        <f t="shared" si="20"/>
        <v>50.5</v>
      </c>
      <c r="AC54" s="193"/>
      <c r="AD54" s="421">
        <f>SUM(AD55:AD59)</f>
        <v>0</v>
      </c>
      <c r="AE54" s="314"/>
      <c r="AF54" s="193">
        <f>SUM(AF55:AF59)</f>
        <v>2275.8192309999999</v>
      </c>
      <c r="AG54" s="421">
        <f>SUM(AG55:AG59)</f>
        <v>3051.61405891</v>
      </c>
      <c r="AH54" s="314">
        <f>IF(AF54=0, "    ---- ", IF(ABS(ROUND(100/AF54*AG54-100,1))&lt;999,ROUND(100/AF54*AG54-100,1),IF(ROUND(100/AF54*AG54-100,1)&gt;999,999,-999)))</f>
        <v>34.1</v>
      </c>
      <c r="AI54" s="193">
        <f>SUM(AI55:AI59)</f>
        <v>32912.025000000001</v>
      </c>
      <c r="AJ54" s="421">
        <f>SUM(AJ55:AJ59)</f>
        <v>47144.990000000013</v>
      </c>
      <c r="AK54" s="314">
        <f t="shared" si="15"/>
        <v>43.2</v>
      </c>
      <c r="AL54" s="193">
        <f>SUM(AL55:AL59)</f>
        <v>88818</v>
      </c>
      <c r="AM54" s="421">
        <f>SUM(AM55:AM59)</f>
        <v>136762.69999999998</v>
      </c>
      <c r="AN54" s="314">
        <f t="shared" si="21"/>
        <v>54</v>
      </c>
      <c r="AO54" s="579">
        <f t="shared" si="25"/>
        <v>329281.80870765995</v>
      </c>
      <c r="AP54" s="579">
        <f t="shared" si="25"/>
        <v>473003.26407807996</v>
      </c>
      <c r="AQ54" s="314">
        <f t="shared" si="17"/>
        <v>43.6</v>
      </c>
      <c r="AR54" s="419">
        <f t="shared" si="26"/>
        <v>331557.62793865998</v>
      </c>
      <c r="AS54" s="419">
        <f t="shared" si="26"/>
        <v>476054.87813699001</v>
      </c>
      <c r="AT54" s="422">
        <f t="shared" si="19"/>
        <v>43.6</v>
      </c>
    </row>
    <row r="55" spans="1:46" s="441" customFormat="1" ht="20.100000000000001" customHeight="1" x14ac:dyDescent="0.3">
      <c r="A55" s="435" t="s">
        <v>203</v>
      </c>
      <c r="B55" s="193">
        <v>11633.403</v>
      </c>
      <c r="C55" s="421">
        <v>16111.883</v>
      </c>
      <c r="D55" s="421">
        <f>IF(B55=0, "    ---- ", IF(ABS(ROUND(100/B55*C55-100,1))&lt;999,ROUND(100/B55*C55-100,1),IF(ROUND(100/B55*C55-100,1)&gt;999,999,-999)))</f>
        <v>38.5</v>
      </c>
      <c r="E55" s="193">
        <v>4545.1000000000004</v>
      </c>
      <c r="F55" s="421"/>
      <c r="G55" s="314">
        <f>IF(E55=0, "    ---- ", IF(ABS(ROUND(100/E55*F55-100,1))&lt;999,ROUND(100/E55*F55-100,1),IF(ROUND(100/E55*F55-100,1)&gt;999,999,-999)))</f>
        <v>-100</v>
      </c>
      <c r="H55" s="193">
        <v>46655.093000000001</v>
      </c>
      <c r="I55" s="421">
        <v>73530.022751029988</v>
      </c>
      <c r="J55" s="421">
        <f t="shared" si="13"/>
        <v>57.6</v>
      </c>
      <c r="K55" s="193"/>
      <c r="L55" s="421"/>
      <c r="M55" s="421" t="str">
        <f>IF(K55=0, "    ---- ", IF(ABS(ROUND(100/K55*L55-100,1))&lt;999,ROUND(100/K55*L55-100,1),IF(ROUND(100/K55*L55-100,1)&gt;999,999,-999)))</f>
        <v xml:space="preserve">    ---- </v>
      </c>
      <c r="N55" s="193">
        <f>3863.942-N59</f>
        <v>2487.0299999999997</v>
      </c>
      <c r="O55" s="421"/>
      <c r="P55" s="421">
        <f>IF(N55=0, "    ---- ", IF(ABS(ROUND(100/N55*O55-100,1))&lt;999,ROUND(100/N55*O55-100,1),IF(ROUND(100/N55*O55-100,1)&gt;999,999,-999)))</f>
        <v>-100</v>
      </c>
      <c r="Q55" s="193">
        <v>20862.2</v>
      </c>
      <c r="R55" s="421">
        <v>29697.599999999999</v>
      </c>
      <c r="S55" s="411">
        <f t="shared" si="22"/>
        <v>42.4</v>
      </c>
      <c r="T55" s="193"/>
      <c r="U55" s="421"/>
      <c r="V55" s="314"/>
      <c r="W55" s="193">
        <v>454.72793344000002</v>
      </c>
      <c r="X55" s="421">
        <v>627.22337757000003</v>
      </c>
      <c r="Y55" s="314">
        <f t="shared" si="27"/>
        <v>37.9</v>
      </c>
      <c r="Z55" s="193">
        <v>36501.5</v>
      </c>
      <c r="AA55" s="421">
        <v>65464.6</v>
      </c>
      <c r="AB55" s="314">
        <f t="shared" si="20"/>
        <v>79.3</v>
      </c>
      <c r="AC55" s="193"/>
      <c r="AD55" s="421"/>
      <c r="AE55" s="314"/>
      <c r="AF55" s="193">
        <v>2275.8192309999999</v>
      </c>
      <c r="AG55" s="421">
        <v>3051.61405891</v>
      </c>
      <c r="AH55" s="314">
        <f>IF(AF55=0, "    ---- ", IF(ABS(ROUND(100/AF55*AG55-100,1))&lt;999,ROUND(100/AF55*AG55-100,1),IF(ROUND(100/AF55*AG55-100,1)&gt;999,999,-999)))</f>
        <v>34.1</v>
      </c>
      <c r="AI55" s="193">
        <v>18730.8</v>
      </c>
      <c r="AJ55" s="421">
        <v>30076.348000000002</v>
      </c>
      <c r="AK55" s="314">
        <f t="shared" si="15"/>
        <v>60.6</v>
      </c>
      <c r="AL55" s="193">
        <v>49691</v>
      </c>
      <c r="AM55" s="421">
        <v>93270.399999999994</v>
      </c>
      <c r="AN55" s="314">
        <f t="shared" si="21"/>
        <v>87.7</v>
      </c>
      <c r="AO55" s="579">
        <f t="shared" si="25"/>
        <v>191560.85393344</v>
      </c>
      <c r="AP55" s="579">
        <f t="shared" si="25"/>
        <v>308778.07712859998</v>
      </c>
      <c r="AQ55" s="314">
        <f t="shared" si="17"/>
        <v>61.2</v>
      </c>
      <c r="AR55" s="419">
        <f t="shared" si="26"/>
        <v>193836.67316444</v>
      </c>
      <c r="AS55" s="419">
        <f t="shared" si="26"/>
        <v>311829.69118750998</v>
      </c>
      <c r="AT55" s="422">
        <f t="shared" si="19"/>
        <v>60.9</v>
      </c>
    </row>
    <row r="56" spans="1:46" s="441" customFormat="1" ht="20.100000000000001" customHeight="1" x14ac:dyDescent="0.3">
      <c r="A56" s="435" t="s">
        <v>204</v>
      </c>
      <c r="B56" s="193">
        <v>6834.5519999999997</v>
      </c>
      <c r="C56" s="421">
        <v>8649.17</v>
      </c>
      <c r="D56" s="421">
        <f>IF(B56=0, "    ---- ", IF(ABS(ROUND(100/B56*C56-100,1))&lt;999,ROUND(100/B56*C56-100,1),IF(ROUND(100/B56*C56-100,1)&gt;999,999,-999)))</f>
        <v>26.6</v>
      </c>
      <c r="E56" s="193"/>
      <c r="F56" s="421"/>
      <c r="G56" s="314" t="str">
        <f>IF(E56=0, "    ---- ", IF(ABS(ROUND(100/E56*F56-100,1))&lt;999,ROUND(100/E56*F56-100,1),IF(ROUND(100/E56*F56-100,1)&gt;999,999,-999)))</f>
        <v xml:space="preserve">    ---- </v>
      </c>
      <c r="H56" s="193">
        <v>36439.962</v>
      </c>
      <c r="I56" s="421">
        <v>47728.763988760002</v>
      </c>
      <c r="J56" s="421">
        <f t="shared" si="13"/>
        <v>31</v>
      </c>
      <c r="K56" s="193"/>
      <c r="L56" s="421"/>
      <c r="M56" s="421" t="str">
        <f>IF(K56=0, "    ---- ", IF(ABS(ROUND(100/K56*L56-100,1))&lt;999,ROUND(100/K56*L56-100,1),IF(ROUND(100/K56*L56-100,1)&gt;999,999,-999)))</f>
        <v xml:space="preserve">    ---- </v>
      </c>
      <c r="N56" s="193"/>
      <c r="O56" s="421"/>
      <c r="P56" s="421" t="str">
        <f>IF(N56=0, "    ---- ", IF(ABS(ROUND(100/N56*O56-100,1))&lt;999,ROUND(100/N56*O56-100,1),IF(ROUND(100/N56*O56-100,1)&gt;999,999,-999)))</f>
        <v xml:space="preserve">    ---- </v>
      </c>
      <c r="Q56" s="193">
        <v>3731.4</v>
      </c>
      <c r="R56" s="421">
        <v>4861.1000000000004</v>
      </c>
      <c r="S56" s="411">
        <f t="shared" si="22"/>
        <v>30.3</v>
      </c>
      <c r="T56" s="193"/>
      <c r="U56" s="421"/>
      <c r="V56" s="314"/>
      <c r="W56" s="193">
        <v>388.73707048</v>
      </c>
      <c r="X56" s="421">
        <v>330.20643543</v>
      </c>
      <c r="Y56" s="314">
        <f t="shared" si="27"/>
        <v>-15.1</v>
      </c>
      <c r="Z56" s="193">
        <v>33874.03</v>
      </c>
      <c r="AA56" s="421">
        <v>39645.480000000003</v>
      </c>
      <c r="AB56" s="314"/>
      <c r="AC56" s="193"/>
      <c r="AD56" s="421"/>
      <c r="AE56" s="314"/>
      <c r="AF56" s="193"/>
      <c r="AG56" s="421"/>
      <c r="AH56" s="314"/>
      <c r="AI56" s="193">
        <v>12373.337</v>
      </c>
      <c r="AJ56" s="421">
        <v>16744.915000000001</v>
      </c>
      <c r="AK56" s="314">
        <f t="shared" si="15"/>
        <v>35.299999999999997</v>
      </c>
      <c r="AL56" s="193">
        <v>38202</v>
      </c>
      <c r="AM56" s="421">
        <v>42733</v>
      </c>
      <c r="AN56" s="314">
        <f t="shared" si="21"/>
        <v>11.9</v>
      </c>
      <c r="AO56" s="579">
        <f t="shared" si="25"/>
        <v>131844.01807048</v>
      </c>
      <c r="AP56" s="579">
        <f t="shared" si="25"/>
        <v>160692.63542419</v>
      </c>
      <c r="AQ56" s="314">
        <f t="shared" si="17"/>
        <v>21.9</v>
      </c>
      <c r="AR56" s="419">
        <f t="shared" si="26"/>
        <v>131844.01807048</v>
      </c>
      <c r="AS56" s="419">
        <f t="shared" si="26"/>
        <v>160692.63542419</v>
      </c>
      <c r="AT56" s="422">
        <f t="shared" si="19"/>
        <v>21.9</v>
      </c>
    </row>
    <row r="57" spans="1:46" s="441" customFormat="1" ht="20.100000000000001" customHeight="1" x14ac:dyDescent="0.3">
      <c r="A57" s="435" t="s">
        <v>205</v>
      </c>
      <c r="B57" s="193"/>
      <c r="C57" s="421"/>
      <c r="D57" s="314"/>
      <c r="E57" s="193">
        <v>6.2</v>
      </c>
      <c r="F57" s="421"/>
      <c r="G57" s="314">
        <f>IF(E57=0, "    ---- ", IF(ABS(ROUND(100/E57*F57-100,1))&lt;999,ROUND(100/E57*F57-100,1),IF(ROUND(100/E57*F57-100,1)&gt;999,999,-999)))</f>
        <v>-100</v>
      </c>
      <c r="H57" s="193">
        <v>1695.576</v>
      </c>
      <c r="I57" s="421">
        <v>1400.6524865000001</v>
      </c>
      <c r="J57" s="314">
        <f t="shared" si="13"/>
        <v>-17.399999999999999</v>
      </c>
      <c r="K57" s="193"/>
      <c r="L57" s="421"/>
      <c r="M57" s="314"/>
      <c r="N57" s="193"/>
      <c r="O57" s="421"/>
      <c r="P57" s="314"/>
      <c r="Q57" s="193"/>
      <c r="R57" s="421"/>
      <c r="S57" s="314" t="str">
        <f t="shared" si="22"/>
        <v xml:space="preserve">    ---- </v>
      </c>
      <c r="T57" s="193"/>
      <c r="U57" s="421"/>
      <c r="V57" s="314"/>
      <c r="W57" s="193">
        <v>145.41603559000001</v>
      </c>
      <c r="X57" s="421">
        <v>84.439382390000006</v>
      </c>
      <c r="Y57" s="314">
        <f t="shared" si="27"/>
        <v>-41.9</v>
      </c>
      <c r="Z57" s="193"/>
      <c r="AA57" s="421">
        <v>0</v>
      </c>
      <c r="AB57" s="314"/>
      <c r="AC57" s="193"/>
      <c r="AD57" s="421"/>
      <c r="AE57" s="314"/>
      <c r="AF57" s="193"/>
      <c r="AG57" s="421"/>
      <c r="AH57" s="314"/>
      <c r="AI57" s="193"/>
      <c r="AJ57" s="421">
        <v>0</v>
      </c>
      <c r="AK57" s="314"/>
      <c r="AL57" s="193">
        <v>385</v>
      </c>
      <c r="AM57" s="421">
        <v>134.30000000000001</v>
      </c>
      <c r="AN57" s="314">
        <f t="shared" si="21"/>
        <v>-65.099999999999994</v>
      </c>
      <c r="AO57" s="579">
        <f t="shared" si="25"/>
        <v>2232.1920355900002</v>
      </c>
      <c r="AP57" s="579">
        <f t="shared" si="25"/>
        <v>1619.3918688900001</v>
      </c>
      <c r="AQ57" s="314">
        <f t="shared" si="17"/>
        <v>-27.5</v>
      </c>
      <c r="AR57" s="419">
        <f t="shared" si="26"/>
        <v>2232.1920355900002</v>
      </c>
      <c r="AS57" s="419">
        <f t="shared" si="26"/>
        <v>1619.3918688900001</v>
      </c>
      <c r="AT57" s="422">
        <f t="shared" si="19"/>
        <v>-27.5</v>
      </c>
    </row>
    <row r="58" spans="1:46" s="441" customFormat="1" ht="20.100000000000001" customHeight="1" x14ac:dyDescent="0.3">
      <c r="A58" s="435" t="s">
        <v>206</v>
      </c>
      <c r="B58" s="193"/>
      <c r="C58" s="421"/>
      <c r="D58" s="314"/>
      <c r="E58" s="193"/>
      <c r="F58" s="421"/>
      <c r="G58" s="314"/>
      <c r="H58" s="193"/>
      <c r="I58" s="421"/>
      <c r="J58" s="314"/>
      <c r="K58" s="193"/>
      <c r="L58" s="421"/>
      <c r="M58" s="314"/>
      <c r="N58" s="193"/>
      <c r="O58" s="421"/>
      <c r="P58" s="314"/>
      <c r="Q58" s="193"/>
      <c r="R58" s="421"/>
      <c r="S58" s="314"/>
      <c r="T58" s="193"/>
      <c r="U58" s="421"/>
      <c r="V58" s="314"/>
      <c r="W58" s="193">
        <v>16.305278439999999</v>
      </c>
      <c r="X58" s="421">
        <v>11.095450339999999</v>
      </c>
      <c r="Y58" s="314">
        <f t="shared" si="27"/>
        <v>-32</v>
      </c>
      <c r="Z58" s="193">
        <v>-64.040000000000006</v>
      </c>
      <c r="AA58" s="421">
        <v>93.1</v>
      </c>
      <c r="AB58" s="314"/>
      <c r="AC58" s="193"/>
      <c r="AD58" s="421"/>
      <c r="AE58" s="314"/>
      <c r="AF58" s="193"/>
      <c r="AG58" s="421"/>
      <c r="AH58" s="314"/>
      <c r="AI58" s="193"/>
      <c r="AJ58" s="421">
        <v>91.281000000000006</v>
      </c>
      <c r="AK58" s="314"/>
      <c r="AL58" s="193">
        <v>540</v>
      </c>
      <c r="AM58" s="421">
        <v>625</v>
      </c>
      <c r="AN58" s="314">
        <f t="shared" si="21"/>
        <v>15.7</v>
      </c>
      <c r="AO58" s="579">
        <f t="shared" si="25"/>
        <v>492.26527843999997</v>
      </c>
      <c r="AP58" s="579">
        <f t="shared" si="25"/>
        <v>820.47645033999993</v>
      </c>
      <c r="AQ58" s="314">
        <f t="shared" si="17"/>
        <v>66.7</v>
      </c>
      <c r="AR58" s="419">
        <f t="shared" si="26"/>
        <v>492.26527843999997</v>
      </c>
      <c r="AS58" s="419">
        <f t="shared" si="26"/>
        <v>820.47645033999993</v>
      </c>
      <c r="AT58" s="422">
        <f t="shared" si="19"/>
        <v>66.7</v>
      </c>
    </row>
    <row r="59" spans="1:46" s="441" customFormat="1" ht="20.100000000000001" customHeight="1" x14ac:dyDescent="0.3">
      <c r="A59" s="435" t="s">
        <v>207</v>
      </c>
      <c r="B59" s="193">
        <f>404.143-441.823+95.995</f>
        <v>58.314999999999998</v>
      </c>
      <c r="C59" s="421">
        <f>215.691+55.174+159.659</f>
        <v>430.524</v>
      </c>
      <c r="D59" s="314">
        <f>IF(B59=0, "    ---- ", IF(ABS(ROUND(100/B59*C59-100,1))&lt;999,ROUND(100/B59*C59-100,1),IF(ROUND(100/B59*C59-100,1)&gt;999,999,-999)))</f>
        <v>638.29999999999995</v>
      </c>
      <c r="E59" s="193"/>
      <c r="F59" s="421"/>
      <c r="G59" s="314"/>
      <c r="H59" s="193"/>
      <c r="I59" s="421"/>
      <c r="J59" s="314"/>
      <c r="K59" s="193"/>
      <c r="L59" s="421"/>
      <c r="M59" s="314" t="str">
        <f>IF(K59=0, "    ---- ", IF(ABS(ROUND(100/K59*L59-100,1))&lt;999,ROUND(100/K59*L59-100,1),IF(ROUND(100/K59*L59-100,1)&gt;999,999,-999)))</f>
        <v xml:space="preserve">    ---- </v>
      </c>
      <c r="N59" s="193">
        <v>1376.912</v>
      </c>
      <c r="O59" s="421"/>
      <c r="P59" s="314">
        <f>IF(N59=0, "    ---- ", IF(ABS(ROUND(100/N59*O59-100,1))&lt;999,ROUND(100/N59*O59-100,1),IF(ROUND(100/N59*O59-100,1)&gt;999,999,-999)))</f>
        <v>-100</v>
      </c>
      <c r="Q59" s="193">
        <f>32.9+34.4</f>
        <v>67.3</v>
      </c>
      <c r="R59" s="421">
        <v>84.5</v>
      </c>
      <c r="S59" s="314">
        <f>IF(Q59=0, "    ---- ", IF(ABS(ROUND(100/Q59*R59-100,1))&lt;999,ROUND(100/Q59*R59-100,1),IF(ROUND(100/Q59*R59-100,1)&gt;999,999,-999)))</f>
        <v>25.6</v>
      </c>
      <c r="T59" s="193"/>
      <c r="U59" s="421"/>
      <c r="V59" s="314"/>
      <c r="W59" s="193">
        <v>8.3843897100000007</v>
      </c>
      <c r="X59" s="421">
        <v>1.39320606</v>
      </c>
      <c r="Y59" s="314">
        <f t="shared" si="27"/>
        <v>-83.4</v>
      </c>
      <c r="Z59" s="193">
        <v>-166.32</v>
      </c>
      <c r="AA59" s="421">
        <v>343.82</v>
      </c>
      <c r="AB59" s="314">
        <f t="shared" si="20"/>
        <v>-306.7</v>
      </c>
      <c r="AC59" s="193"/>
      <c r="AD59" s="421"/>
      <c r="AE59" s="314"/>
      <c r="AF59" s="193"/>
      <c r="AG59" s="421"/>
      <c r="AH59" s="314"/>
      <c r="AI59" s="193">
        <v>1807.8879999999999</v>
      </c>
      <c r="AJ59" s="421">
        <v>232.446</v>
      </c>
      <c r="AK59" s="314">
        <f t="shared" si="15"/>
        <v>-87.1</v>
      </c>
      <c r="AL59" s="193"/>
      <c r="AM59" s="421"/>
      <c r="AN59" s="314" t="str">
        <f t="shared" si="21"/>
        <v xml:space="preserve">    ---- </v>
      </c>
      <c r="AO59" s="579">
        <f t="shared" si="25"/>
        <v>3152.4793897099999</v>
      </c>
      <c r="AP59" s="579">
        <f t="shared" si="25"/>
        <v>1092.68320606</v>
      </c>
      <c r="AQ59" s="314">
        <f t="shared" si="17"/>
        <v>-65.3</v>
      </c>
      <c r="AR59" s="419">
        <f t="shared" si="26"/>
        <v>3152.4793897099999</v>
      </c>
      <c r="AS59" s="419">
        <f t="shared" si="26"/>
        <v>1092.68320606</v>
      </c>
      <c r="AT59" s="422">
        <f t="shared" si="19"/>
        <v>-65.3</v>
      </c>
    </row>
    <row r="60" spans="1:46" s="441" customFormat="1" ht="20.100000000000001" customHeight="1" x14ac:dyDescent="0.3">
      <c r="A60" s="436" t="s">
        <v>208</v>
      </c>
      <c r="B60" s="193">
        <f>SUM(B48+B49+B50+B54)</f>
        <v>18526.27</v>
      </c>
      <c r="C60" s="421">
        <f>SUM(C48+C49+C50+C54)</f>
        <v>25191.577000000001</v>
      </c>
      <c r="D60" s="314">
        <f>IF(B60=0, "    ---- ", IF(ABS(ROUND(100/B60*C60-100,1))&lt;999,ROUND(100/B60*C60-100,1),IF(ROUND(100/B60*C60-100,1)&gt;999,999,-999)))</f>
        <v>36</v>
      </c>
      <c r="E60" s="193">
        <f>SUM(E48+E49+E50+E54)</f>
        <v>4551.3</v>
      </c>
      <c r="F60" s="421">
        <f>SUM(F48+F49+F50+F54)</f>
        <v>0</v>
      </c>
      <c r="G60" s="314">
        <f>IF(E60=0, "    ---- ", IF(ABS(ROUND(100/E60*F60-100,1))&lt;999,ROUND(100/E60*F60-100,1),IF(ROUND(100/E60*F60-100,1)&gt;999,999,-999)))</f>
        <v>-100</v>
      </c>
      <c r="H60" s="193">
        <f>SUM(H48+H49+H50+H54)</f>
        <v>84790.630999999994</v>
      </c>
      <c r="I60" s="421">
        <f>SUM(I48+I49+I50+I54)</f>
        <v>122659.43922628999</v>
      </c>
      <c r="J60" s="314">
        <f t="shared" si="13"/>
        <v>44.7</v>
      </c>
      <c r="K60" s="193"/>
      <c r="L60" s="421"/>
      <c r="M60" s="314" t="str">
        <f>IF(K60=0, "    ---- ", IF(ABS(ROUND(100/K60*L60-100,1))&lt;999,ROUND(100/K60*L60-100,1),IF(ROUND(100/K60*L60-100,1)&gt;999,999,-999)))</f>
        <v xml:space="preserve">    ---- </v>
      </c>
      <c r="N60" s="193">
        <f>SUM(N48+N49+N50+N54)</f>
        <v>3863.942</v>
      </c>
      <c r="O60" s="421">
        <f>SUM(O48+O49+O50+O54)</f>
        <v>0</v>
      </c>
      <c r="P60" s="314">
        <f>IF(N60=0, "    ---- ", IF(ABS(ROUND(100/N60*O60-100,1))&lt;999,ROUND(100/N60*O60-100,1),IF(ROUND(100/N60*O60-100,1)&gt;999,999,-999)))</f>
        <v>-100</v>
      </c>
      <c r="Q60" s="193">
        <f>SUM(Q48+Q49+Q50+Q54)</f>
        <v>26207.100000000002</v>
      </c>
      <c r="R60" s="421">
        <f>SUM(R48+R49+R50+R54)</f>
        <v>36332.699999999997</v>
      </c>
      <c r="S60" s="314">
        <f>IF(Q60=0, "    ---- ", IF(ABS(ROUND(100/Q60*R60-100,1))&lt;999,ROUND(100/Q60*R60-100,1),IF(ROUND(100/Q60*R60-100,1)&gt;999,999,-999)))</f>
        <v>38.6</v>
      </c>
      <c r="T60" s="193"/>
      <c r="U60" s="421">
        <f>SUM(U48+U49+U50+U54)</f>
        <v>0</v>
      </c>
      <c r="V60" s="314"/>
      <c r="W60" s="193">
        <v>2081.6168171700001</v>
      </c>
      <c r="X60" s="421">
        <f>SUM(X48+X49+X50+X54)</f>
        <v>2081.36543794</v>
      </c>
      <c r="Y60" s="314">
        <f t="shared" si="27"/>
        <v>0</v>
      </c>
      <c r="Z60" s="193">
        <f>SUM(Z48+Z49+Z50+Z54)</f>
        <v>70145.17</v>
      </c>
      <c r="AA60" s="421">
        <f>SUM(AA48+AA49+AA50+AA54)</f>
        <v>105547.00000000001</v>
      </c>
      <c r="AB60" s="314">
        <f t="shared" si="20"/>
        <v>50.5</v>
      </c>
      <c r="AC60" s="193"/>
      <c r="AD60" s="421">
        <f>SUM(AD48+AD49+AD50+AD54)</f>
        <v>0</v>
      </c>
      <c r="AE60" s="314"/>
      <c r="AF60" s="193">
        <f>SUM(AF48+AF49+AF50+AF54)</f>
        <v>2275.8192309999999</v>
      </c>
      <c r="AG60" s="421">
        <f>SUM(AG48+AG49+AG50+AG54)</f>
        <v>3051.61405891</v>
      </c>
      <c r="AH60" s="314">
        <f>IF(AF60=0, "    ---- ", IF(ABS(ROUND(100/AF60*AG60-100,1))&lt;999,ROUND(100/AF60*AG60-100,1),IF(ROUND(100/AF60*AG60-100,1)&gt;999,999,-999)))</f>
        <v>34.1</v>
      </c>
      <c r="AI60" s="193">
        <f>SUM(AI48+AI49+AI50+AI54)</f>
        <v>32912.025000000001</v>
      </c>
      <c r="AJ60" s="421">
        <f>SUM(AJ48+AJ49+AJ50+AJ54)</f>
        <v>47144.990000000013</v>
      </c>
      <c r="AK60" s="314">
        <f t="shared" si="15"/>
        <v>43.2</v>
      </c>
      <c r="AL60" s="193">
        <f>SUM(AL48+AL49+AL50+AL54)</f>
        <v>109598</v>
      </c>
      <c r="AM60" s="421">
        <f>SUM(AM48+AM49+AM50+AM54)</f>
        <v>144234.69999999998</v>
      </c>
      <c r="AN60" s="314">
        <f t="shared" si="21"/>
        <v>31.6</v>
      </c>
      <c r="AO60" s="579">
        <f t="shared" si="25"/>
        <v>352676.05481717002</v>
      </c>
      <c r="AP60" s="579">
        <f t="shared" si="25"/>
        <v>483191.77166422992</v>
      </c>
      <c r="AQ60" s="314">
        <f t="shared" si="17"/>
        <v>37</v>
      </c>
      <c r="AR60" s="419">
        <f t="shared" si="26"/>
        <v>354951.87404816999</v>
      </c>
      <c r="AS60" s="419">
        <f t="shared" si="26"/>
        <v>486243.38572313997</v>
      </c>
      <c r="AT60" s="422">
        <f t="shared" si="19"/>
        <v>37</v>
      </c>
    </row>
    <row r="61" spans="1:46" s="441" customFormat="1" ht="20.100000000000001" customHeight="1" x14ac:dyDescent="0.3">
      <c r="A61" s="433" t="s">
        <v>315</v>
      </c>
      <c r="B61" s="193"/>
      <c r="C61" s="421"/>
      <c r="D61" s="314"/>
      <c r="E61" s="193"/>
      <c r="F61" s="421"/>
      <c r="G61" s="314"/>
      <c r="H61" s="193"/>
      <c r="I61" s="421"/>
      <c r="J61" s="314"/>
      <c r="K61" s="193"/>
      <c r="L61" s="421"/>
      <c r="M61" s="314"/>
      <c r="N61" s="193"/>
      <c r="O61" s="421"/>
      <c r="P61" s="314"/>
      <c r="Q61" s="193"/>
      <c r="R61" s="421">
        <v>5.4</v>
      </c>
      <c r="S61" s="314"/>
      <c r="T61" s="193"/>
      <c r="U61" s="421"/>
      <c r="V61" s="314"/>
      <c r="W61" s="193"/>
      <c r="X61" s="421"/>
      <c r="Y61" s="314"/>
      <c r="Z61" s="193"/>
      <c r="AA61" s="421"/>
      <c r="AB61" s="314"/>
      <c r="AC61" s="193"/>
      <c r="AD61" s="421"/>
      <c r="AE61" s="314"/>
      <c r="AF61" s="193"/>
      <c r="AG61" s="421"/>
      <c r="AH61" s="314"/>
      <c r="AI61" s="193"/>
      <c r="AJ61" s="421"/>
      <c r="AK61" s="314"/>
      <c r="AL61" s="193"/>
      <c r="AM61" s="421"/>
      <c r="AN61" s="314"/>
      <c r="AO61" s="579">
        <f t="shared" si="25"/>
        <v>0</v>
      </c>
      <c r="AP61" s="579">
        <f t="shared" si="25"/>
        <v>5.4</v>
      </c>
      <c r="AQ61" s="314" t="str">
        <f t="shared" si="17"/>
        <v xml:space="preserve">    ---- </v>
      </c>
      <c r="AR61" s="419">
        <f t="shared" si="26"/>
        <v>0</v>
      </c>
      <c r="AS61" s="419">
        <f t="shared" si="26"/>
        <v>5.4</v>
      </c>
      <c r="AT61" s="422" t="str">
        <f t="shared" si="19"/>
        <v xml:space="preserve">    ---- </v>
      </c>
    </row>
    <row r="62" spans="1:46" s="441" customFormat="1" ht="20.100000000000001" customHeight="1" x14ac:dyDescent="0.3">
      <c r="A62" s="435" t="s">
        <v>209</v>
      </c>
      <c r="B62" s="193">
        <f>SUM(B45+B46+B60+B61)</f>
        <v>19856.994999999999</v>
      </c>
      <c r="C62" s="421">
        <f>SUM(C45+C46+C60+C61)</f>
        <v>26729.869000000002</v>
      </c>
      <c r="D62" s="314">
        <f>IF(B62=0, "    ---- ", IF(ABS(ROUND(100/B62*C62-100,1))&lt;999,ROUND(100/B62*C62-100,1),IF(ROUND(100/B62*C62-100,1)&gt;999,999,-999)))</f>
        <v>34.6</v>
      </c>
      <c r="E62" s="193">
        <f>SUM(E45+E46+E60+E61)</f>
        <v>6372</v>
      </c>
      <c r="F62" s="421">
        <f>SUM(F45+F46+F60+F61)</f>
        <v>0</v>
      </c>
      <c r="G62" s="314">
        <f>IF(E62=0, "    ---- ", IF(ABS(ROUND(100/E62*F62-100,1))&lt;999,ROUND(100/E62*F62-100,1),IF(ROUND(100/E62*F62-100,1)&gt;999,999,-999)))</f>
        <v>-100</v>
      </c>
      <c r="H62" s="193">
        <f>SUM(H45+H46+H60+H61)</f>
        <v>286674.69300000003</v>
      </c>
      <c r="I62" s="421">
        <f>SUM(I45+I46+I60+I61)</f>
        <v>324377.59130740003</v>
      </c>
      <c r="J62" s="314">
        <f t="shared" si="13"/>
        <v>13.2</v>
      </c>
      <c r="K62" s="193">
        <v>6469.3809221499996</v>
      </c>
      <c r="L62" s="421">
        <f>SUM(L45+L46+L60+L61)</f>
        <v>7458.6140326400009</v>
      </c>
      <c r="M62" s="314">
        <f>IF(K62=0, "    ---- ", IF(ABS(ROUND(100/K62*L62-100,1))&lt;999,ROUND(100/K62*L62-100,1),IF(ROUND(100/K62*L62-100,1)&gt;999,999,-999)))</f>
        <v>15.3</v>
      </c>
      <c r="N62" s="193">
        <f>SUM(N45+N46+N60+N61)</f>
        <v>5084.33</v>
      </c>
      <c r="O62" s="421">
        <f>SUM(O45+O46+O60+O61)</f>
        <v>1175.2870000000003</v>
      </c>
      <c r="P62" s="314">
        <f>IF(N62=0, "    ---- ", IF(ABS(ROUND(100/N62*O62-100,1))&lt;999,ROUND(100/N62*O62-100,1),IF(ROUND(100/N62*O62-100,1)&gt;999,999,-999)))</f>
        <v>-76.900000000000006</v>
      </c>
      <c r="Q62" s="193">
        <f>SUM(Q45+Q46+Q60+Q61)</f>
        <v>33541.100000000006</v>
      </c>
      <c r="R62" s="421">
        <f>SUM(R45+R46+R60+R61)</f>
        <v>44270.9</v>
      </c>
      <c r="S62" s="314">
        <f>IF(Q62=0, "    ---- ", IF(ABS(ROUND(100/Q62*R62-100,1))&lt;999,ROUND(100/Q62*R62-100,1),IF(ROUND(100/Q62*R62-100,1)&gt;999,999,-999)))</f>
        <v>32</v>
      </c>
      <c r="T62" s="193"/>
      <c r="U62" s="421">
        <f>SUM(U45+U46+U60+U61)</f>
        <v>0</v>
      </c>
      <c r="V62" s="314"/>
      <c r="W62" s="193">
        <v>572731.06411121006</v>
      </c>
      <c r="X62" s="421">
        <f>SUM(X45+X46+X60+X61)</f>
        <v>605157.31623185996</v>
      </c>
      <c r="Y62" s="314">
        <f>IF(W62=0, "    ---- ", IF(ABS(ROUND(100/W62*X62-100,1))&lt;999,ROUND(100/W62*X62-100,1),IF(ROUND(100/W62*X62-100,1)&gt;999,999,-999)))</f>
        <v>5.7</v>
      </c>
      <c r="Z62" s="193">
        <f>SUM(Z45+Z46+Z60+Z61)</f>
        <v>122793.68945568989</v>
      </c>
      <c r="AA62" s="421">
        <f>SUM(AA45+AA46+AA60+AA61)</f>
        <v>160385.60583937002</v>
      </c>
      <c r="AB62" s="314">
        <f t="shared" si="20"/>
        <v>30.6</v>
      </c>
      <c r="AC62" s="193">
        <f>SUM(AC45+AC46+AC60+AC61)</f>
        <v>89315</v>
      </c>
      <c r="AD62" s="421">
        <f>SUM(AD45+AD46+AD60+AD61)</f>
        <v>104484</v>
      </c>
      <c r="AE62" s="314">
        <f>IF(AC62=0, "    ---- ", IF(ABS(ROUND(100/AC62*AD62-100,1))&lt;999,ROUND(100/AC62*AD62-100,1),IF(ROUND(100/AC62*AD62-100,1)&gt;999,999,-999)))</f>
        <v>17</v>
      </c>
      <c r="AF62" s="193">
        <f>SUM(AF45+AF46+AF60+AF61)</f>
        <v>2275.8192309999999</v>
      </c>
      <c r="AG62" s="421">
        <f>SUM(AG45+AG46+AG60+AG61)</f>
        <v>3051.61405891</v>
      </c>
      <c r="AH62" s="314">
        <f>IF(AF62=0, "    ---- ", IF(ABS(ROUND(100/AF62*AG62-100,1))&lt;999,ROUND(100/AF62*AG62-100,1),IF(ROUND(100/AF62*AG62-100,1)&gt;999,999,-999)))</f>
        <v>34.1</v>
      </c>
      <c r="AI62" s="193">
        <f>SUM(AI45+AI46+AI60+AI61)</f>
        <v>54037.305</v>
      </c>
      <c r="AJ62" s="421">
        <f>SUM(AJ45+AJ46+AJ60+AJ61)</f>
        <v>69908.011000000013</v>
      </c>
      <c r="AK62" s="314">
        <f t="shared" si="15"/>
        <v>29.4</v>
      </c>
      <c r="AL62" s="193">
        <f>SUM(AL45+AL46+AL60+AL61)</f>
        <v>303723</v>
      </c>
      <c r="AM62" s="421">
        <f>SUM(AM45+AM46+AM60+AM61)</f>
        <v>349895.69999999995</v>
      </c>
      <c r="AN62" s="314">
        <f t="shared" si="21"/>
        <v>15.2</v>
      </c>
      <c r="AO62" s="579">
        <f t="shared" si="25"/>
        <v>1500598.5574890499</v>
      </c>
      <c r="AP62" s="579">
        <f t="shared" si="25"/>
        <v>1693842.89441127</v>
      </c>
      <c r="AQ62" s="314">
        <f t="shared" si="17"/>
        <v>12.9</v>
      </c>
      <c r="AR62" s="419">
        <f t="shared" si="26"/>
        <v>1502874.3767200499</v>
      </c>
      <c r="AS62" s="419">
        <f t="shared" si="26"/>
        <v>1696894.50847018</v>
      </c>
      <c r="AT62" s="422">
        <f t="shared" si="19"/>
        <v>12.9</v>
      </c>
    </row>
    <row r="63" spans="1:46" s="465" customFormat="1" ht="20.100000000000001" customHeight="1" x14ac:dyDescent="0.3">
      <c r="A63" s="433"/>
      <c r="B63" s="195"/>
      <c r="C63" s="415"/>
      <c r="D63" s="414"/>
      <c r="E63" s="195"/>
      <c r="F63" s="415"/>
      <c r="G63" s="414"/>
      <c r="H63" s="195"/>
      <c r="I63" s="415"/>
      <c r="J63" s="414"/>
      <c r="K63" s="195"/>
      <c r="L63" s="415"/>
      <c r="M63" s="414"/>
      <c r="N63" s="195"/>
      <c r="O63" s="415"/>
      <c r="P63" s="414"/>
      <c r="Q63" s="195"/>
      <c r="R63" s="415"/>
      <c r="S63" s="423"/>
      <c r="T63" s="195"/>
      <c r="U63" s="415"/>
      <c r="V63" s="414"/>
      <c r="W63" s="195"/>
      <c r="X63" s="415"/>
      <c r="Y63" s="414"/>
      <c r="Z63" s="195"/>
      <c r="AA63" s="415"/>
      <c r="AB63" s="414"/>
      <c r="AC63" s="195"/>
      <c r="AD63" s="415"/>
      <c r="AE63" s="414"/>
      <c r="AF63" s="195"/>
      <c r="AG63" s="415"/>
      <c r="AH63" s="414"/>
      <c r="AI63" s="195"/>
      <c r="AJ63" s="415"/>
      <c r="AK63" s="414"/>
      <c r="AL63" s="195"/>
      <c r="AM63" s="415"/>
      <c r="AN63" s="414"/>
      <c r="AO63" s="423"/>
      <c r="AP63" s="423"/>
      <c r="AQ63" s="414"/>
      <c r="AR63" s="424"/>
      <c r="AS63" s="424"/>
      <c r="AT63" s="425"/>
    </row>
    <row r="64" spans="1:46" s="465" customFormat="1" ht="20.100000000000001" customHeight="1" x14ac:dyDescent="0.3">
      <c r="A64" s="433" t="s">
        <v>210</v>
      </c>
      <c r="B64" s="195">
        <f>SUM(B29+B62)</f>
        <v>20826.934999999998</v>
      </c>
      <c r="C64" s="415">
        <f>SUM(C29+C62)</f>
        <v>27737.597000000002</v>
      </c>
      <c r="D64" s="414">
        <f>IF(B64=0, "    ---- ", IF(ABS(ROUND(100/B64*C64-100,1))&lt;999,ROUND(100/B64*C64-100,1),IF(ROUND(100/B64*C64-100,1)&gt;999,999,-999)))</f>
        <v>33.200000000000003</v>
      </c>
      <c r="E64" s="195">
        <f>SUM(E29+E62)</f>
        <v>6984.1</v>
      </c>
      <c r="F64" s="415">
        <f>SUM(F29+F62)</f>
        <v>0</v>
      </c>
      <c r="G64" s="414">
        <f>IF(E64=0, "    ---- ", IF(ABS(ROUND(100/E64*F64-100,1))&lt;999,ROUND(100/E64*F64-100,1),IF(ROUND(100/E64*F64-100,1)&gt;999,999,-999)))</f>
        <v>-100</v>
      </c>
      <c r="H64" s="195">
        <f>SUM(H29+H62)</f>
        <v>319631.94500000001</v>
      </c>
      <c r="I64" s="415">
        <f>SUM(I29+I62)</f>
        <v>360120.46593875001</v>
      </c>
      <c r="J64" s="414">
        <f t="shared" si="13"/>
        <v>12.7</v>
      </c>
      <c r="K64" s="195">
        <v>9553.6353469400001</v>
      </c>
      <c r="L64" s="415">
        <f>SUM(L29+L62)</f>
        <v>10986.34101932</v>
      </c>
      <c r="M64" s="414">
        <f>IF(K64=0, "    ---- ", IF(ABS(ROUND(100/K64*L64-100,1))&lt;999,ROUND(100/K64*L64-100,1),IF(ROUND(100/K64*L64-100,1)&gt;999,999,-999)))</f>
        <v>15</v>
      </c>
      <c r="N64" s="195">
        <f>SUM(N29+N62)</f>
        <v>6024.1</v>
      </c>
      <c r="O64" s="415">
        <f>SUM(O29+O62)</f>
        <v>2369.2070000000003</v>
      </c>
      <c r="P64" s="414">
        <f>IF(N64=0, "    ---- ", IF(ABS(ROUND(100/N64*O64-100,1))&lt;999,ROUND(100/N64*O64-100,1),IF(ROUND(100/N64*O64-100,1)&gt;999,999,-999)))</f>
        <v>-60.7</v>
      </c>
      <c r="Q64" s="195">
        <f>SUM(Q29+Q62)</f>
        <v>34956.200000000004</v>
      </c>
      <c r="R64" s="415">
        <f>SUM(R29+R62)</f>
        <v>45804.4</v>
      </c>
      <c r="S64" s="423">
        <f>IF(Q64=0, "    ---- ", IF(ABS(ROUND(100/Q64*R64-100,1))&lt;999,ROUND(100/Q64*R64-100,1),IF(ROUND(100/Q64*R64-100,1)&gt;999,999,-999)))</f>
        <v>31</v>
      </c>
      <c r="T64" s="195">
        <f>SUM(T29+T62)</f>
        <v>149.58546472</v>
      </c>
      <c r="U64" s="415">
        <f>SUM(U29+U62)</f>
        <v>157.74681726</v>
      </c>
      <c r="V64" s="414">
        <f>IF(T64=0, "    ---- ", IF(ABS(ROUND(100/T64*U64-100,1))&lt;999,ROUND(100/T64*U64-100,1),IF(ROUND(100/T64*U64-100,1)&gt;999,999,-999)))</f>
        <v>5.5</v>
      </c>
      <c r="W64" s="195">
        <v>618800.65435415006</v>
      </c>
      <c r="X64" s="415">
        <f>SUM(X29+X62)</f>
        <v>650623.37779499998</v>
      </c>
      <c r="Y64" s="414">
        <f>IF(W64=0, "    ---- ", IF(ABS(ROUND(100/W64*X64-100,1))&lt;999,ROUND(100/W64*X64-100,1),IF(ROUND(100/W64*X64-100,1)&gt;999,999,-999)))</f>
        <v>5.0999999999999996</v>
      </c>
      <c r="Z64" s="195">
        <f>SUM(Z29+Z62)</f>
        <v>134446.71999802999</v>
      </c>
      <c r="AA64" s="415">
        <f>SUM(AA29+AA62)</f>
        <v>172216.32583937002</v>
      </c>
      <c r="AB64" s="414">
        <f t="shared" si="20"/>
        <v>28.1</v>
      </c>
      <c r="AC64" s="195">
        <f>SUM(AC29+AC62)</f>
        <v>100304</v>
      </c>
      <c r="AD64" s="415">
        <f>SUM(AD29+AD62)</f>
        <v>116549</v>
      </c>
      <c r="AE64" s="414">
        <f>IF(AC64=0, "    ---- ", IF(ABS(ROUND(100/AC64*AD64-100,1))&lt;999,ROUND(100/AC64*AD64-100,1),IF(ROUND(100/AC64*AD64-100,1)&gt;999,999,-999)))</f>
        <v>16.2</v>
      </c>
      <c r="AF64" s="195">
        <f>SUM(AF29+AF62)</f>
        <v>2356.3565215699996</v>
      </c>
      <c r="AG64" s="415">
        <f>SUM(AG29+AG62)</f>
        <v>3147.5923068500001</v>
      </c>
      <c r="AH64" s="414">
        <f>IF(AF64=0, "    ---- ", IF(ABS(ROUND(100/AF64*AG64-100,1))&lt;999,ROUND(100/AF64*AG64-100,1),IF(ROUND(100/AF64*AG64-100,1)&gt;999,999,-999)))</f>
        <v>33.6</v>
      </c>
      <c r="AI64" s="195">
        <f>SUM(AI29+AI62)</f>
        <v>60798.855000000003</v>
      </c>
      <c r="AJ64" s="415">
        <f>SUM(AJ29+AJ62)</f>
        <v>77098.079000000012</v>
      </c>
      <c r="AK64" s="414">
        <f t="shared" si="15"/>
        <v>26.8</v>
      </c>
      <c r="AL64" s="195">
        <f>SUM(AL29+AL62)</f>
        <v>350265</v>
      </c>
      <c r="AM64" s="415">
        <f>SUM(AM29+AM62)</f>
        <v>390309.69999999995</v>
      </c>
      <c r="AN64" s="414">
        <f t="shared" si="21"/>
        <v>11.4</v>
      </c>
      <c r="AO64" s="658">
        <f>B64+H64+K64+N64+Q64+W64+E64+Z64+AC64+AI64+AL64</f>
        <v>1662592.14469912</v>
      </c>
      <c r="AP64" s="658">
        <f>C64+I64+L64+O64+R64+X64+F64+AA64+AD64+AJ64+AM64</f>
        <v>1853814.4935924399</v>
      </c>
      <c r="AQ64" s="414">
        <f t="shared" si="17"/>
        <v>11.5</v>
      </c>
      <c r="AR64" s="426">
        <f>B64+H64+K64+N64+Q64+T64+W64+E64+Z64+AC64+AF64+AI64+AL64</f>
        <v>1665098.08668541</v>
      </c>
      <c r="AS64" s="426">
        <f>C64+I64+L64+O64+R64+U64+X64+F64+AA64+AD64+AG64+AJ64+AM64</f>
        <v>1857119.83271655</v>
      </c>
      <c r="AT64" s="425">
        <f t="shared" si="19"/>
        <v>11.5</v>
      </c>
    </row>
    <row r="65" spans="1:46" s="441" customFormat="1" ht="20.100000000000001" customHeight="1" x14ac:dyDescent="0.3">
      <c r="A65" s="437"/>
      <c r="B65" s="193"/>
      <c r="C65" s="421"/>
      <c r="D65" s="314"/>
      <c r="E65" s="193"/>
      <c r="F65" s="421"/>
      <c r="G65" s="314"/>
      <c r="H65" s="193"/>
      <c r="I65" s="421"/>
      <c r="J65" s="314"/>
      <c r="K65" s="193"/>
      <c r="L65" s="421"/>
      <c r="M65" s="314"/>
      <c r="N65" s="193"/>
      <c r="O65" s="421"/>
      <c r="P65" s="314"/>
      <c r="Q65" s="193"/>
      <c r="R65" s="421"/>
      <c r="S65" s="411"/>
      <c r="T65" s="193"/>
      <c r="U65" s="421"/>
      <c r="V65" s="314"/>
      <c r="W65" s="193"/>
      <c r="X65" s="421"/>
      <c r="Y65" s="314"/>
      <c r="Z65" s="193"/>
      <c r="AA65" s="421"/>
      <c r="AB65" s="314"/>
      <c r="AC65" s="193"/>
      <c r="AD65" s="421"/>
      <c r="AE65" s="314"/>
      <c r="AF65" s="193"/>
      <c r="AG65" s="421"/>
      <c r="AH65" s="314"/>
      <c r="AI65" s="193"/>
      <c r="AJ65" s="421"/>
      <c r="AK65" s="314"/>
      <c r="AL65" s="193"/>
      <c r="AM65" s="421"/>
      <c r="AN65" s="314"/>
      <c r="AO65" s="411"/>
      <c r="AP65" s="411"/>
      <c r="AQ65" s="314"/>
      <c r="AR65" s="413"/>
      <c r="AS65" s="413"/>
      <c r="AT65" s="422"/>
    </row>
    <row r="66" spans="1:46" s="441" customFormat="1" ht="20.100000000000001" customHeight="1" x14ac:dyDescent="0.3">
      <c r="A66" s="433" t="s">
        <v>211</v>
      </c>
      <c r="B66" s="193"/>
      <c r="C66" s="421"/>
      <c r="D66" s="314"/>
      <c r="E66" s="193"/>
      <c r="F66" s="421"/>
      <c r="G66" s="314"/>
      <c r="H66" s="193"/>
      <c r="I66" s="421"/>
      <c r="J66" s="314"/>
      <c r="K66" s="193"/>
      <c r="L66" s="421"/>
      <c r="M66" s="314"/>
      <c r="N66" s="193"/>
      <c r="O66" s="421"/>
      <c r="P66" s="314"/>
      <c r="Q66" s="193"/>
      <c r="R66" s="421"/>
      <c r="S66" s="411"/>
      <c r="T66" s="193"/>
      <c r="U66" s="421"/>
      <c r="V66" s="314"/>
      <c r="W66" s="193"/>
      <c r="X66" s="421"/>
      <c r="Y66" s="314"/>
      <c r="Z66" s="193"/>
      <c r="AA66" s="421"/>
      <c r="AB66" s="314"/>
      <c r="AC66" s="193"/>
      <c r="AD66" s="421"/>
      <c r="AE66" s="314"/>
      <c r="AF66" s="193"/>
      <c r="AG66" s="421"/>
      <c r="AH66" s="314"/>
      <c r="AI66" s="193"/>
      <c r="AJ66" s="421"/>
      <c r="AK66" s="314"/>
      <c r="AL66" s="193"/>
      <c r="AM66" s="421"/>
      <c r="AN66" s="314"/>
      <c r="AO66" s="411"/>
      <c r="AP66" s="411"/>
      <c r="AQ66" s="314"/>
      <c r="AR66" s="413"/>
      <c r="AS66" s="413"/>
      <c r="AT66" s="422"/>
    </row>
    <row r="67" spans="1:46" s="441" customFormat="1" ht="20.100000000000001" customHeight="1" x14ac:dyDescent="0.3">
      <c r="A67" s="433"/>
      <c r="B67" s="193"/>
      <c r="C67" s="421"/>
      <c r="D67" s="314"/>
      <c r="E67" s="193"/>
      <c r="F67" s="421"/>
      <c r="G67" s="314"/>
      <c r="H67" s="193"/>
      <c r="I67" s="421"/>
      <c r="J67" s="314"/>
      <c r="K67" s="193"/>
      <c r="L67" s="421"/>
      <c r="M67" s="314"/>
      <c r="N67" s="193"/>
      <c r="O67" s="421"/>
      <c r="P67" s="314"/>
      <c r="Q67" s="193"/>
      <c r="R67" s="421"/>
      <c r="S67" s="411"/>
      <c r="T67" s="193"/>
      <c r="U67" s="421"/>
      <c r="V67" s="314"/>
      <c r="W67" s="193"/>
      <c r="X67" s="421"/>
      <c r="Y67" s="314"/>
      <c r="Z67" s="193"/>
      <c r="AA67" s="421"/>
      <c r="AB67" s="314"/>
      <c r="AC67" s="193"/>
      <c r="AD67" s="421"/>
      <c r="AE67" s="314"/>
      <c r="AF67" s="193"/>
      <c r="AG67" s="421"/>
      <c r="AH67" s="314"/>
      <c r="AI67" s="193"/>
      <c r="AJ67" s="421"/>
      <c r="AK67" s="314"/>
      <c r="AL67" s="193"/>
      <c r="AM67" s="421"/>
      <c r="AN67" s="314"/>
      <c r="AO67" s="411"/>
      <c r="AP67" s="411"/>
      <c r="AQ67" s="314"/>
      <c r="AR67" s="413"/>
      <c r="AS67" s="413"/>
      <c r="AT67" s="422"/>
    </row>
    <row r="68" spans="1:46" s="441" customFormat="1" ht="20.100000000000001" customHeight="1" x14ac:dyDescent="0.3">
      <c r="A68" s="435" t="s">
        <v>212</v>
      </c>
      <c r="B68" s="193">
        <v>406</v>
      </c>
      <c r="C68" s="421">
        <v>406.16</v>
      </c>
      <c r="D68" s="314">
        <f>IF(B68=0, "    ---- ", IF(ABS(ROUND(100/B68*C68-100,1))&lt;999,ROUND(100/B68*C68-100,1),IF(ROUND(100/B68*C68-100,1)&gt;999,999,-999)))</f>
        <v>0</v>
      </c>
      <c r="E68" s="193">
        <v>841.3</v>
      </c>
      <c r="F68" s="421"/>
      <c r="G68" s="314">
        <f>IF(E68=0, "    ---- ", IF(ABS(ROUND(100/E68*F68-100,1))&lt;999,ROUND(100/E68*F68-100,1),IF(ROUND(100/E68*F68-100,1)&gt;999,999,-999)))</f>
        <v>-100</v>
      </c>
      <c r="H68" s="193">
        <v>7657.0529999999999</v>
      </c>
      <c r="I68" s="421">
        <v>7657.0531522000001</v>
      </c>
      <c r="J68" s="314">
        <f t="shared" si="13"/>
        <v>0</v>
      </c>
      <c r="K68" s="193">
        <v>1000.0999999999999</v>
      </c>
      <c r="L68" s="421">
        <v>2452.057311</v>
      </c>
      <c r="M68" s="314">
        <f>IF(K68=0, "    ---- ", IF(ABS(ROUND(100/K68*L68-100,1))&lt;999,ROUND(100/K68*L68-100,1),IF(ROUND(100/K68*L68-100,1)&gt;999,999,-999)))</f>
        <v>145.19999999999999</v>
      </c>
      <c r="N68" s="193">
        <v>210</v>
      </c>
      <c r="O68" s="421">
        <v>210</v>
      </c>
      <c r="P68" s="314">
        <f>IF(N68=0, "    ---- ", IF(ABS(ROUND(100/N68*O68-100,1))&lt;999,ROUND(100/N68*O68-100,1),IF(ROUND(100/N68*O68-100,1)&gt;999,999,-999)))</f>
        <v>0</v>
      </c>
      <c r="Q68" s="193">
        <v>121.6</v>
      </c>
      <c r="R68" s="421">
        <v>121.8</v>
      </c>
      <c r="S68" s="411">
        <f>IF(Q68=0, "    ---- ", IF(ABS(ROUND(100/Q68*R68-100,1))&lt;999,ROUND(100/Q68*R68-100,1),IF(ROUND(100/Q68*R68-100,1)&gt;999,999,-999)))</f>
        <v>0.2</v>
      </c>
      <c r="T68" s="193">
        <v>5</v>
      </c>
      <c r="U68" s="421">
        <v>5</v>
      </c>
      <c r="V68" s="314">
        <f>IF(T68=0, "    ---- ", IF(ABS(ROUND(100/T68*U68-100,1))&lt;999,ROUND(100/T68*U68-100,1),IF(ROUND(100/T68*U68-100,1)&gt;999,999,-999)))</f>
        <v>0</v>
      </c>
      <c r="W68" s="193">
        <v>16307.474011</v>
      </c>
      <c r="X68" s="421">
        <v>17918.880185000002</v>
      </c>
      <c r="Y68" s="314">
        <f t="shared" ref="Y68:Y79" si="28">IF(W68=0, "    ---- ", IF(ABS(ROUND(100/W68*X68-100,1))&lt;999,ROUND(100/W68*X68-100,1),IF(ROUND(100/W68*X68-100,1)&gt;999,999,-999)))</f>
        <v>9.9</v>
      </c>
      <c r="Z68" s="193">
        <v>1126.76</v>
      </c>
      <c r="AA68" s="421">
        <v>1126.76</v>
      </c>
      <c r="AB68" s="314">
        <f t="shared" si="20"/>
        <v>0</v>
      </c>
      <c r="AC68" s="193">
        <v>1430</v>
      </c>
      <c r="AD68" s="421">
        <v>1430</v>
      </c>
      <c r="AE68" s="314">
        <f>IF(AC68=0, "    ---- ", IF(ABS(ROUND(100/AC68*AD68-100,1))&lt;999,ROUND(100/AC68*AD68-100,1),IF(ROUND(100/AC68*AD68-100,1)&gt;999,999,-999)))</f>
        <v>0</v>
      </c>
      <c r="AF68" s="193">
        <v>48.519831859999996</v>
      </c>
      <c r="AG68" s="421">
        <v>48.519831859999996</v>
      </c>
      <c r="AH68" s="314">
        <f>IF(AF68=0, "    ---- ", IF(ABS(ROUND(100/AF68*AG68-100,1))&lt;999,ROUND(100/AF68*AG68-100,1),IF(ROUND(100/AF68*AG68-100,1)&gt;999,999,-999)))</f>
        <v>0</v>
      </c>
      <c r="AI68" s="193">
        <v>3350.7849999999999</v>
      </c>
      <c r="AJ68" s="421">
        <v>4257.0320000000002</v>
      </c>
      <c r="AK68" s="314">
        <f t="shared" si="15"/>
        <v>27</v>
      </c>
      <c r="AL68" s="193">
        <v>13850</v>
      </c>
      <c r="AM68" s="421">
        <v>14361</v>
      </c>
      <c r="AN68" s="314">
        <f t="shared" si="21"/>
        <v>3.7</v>
      </c>
      <c r="AO68" s="579">
        <f t="shared" ref="AO68:AP71" si="29">B68+H68+K68+N68+Q68+W68+E68+Z68+AC68+AI68+AL68</f>
        <v>46301.072010999997</v>
      </c>
      <c r="AP68" s="579">
        <f t="shared" si="29"/>
        <v>49940.742648200001</v>
      </c>
      <c r="AQ68" s="314">
        <f t="shared" si="17"/>
        <v>7.9</v>
      </c>
      <c r="AR68" s="419">
        <f t="shared" ref="AR68:AS71" si="30">B68+H68+K68+N68+Q68+T68+W68+E68+Z68+AC68+AF68+AI68+AL68</f>
        <v>46354.591842859998</v>
      </c>
      <c r="AS68" s="419">
        <f t="shared" si="30"/>
        <v>49994.262480060002</v>
      </c>
      <c r="AT68" s="422">
        <f t="shared" si="19"/>
        <v>7.9</v>
      </c>
    </row>
    <row r="69" spans="1:46" s="441" customFormat="1" ht="20.100000000000001" customHeight="1" x14ac:dyDescent="0.3">
      <c r="A69" s="435" t="s">
        <v>213</v>
      </c>
      <c r="B69" s="193">
        <v>516.298</v>
      </c>
      <c r="C69" s="421">
        <v>619.32500000000005</v>
      </c>
      <c r="D69" s="314">
        <f>IF(B69=0, "    ---- ", IF(ABS(ROUND(100/B69*C69-100,1))&lt;999,ROUND(100/B69*C69-100,1),IF(ROUND(100/B69*C69-100,1)&gt;999,999,-999)))</f>
        <v>20</v>
      </c>
      <c r="E69" s="193">
        <v>-267.2</v>
      </c>
      <c r="F69" s="421"/>
      <c r="G69" s="314">
        <f>IF(E69=0, "    ---- ", IF(ABS(ROUND(100/E69*F69-100,1))&lt;999,ROUND(100/E69*F69-100,1),IF(ROUND(100/E69*F69-100,1)&gt;999,999,-999)))</f>
        <v>-100</v>
      </c>
      <c r="H69" s="193">
        <v>14209.995000000001</v>
      </c>
      <c r="I69" s="421">
        <v>17120.484398820001</v>
      </c>
      <c r="J69" s="314">
        <f t="shared" si="13"/>
        <v>20.5</v>
      </c>
      <c r="K69" s="193">
        <v>-171.73736573999997</v>
      </c>
      <c r="L69" s="421">
        <v>170.52977622000154</v>
      </c>
      <c r="M69" s="314">
        <f>IF(K69=0, "    ---- ", IF(ABS(ROUND(100/K69*L69-100,1))&lt;999,ROUND(100/K69*L69-100,1),IF(ROUND(100/K69*L69-100,1)&gt;999,999,-999)))</f>
        <v>-199.3</v>
      </c>
      <c r="N69" s="193">
        <v>303.947</v>
      </c>
      <c r="O69" s="421">
        <v>289.858</v>
      </c>
      <c r="P69" s="314">
        <f>IF(N69=0, "    ---- ", IF(ABS(ROUND(100/N69*O69-100,1))&lt;999,ROUND(100/N69*O69-100,1),IF(ROUND(100/N69*O69-100,1)&gt;999,999,-999)))</f>
        <v>-4.5999999999999996</v>
      </c>
      <c r="Q69" s="193">
        <v>807.7</v>
      </c>
      <c r="R69" s="421">
        <v>938.9</v>
      </c>
      <c r="S69" s="411">
        <f>IF(Q69=0, "    ---- ", IF(ABS(ROUND(100/Q69*R69-100,1))&lt;999,ROUND(100/Q69*R69-100,1),IF(ROUND(100/Q69*R69-100,1)&gt;999,999,-999)))</f>
        <v>16.2</v>
      </c>
      <c r="T69" s="193">
        <v>89.992793399999996</v>
      </c>
      <c r="U69" s="421">
        <v>103.85169184</v>
      </c>
      <c r="V69" s="314">
        <f>IF(T69=0, "    ---- ", IF(ABS(ROUND(100/T69*U69-100,1))&lt;999,ROUND(100/T69*U69-100,1),IF(ROUND(100/T69*U69-100,1)&gt;999,999,-999)))</f>
        <v>15.4</v>
      </c>
      <c r="W69" s="193">
        <v>20507.28352967</v>
      </c>
      <c r="X69" s="421">
        <f>21188.39239167+5508.52907862002</f>
        <v>26696.921470290021</v>
      </c>
      <c r="Y69" s="314">
        <f t="shared" si="28"/>
        <v>30.2</v>
      </c>
      <c r="Z69" s="193">
        <v>6958.61</v>
      </c>
      <c r="AA69" s="421">
        <v>7593.34</v>
      </c>
      <c r="AB69" s="314">
        <f t="shared" si="20"/>
        <v>9.1</v>
      </c>
      <c r="AC69" s="193">
        <v>7928</v>
      </c>
      <c r="AD69" s="421">
        <v>9168</v>
      </c>
      <c r="AE69" s="314">
        <f>IF(AC69=0, "    ---- ", IF(ABS(ROUND(100/AC69*AD69-100,1))&lt;999,ROUND(100/AC69*AD69-100,1),IF(ROUND(100/AC69*AD69-100,1)&gt;999,999,-999)))</f>
        <v>15.6</v>
      </c>
      <c r="AF69" s="193">
        <v>17.699592229999801</v>
      </c>
      <c r="AG69" s="421">
        <v>31.59700818</v>
      </c>
      <c r="AH69" s="314">
        <f>IF(AF69=0, "    ---- ", IF(ABS(ROUND(100/AF69*AG69-100,1))&lt;999,ROUND(100/AF69*AG69-100,1),IF(ROUND(100/AF69*AG69-100,1)&gt;999,999,-999)))</f>
        <v>78.5</v>
      </c>
      <c r="AI69" s="193">
        <v>1565.7090000000001</v>
      </c>
      <c r="AJ69" s="421">
        <v>885.29399999999998</v>
      </c>
      <c r="AK69" s="314">
        <f t="shared" si="15"/>
        <v>-43.5</v>
      </c>
      <c r="AL69" s="193">
        <v>11819</v>
      </c>
      <c r="AM69" s="421">
        <v>12374</v>
      </c>
      <c r="AN69" s="314">
        <f t="shared" si="21"/>
        <v>4.7</v>
      </c>
      <c r="AO69" s="579">
        <f t="shared" si="29"/>
        <v>64177.605163930006</v>
      </c>
      <c r="AP69" s="579">
        <f t="shared" si="29"/>
        <v>75856.652645330032</v>
      </c>
      <c r="AQ69" s="314">
        <f t="shared" si="17"/>
        <v>18.2</v>
      </c>
      <c r="AR69" s="419">
        <f t="shared" si="30"/>
        <v>64285.297549560004</v>
      </c>
      <c r="AS69" s="419">
        <f t="shared" si="30"/>
        <v>75992.10134535002</v>
      </c>
      <c r="AT69" s="422">
        <f t="shared" si="19"/>
        <v>18.2</v>
      </c>
    </row>
    <row r="70" spans="1:46" s="441" customFormat="1" ht="20.100000000000001" customHeight="1" x14ac:dyDescent="0.3">
      <c r="A70" s="435" t="s">
        <v>214</v>
      </c>
      <c r="B70" s="193">
        <v>7.9089999999999998</v>
      </c>
      <c r="C70" s="421">
        <v>8.0370000000000008</v>
      </c>
      <c r="D70" s="314"/>
      <c r="E70" s="193">
        <v>7.2</v>
      </c>
      <c r="F70" s="421"/>
      <c r="G70" s="314">
        <f>IF(E70=0, "    ---- ", IF(ABS(ROUND(100/E70*F70-100,1))&lt;999,ROUND(100/E70*F70-100,1),IF(ROUND(100/E70*F70-100,1)&gt;999,999,-999)))</f>
        <v>-100</v>
      </c>
      <c r="H70" s="193">
        <v>715.149</v>
      </c>
      <c r="I70" s="421">
        <v>808.35995328000001</v>
      </c>
      <c r="J70" s="314">
        <f>IF(H70=0, "    ---- ", IF(ABS(ROUND(100/H70*I70-100,1))&lt;999,ROUND(100/H70*I70-100,1),IF(ROUND(100/H70*I70-100,1)&gt;999,999,-999)))</f>
        <v>13</v>
      </c>
      <c r="K70" s="193"/>
      <c r="L70" s="421"/>
      <c r="M70" s="314"/>
      <c r="N70" s="193">
        <v>75.566999999999993</v>
      </c>
      <c r="O70" s="421">
        <v>62.503</v>
      </c>
      <c r="P70" s="314"/>
      <c r="Q70" s="193">
        <v>38</v>
      </c>
      <c r="R70" s="421">
        <v>35.200000000000003</v>
      </c>
      <c r="S70" s="314">
        <f>IF(Q70=0, "    ---- ", IF(ABS(ROUND(100/Q70*R70-100,1))&lt;999,ROUND(100/Q70*R70-100,1),IF(ROUND(100/Q70*R70-100,1)&gt;999,999,-999)))</f>
        <v>-7.4</v>
      </c>
      <c r="T70" s="193"/>
      <c r="U70" s="421"/>
      <c r="V70" s="314"/>
      <c r="W70" s="193">
        <v>5669.5692120000003</v>
      </c>
      <c r="X70" s="421">
        <v>5404.3820040000001</v>
      </c>
      <c r="Y70" s="314">
        <f t="shared" si="28"/>
        <v>-4.7</v>
      </c>
      <c r="Z70" s="193">
        <v>35.01</v>
      </c>
      <c r="AA70" s="421">
        <v>71.14</v>
      </c>
      <c r="AB70" s="314">
        <f t="shared" si="20"/>
        <v>103.2</v>
      </c>
      <c r="AC70" s="193"/>
      <c r="AD70" s="421"/>
      <c r="AE70" s="314" t="str">
        <f>IF(AC70=0, "    ---- ", IF(ABS(ROUND(100/AC70*AD70-100,1))&lt;999,ROUND(100/AC70*AD70-100,1),IF(ROUND(100/AC70*AD70-100,1)&gt;999,999,-999)))</f>
        <v xml:space="preserve">    ---- </v>
      </c>
      <c r="AF70" s="193"/>
      <c r="AG70" s="421"/>
      <c r="AH70" s="314"/>
      <c r="AI70" s="193">
        <v>126.782</v>
      </c>
      <c r="AJ70" s="421">
        <v>164.09100000000001</v>
      </c>
      <c r="AK70" s="314">
        <f>IF(AI70=0, "    ---- ", IF(ABS(ROUND(100/AI70*AJ70-100,1))&lt;999,ROUND(100/AI70*AJ70-100,1),IF(ROUND(100/AI70*AJ70-100,1)&gt;999,999,-999)))</f>
        <v>29.4</v>
      </c>
      <c r="AL70" s="193">
        <v>442</v>
      </c>
      <c r="AM70" s="421">
        <v>430</v>
      </c>
      <c r="AN70" s="314">
        <f t="shared" si="21"/>
        <v>-2.7</v>
      </c>
      <c r="AO70" s="579">
        <f t="shared" si="29"/>
        <v>7117.1862120000005</v>
      </c>
      <c r="AP70" s="579">
        <f t="shared" si="29"/>
        <v>6983.7129572800013</v>
      </c>
      <c r="AQ70" s="314">
        <f t="shared" si="17"/>
        <v>-1.9</v>
      </c>
      <c r="AR70" s="419">
        <f t="shared" si="30"/>
        <v>7117.1862120000005</v>
      </c>
      <c r="AS70" s="419">
        <f t="shared" si="30"/>
        <v>6983.7129572800013</v>
      </c>
      <c r="AT70" s="422">
        <f t="shared" si="19"/>
        <v>-1.9</v>
      </c>
    </row>
    <row r="71" spans="1:46" s="441" customFormat="1" ht="20.100000000000001" customHeight="1" x14ac:dyDescent="0.3">
      <c r="A71" s="435" t="s">
        <v>215</v>
      </c>
      <c r="B71" s="193"/>
      <c r="C71" s="421"/>
      <c r="D71" s="314"/>
      <c r="E71" s="193"/>
      <c r="F71" s="421"/>
      <c r="G71" s="314"/>
      <c r="H71" s="193">
        <v>7000</v>
      </c>
      <c r="I71" s="421">
        <v>7000</v>
      </c>
      <c r="J71" s="314">
        <f t="shared" si="13"/>
        <v>0</v>
      </c>
      <c r="K71" s="193">
        <v>300</v>
      </c>
      <c r="L71" s="421">
        <v>550</v>
      </c>
      <c r="M71" s="314"/>
      <c r="N71" s="193"/>
      <c r="O71" s="421"/>
      <c r="P71" s="314"/>
      <c r="Q71" s="193">
        <v>299.8</v>
      </c>
      <c r="R71" s="421">
        <v>300</v>
      </c>
      <c r="S71" s="411"/>
      <c r="T71" s="193"/>
      <c r="U71" s="421"/>
      <c r="V71" s="314"/>
      <c r="W71" s="193">
        <v>9411.9510161899998</v>
      </c>
      <c r="X71" s="421">
        <v>4668.38307128</v>
      </c>
      <c r="Y71" s="314">
        <f t="shared" si="28"/>
        <v>-50.4</v>
      </c>
      <c r="Z71" s="193">
        <v>2830</v>
      </c>
      <c r="AA71" s="421">
        <v>2830</v>
      </c>
      <c r="AB71" s="314">
        <f t="shared" si="20"/>
        <v>0</v>
      </c>
      <c r="AC71" s="193">
        <v>1240</v>
      </c>
      <c r="AD71" s="421">
        <v>1240</v>
      </c>
      <c r="AE71" s="314">
        <f>IF(AC71=0, "    ---- ", IF(ABS(ROUND(100/AC71*AD71-100,1))&lt;999,ROUND(100/AC71*AD71-100,1),IF(ROUND(100/AC71*AD71-100,1)&gt;999,999,-999)))</f>
        <v>0</v>
      </c>
      <c r="AF71" s="193"/>
      <c r="AG71" s="421"/>
      <c r="AH71" s="314"/>
      <c r="AI71" s="193">
        <v>1000</v>
      </c>
      <c r="AJ71" s="421">
        <v>1000</v>
      </c>
      <c r="AK71" s="314">
        <f t="shared" si="15"/>
        <v>0</v>
      </c>
      <c r="AL71" s="193">
        <v>8797</v>
      </c>
      <c r="AM71" s="421">
        <v>10908</v>
      </c>
      <c r="AN71" s="314">
        <f t="shared" si="21"/>
        <v>24</v>
      </c>
      <c r="AO71" s="579">
        <f t="shared" si="29"/>
        <v>30878.751016189999</v>
      </c>
      <c r="AP71" s="579">
        <f t="shared" si="29"/>
        <v>28496.383071280001</v>
      </c>
      <c r="AQ71" s="314">
        <f t="shared" si="17"/>
        <v>-7.7</v>
      </c>
      <c r="AR71" s="419">
        <f t="shared" si="30"/>
        <v>30878.751016189999</v>
      </c>
      <c r="AS71" s="419">
        <f t="shared" si="30"/>
        <v>28496.383071280001</v>
      </c>
      <c r="AT71" s="422">
        <f t="shared" si="19"/>
        <v>-7.7</v>
      </c>
    </row>
    <row r="72" spans="1:46" s="441" customFormat="1" ht="20.100000000000001" customHeight="1" x14ac:dyDescent="0.3">
      <c r="A72" s="435" t="s">
        <v>216</v>
      </c>
      <c r="B72" s="193"/>
      <c r="C72" s="421"/>
      <c r="D72" s="314"/>
      <c r="E72" s="193"/>
      <c r="F72" s="421"/>
      <c r="G72" s="314"/>
      <c r="H72" s="193"/>
      <c r="I72" s="421"/>
      <c r="J72" s="314"/>
      <c r="K72" s="193"/>
      <c r="L72" s="421"/>
      <c r="M72" s="314"/>
      <c r="N72" s="193"/>
      <c r="O72" s="421"/>
      <c r="P72" s="314"/>
      <c r="Q72" s="193"/>
      <c r="R72" s="421"/>
      <c r="S72" s="411"/>
      <c r="T72" s="193"/>
      <c r="U72" s="421"/>
      <c r="V72" s="314"/>
      <c r="W72" s="193"/>
      <c r="X72" s="421"/>
      <c r="Y72" s="314"/>
      <c r="Z72" s="193"/>
      <c r="AA72" s="421"/>
      <c r="AB72" s="314"/>
      <c r="AC72" s="193"/>
      <c r="AD72" s="421"/>
      <c r="AE72" s="314"/>
      <c r="AF72" s="193"/>
      <c r="AG72" s="421"/>
      <c r="AH72" s="314"/>
      <c r="AI72" s="193"/>
      <c r="AJ72" s="421"/>
      <c r="AK72" s="314"/>
      <c r="AL72" s="193"/>
      <c r="AM72" s="421"/>
      <c r="AN72" s="314"/>
      <c r="AO72" s="411"/>
      <c r="AP72" s="411"/>
      <c r="AQ72" s="314"/>
      <c r="AR72" s="413"/>
      <c r="AS72" s="413"/>
      <c r="AT72" s="422"/>
    </row>
    <row r="73" spans="1:46" s="441" customFormat="1" ht="20.100000000000001" customHeight="1" x14ac:dyDescent="0.3">
      <c r="A73" s="435" t="s">
        <v>373</v>
      </c>
      <c r="B73" s="193">
        <v>1060.7139999999999</v>
      </c>
      <c r="C73" s="421">
        <v>1200.7619999999999</v>
      </c>
      <c r="D73" s="314">
        <f>IF(B73=0, "    ---- ", IF(ABS(ROUND(100/B73*C73-100,1))&lt;999,ROUND(100/B73*C73-100,1),IF(ROUND(100/B73*C73-100,1)&gt;999,999,-999)))</f>
        <v>13.2</v>
      </c>
      <c r="E73" s="193">
        <v>1640.4</v>
      </c>
      <c r="F73" s="421"/>
      <c r="G73" s="314">
        <f>IF(E73=0, "    ---- ", IF(ABS(ROUND(100/E73*F73-100,1))&lt;999,ROUND(100/E73*F73-100,1),IF(ROUND(100/E73*F73-100,1)&gt;999,999,-999)))</f>
        <v>-100</v>
      </c>
      <c r="H73" s="193">
        <v>191488.198</v>
      </c>
      <c r="I73" s="421">
        <v>191969.48911904002</v>
      </c>
      <c r="J73" s="314">
        <f t="shared" si="13"/>
        <v>0.3</v>
      </c>
      <c r="K73" s="193">
        <v>6469.3809221399997</v>
      </c>
      <c r="L73" s="421">
        <v>7147.0598160899981</v>
      </c>
      <c r="M73" s="314">
        <f>IF(K73=0, "    ---- ", IF(ABS(ROUND(100/K73*L73-100,1))&lt;999,ROUND(100/K73*L73-100,1),IF(ROUND(100/K73*L73-100,1)&gt;999,999,-999)))</f>
        <v>10.5</v>
      </c>
      <c r="N73" s="193">
        <v>1497.1030000000001</v>
      </c>
      <c r="O73" s="421">
        <v>1486.934</v>
      </c>
      <c r="P73" s="314">
        <f>IF(N73=0, "    ---- ", IF(ABS(ROUND(100/N73*O73-100,1))&lt;999,ROUND(100/N73*O73-100,1),IF(ROUND(100/N73*O73-100,1)&gt;999,999,-999)))</f>
        <v>-0.7</v>
      </c>
      <c r="Q73" s="193">
        <v>7012.6</v>
      </c>
      <c r="R73" s="421">
        <v>7553.3</v>
      </c>
      <c r="S73" s="411">
        <f>IF(Q73=0, "    ---- ", IF(ABS(ROUND(100/Q73*R73-100,1))&lt;999,ROUND(100/Q73*R73-100,1),IF(ROUND(100/Q73*R73-100,1)&gt;999,999,-999)))</f>
        <v>7.7</v>
      </c>
      <c r="T73" s="193">
        <v>50.701849670000001</v>
      </c>
      <c r="U73" s="421">
        <v>42.266233130000003</v>
      </c>
      <c r="V73" s="314">
        <f>IF(T73=0, "    ---- ", IF(ABS(ROUND(100/T73*U73-100,1))&lt;999,ROUND(100/T73*U73-100,1),IF(ROUND(100/T73*U73-100,1)&gt;999,999,-999)))</f>
        <v>-16.600000000000001</v>
      </c>
      <c r="W73" s="193">
        <v>460089.73457702005</v>
      </c>
      <c r="X73" s="421">
        <v>451196.40807189001</v>
      </c>
      <c r="Y73" s="314">
        <f t="shared" si="28"/>
        <v>-1.9</v>
      </c>
      <c r="Z73" s="193">
        <v>47243.54</v>
      </c>
      <c r="AA73" s="421">
        <v>48392.23</v>
      </c>
      <c r="AB73" s="314">
        <f t="shared" si="20"/>
        <v>2.4</v>
      </c>
      <c r="AC73" s="193">
        <v>66985</v>
      </c>
      <c r="AD73" s="421">
        <v>67128</v>
      </c>
      <c r="AE73" s="314">
        <f>IF(AC73=0, "    ---- ", IF(ABS(ROUND(100/AC73*AD73-100,1))&lt;999,ROUND(100/AC73*AD73-100,1),IF(ROUND(100/AC73*AD73-100,1)&gt;999,999,-999)))</f>
        <v>0.2</v>
      </c>
      <c r="AF73" s="193"/>
      <c r="AG73" s="421"/>
      <c r="AH73" s="314"/>
      <c r="AI73" s="193">
        <v>17683.335999999999</v>
      </c>
      <c r="AJ73" s="421">
        <v>18129.91</v>
      </c>
      <c r="AK73" s="314">
        <f t="shared" si="15"/>
        <v>2.5</v>
      </c>
      <c r="AL73" s="193">
        <v>173179</v>
      </c>
      <c r="AM73" s="421">
        <v>179675</v>
      </c>
      <c r="AN73" s="314">
        <f t="shared" si="21"/>
        <v>3.8</v>
      </c>
      <c r="AO73" s="579">
        <f t="shared" ref="AO73:AP79" si="31">B73+H73+K73+N73+Q73+W73+E73+Z73+AC73+AI73+AL73</f>
        <v>974349.00649916008</v>
      </c>
      <c r="AP73" s="579">
        <f t="shared" si="31"/>
        <v>973879.09300702007</v>
      </c>
      <c r="AQ73" s="314">
        <f t="shared" si="17"/>
        <v>0</v>
      </c>
      <c r="AR73" s="419">
        <f t="shared" ref="AR73:AS79" si="32">B73+H73+K73+N73+Q73+T73+W73+E73+Z73+AC73+AF73+AI73+AL73</f>
        <v>974399.70834883011</v>
      </c>
      <c r="AS73" s="419">
        <f t="shared" si="32"/>
        <v>973921.35924015008</v>
      </c>
      <c r="AT73" s="422">
        <f t="shared" si="19"/>
        <v>0</v>
      </c>
    </row>
    <row r="74" spans="1:46" s="441" customFormat="1" ht="20.100000000000001" customHeight="1" x14ac:dyDescent="0.3">
      <c r="A74" s="435" t="s">
        <v>217</v>
      </c>
      <c r="B74" s="193">
        <v>25.564</v>
      </c>
      <c r="C74" s="421">
        <v>26.885999999999999</v>
      </c>
      <c r="D74" s="314">
        <f>IF(B74=0, "    ---- ", IF(ABS(ROUND(100/B74*C74-100,1))&lt;999,ROUND(100/B74*C74-100,1),IF(ROUND(100/B74*C74-100,1)&gt;999,999,-999)))</f>
        <v>5.2</v>
      </c>
      <c r="E74" s="193">
        <v>110</v>
      </c>
      <c r="F74" s="421"/>
      <c r="G74" s="314">
        <f>IF(E74=0, "    ---- ", IF(ABS(ROUND(100/E74*F74-100,1))&lt;999,ROUND(100/E74*F74-100,1),IF(ROUND(100/E74*F74-100,1)&gt;999,999,-999)))</f>
        <v>-100</v>
      </c>
      <c r="H74" s="193">
        <v>6940.28</v>
      </c>
      <c r="I74" s="421">
        <v>6303.4139096199997</v>
      </c>
      <c r="J74" s="314">
        <f t="shared" si="13"/>
        <v>-9.1999999999999993</v>
      </c>
      <c r="K74" s="193"/>
      <c r="L74" s="421"/>
      <c r="M74" s="314" t="str">
        <f>IF(K74=0, "    ---- ", IF(ABS(ROUND(100/K74*L74-100,1))&lt;999,ROUND(100/K74*L74-100,1),IF(ROUND(100/K74*L74-100,1)&gt;999,999,-999)))</f>
        <v xml:space="preserve">    ---- </v>
      </c>
      <c r="N74" s="193">
        <v>7.64</v>
      </c>
      <c r="O74" s="421">
        <v>5.7919999999999998</v>
      </c>
      <c r="P74" s="314">
        <f>IF(N74=0, "    ---- ", IF(ABS(ROUND(100/N74*O74-100,1))&lt;999,ROUND(100/N74*O74-100,1),IF(ROUND(100/N74*O74-100,1)&gt;999,999,-999)))</f>
        <v>-24.2</v>
      </c>
      <c r="Q74" s="193">
        <v>284</v>
      </c>
      <c r="R74" s="421">
        <v>295.39999999999998</v>
      </c>
      <c r="S74" s="411">
        <f>IF(Q74=0, "    ---- ", IF(ABS(ROUND(100/Q74*R74-100,1))&lt;999,ROUND(100/Q74*R74-100,1),IF(ROUND(100/Q74*R74-100,1)&gt;999,999,-999)))</f>
        <v>4</v>
      </c>
      <c r="T74" s="210"/>
      <c r="U74" s="421"/>
      <c r="V74" s="314"/>
      <c r="W74" s="193">
        <v>36091.066907</v>
      </c>
      <c r="X74" s="421">
        <v>43325.559620519998</v>
      </c>
      <c r="Y74" s="314">
        <f t="shared" si="28"/>
        <v>20</v>
      </c>
      <c r="Z74" s="193">
        <v>2485.44</v>
      </c>
      <c r="AA74" s="421">
        <v>2588.09</v>
      </c>
      <c r="AB74" s="314">
        <f t="shared" si="20"/>
        <v>4.0999999999999996</v>
      </c>
      <c r="AC74" s="193">
        <v>7241</v>
      </c>
      <c r="AD74" s="421">
        <v>7896</v>
      </c>
      <c r="AE74" s="314">
        <f>IF(AC74=0, "    ---- ", IF(ABS(ROUND(100/AC74*AD74-100,1))&lt;999,ROUND(100/AC74*AD74-100,1),IF(ROUND(100/AC74*AD74-100,1)&gt;999,999,-999)))</f>
        <v>9</v>
      </c>
      <c r="AF74" s="193"/>
      <c r="AG74" s="421"/>
      <c r="AH74" s="314"/>
      <c r="AI74" s="193">
        <v>1333.191</v>
      </c>
      <c r="AJ74" s="421">
        <v>1201.2090000000001</v>
      </c>
      <c r="AK74" s="314">
        <f t="shared" si="15"/>
        <v>-9.9</v>
      </c>
      <c r="AL74" s="193">
        <v>8884</v>
      </c>
      <c r="AM74" s="421">
        <v>11592</v>
      </c>
      <c r="AN74" s="314">
        <f t="shared" si="21"/>
        <v>30.5</v>
      </c>
      <c r="AO74" s="579">
        <f t="shared" si="31"/>
        <v>63402.181906999998</v>
      </c>
      <c r="AP74" s="579">
        <f t="shared" si="31"/>
        <v>73234.35053014</v>
      </c>
      <c r="AQ74" s="314">
        <f t="shared" si="17"/>
        <v>15.5</v>
      </c>
      <c r="AR74" s="419">
        <f t="shared" si="32"/>
        <v>63402.181906999998</v>
      </c>
      <c r="AS74" s="419">
        <f t="shared" si="32"/>
        <v>73234.35053014</v>
      </c>
      <c r="AT74" s="422">
        <f t="shared" si="19"/>
        <v>15.5</v>
      </c>
    </row>
    <row r="75" spans="1:46" s="441" customFormat="1" ht="20.100000000000001" customHeight="1" x14ac:dyDescent="0.3">
      <c r="A75" s="435" t="s">
        <v>218</v>
      </c>
      <c r="B75" s="193">
        <v>24.056000000000001</v>
      </c>
      <c r="C75" s="421">
        <v>63.954000000000001</v>
      </c>
      <c r="D75" s="314">
        <f>IF(B75=0, "    ---- ", IF(ABS(ROUND(100/B75*C75-100,1))&lt;999,ROUND(100/B75*C75-100,1),IF(ROUND(100/B75*C75-100,1)&gt;999,999,-999)))</f>
        <v>165.9</v>
      </c>
      <c r="E75" s="193">
        <v>9.3000000000000007</v>
      </c>
      <c r="F75" s="421"/>
      <c r="G75" s="314">
        <f>IF(E75=0, "    ---- ", IF(ABS(ROUND(100/E75*F75-100,1))&lt;999,ROUND(100/E75*F75-100,1),IF(ROUND(100/E75*F75-100,1)&gt;999,999,-999)))</f>
        <v>-100</v>
      </c>
      <c r="H75" s="193">
        <v>0</v>
      </c>
      <c r="I75" s="421">
        <v>1017.57212887</v>
      </c>
      <c r="J75" s="314" t="str">
        <f t="shared" si="13"/>
        <v xml:space="preserve">    ---- </v>
      </c>
      <c r="K75" s="193"/>
      <c r="L75" s="421"/>
      <c r="M75" s="314"/>
      <c r="N75" s="193"/>
      <c r="O75" s="421">
        <v>6.9</v>
      </c>
      <c r="P75" s="314"/>
      <c r="Q75" s="193">
        <v>0</v>
      </c>
      <c r="R75" s="421">
        <v>2.2999999999999998</v>
      </c>
      <c r="S75" s="411" t="str">
        <f>IF(Q75=0, "    ---- ", IF(ABS(ROUND(100/Q75*R75-100,1))&lt;999,ROUND(100/Q75*R75-100,1),IF(ROUND(100/Q75*R75-100,1)&gt;999,999,-999)))</f>
        <v xml:space="preserve">    ---- </v>
      </c>
      <c r="T75" s="193"/>
      <c r="U75" s="421"/>
      <c r="V75" s="314"/>
      <c r="W75" s="193">
        <v>31731.070842000001</v>
      </c>
      <c r="X75" s="421">
        <v>56575.338283750003</v>
      </c>
      <c r="Y75" s="314">
        <f t="shared" si="28"/>
        <v>78.3</v>
      </c>
      <c r="Z75" s="193">
        <v>725.38</v>
      </c>
      <c r="AA75" s="421">
        <v>2373.83</v>
      </c>
      <c r="AB75" s="314">
        <f t="shared" si="20"/>
        <v>227.3</v>
      </c>
      <c r="AC75" s="193">
        <v>9577</v>
      </c>
      <c r="AD75" s="421">
        <v>18139</v>
      </c>
      <c r="AE75" s="314">
        <f>IF(AC75=0, "    ---- ", IF(ABS(ROUND(100/AC75*AD75-100,1))&lt;999,ROUND(100/AC75*AD75-100,1),IF(ROUND(100/AC75*AD75-100,1)&gt;999,999,-999)))</f>
        <v>89.4</v>
      </c>
      <c r="AF75" s="193"/>
      <c r="AG75" s="421"/>
      <c r="AH75" s="314"/>
      <c r="AI75" s="193">
        <v>1485.8630000000001</v>
      </c>
      <c r="AJ75" s="421">
        <v>2673.8429999999998</v>
      </c>
      <c r="AK75" s="314">
        <f t="shared" si="15"/>
        <v>80</v>
      </c>
      <c r="AL75" s="193">
        <v>5279</v>
      </c>
      <c r="AM75" s="421">
        <v>5549</v>
      </c>
      <c r="AN75" s="314">
        <f t="shared" si="21"/>
        <v>5.0999999999999996</v>
      </c>
      <c r="AO75" s="579">
        <f t="shared" si="31"/>
        <v>48831.669842000003</v>
      </c>
      <c r="AP75" s="579">
        <f t="shared" si="31"/>
        <v>86401.737412620001</v>
      </c>
      <c r="AQ75" s="314">
        <f t="shared" si="17"/>
        <v>76.900000000000006</v>
      </c>
      <c r="AR75" s="419">
        <f t="shared" si="32"/>
        <v>48831.669842000003</v>
      </c>
      <c r="AS75" s="419">
        <f t="shared" si="32"/>
        <v>86401.737412620001</v>
      </c>
      <c r="AT75" s="422">
        <f t="shared" si="19"/>
        <v>76.900000000000006</v>
      </c>
    </row>
    <row r="76" spans="1:46" s="441" customFormat="1" ht="20.100000000000001" customHeight="1" x14ac:dyDescent="0.3">
      <c r="A76" s="435" t="s">
        <v>374</v>
      </c>
      <c r="B76" s="193">
        <v>18.466000000000001</v>
      </c>
      <c r="C76" s="421">
        <v>16.143000000000001</v>
      </c>
      <c r="D76" s="314">
        <f>IF(B76=0, "    ---- ", IF(ABS(ROUND(100/B76*C76-100,1))&lt;999,ROUND(100/B76*C76-100,1),IF(ROUND(100/B76*C76-100,1)&gt;999,999,-999)))</f>
        <v>-12.6</v>
      </c>
      <c r="E76" s="193">
        <v>28.5</v>
      </c>
      <c r="F76" s="421"/>
      <c r="G76" s="314">
        <f>IF(E76=0, "    ---- ", IF(ABS(ROUND(100/E76*F76-100,1))&lt;999,ROUND(100/E76*F76-100,1),IF(ROUND(100/E76*F76-100,1)&gt;999,999,-999)))</f>
        <v>-100</v>
      </c>
      <c r="H76" s="193">
        <v>658.29399999999998</v>
      </c>
      <c r="I76" s="421">
        <v>576.08517588999996</v>
      </c>
      <c r="J76" s="314">
        <f t="shared" si="13"/>
        <v>-12.5</v>
      </c>
      <c r="K76" s="193"/>
      <c r="L76" s="421"/>
      <c r="M76" s="314"/>
      <c r="N76" s="193"/>
      <c r="O76" s="421"/>
      <c r="P76" s="314"/>
      <c r="Q76" s="193">
        <v>1.3</v>
      </c>
      <c r="R76" s="421">
        <v>1.1000000000000001</v>
      </c>
      <c r="S76" s="411"/>
      <c r="T76" s="193"/>
      <c r="U76" s="421"/>
      <c r="V76" s="314"/>
      <c r="W76" s="193">
        <v>12245.082793</v>
      </c>
      <c r="X76" s="421">
        <v>37730.600965370002</v>
      </c>
      <c r="Y76" s="314">
        <f t="shared" si="28"/>
        <v>208.1</v>
      </c>
      <c r="Z76" s="193">
        <v>730.13</v>
      </c>
      <c r="AA76" s="421">
        <v>882.15</v>
      </c>
      <c r="AB76" s="314">
        <f t="shared" si="20"/>
        <v>20.8</v>
      </c>
      <c r="AC76" s="193">
        <v>1526</v>
      </c>
      <c r="AD76" s="421">
        <v>7301</v>
      </c>
      <c r="AE76" s="314"/>
      <c r="AF76" s="193"/>
      <c r="AG76" s="421"/>
      <c r="AH76" s="314"/>
      <c r="AI76" s="193">
        <v>277.61</v>
      </c>
      <c r="AJ76" s="421">
        <v>242.79300000000001</v>
      </c>
      <c r="AK76" s="314">
        <f t="shared" si="15"/>
        <v>-12.5</v>
      </c>
      <c r="AL76" s="193">
        <v>2145</v>
      </c>
      <c r="AM76" s="421">
        <v>2308</v>
      </c>
      <c r="AN76" s="314">
        <f t="shared" si="21"/>
        <v>7.6</v>
      </c>
      <c r="AO76" s="579">
        <f t="shared" si="31"/>
        <v>17630.382792999997</v>
      </c>
      <c r="AP76" s="579">
        <f t="shared" si="31"/>
        <v>49057.872141259999</v>
      </c>
      <c r="AQ76" s="314">
        <f t="shared" si="17"/>
        <v>178.3</v>
      </c>
      <c r="AR76" s="419">
        <f t="shared" si="32"/>
        <v>17630.382792999997</v>
      </c>
      <c r="AS76" s="419">
        <f t="shared" si="32"/>
        <v>49057.872141259999</v>
      </c>
      <c r="AT76" s="422">
        <f t="shared" si="19"/>
        <v>178.3</v>
      </c>
    </row>
    <row r="77" spans="1:46" s="441" customFormat="1" ht="20.100000000000001" customHeight="1" x14ac:dyDescent="0.3">
      <c r="A77" s="435" t="s">
        <v>338</v>
      </c>
      <c r="B77" s="193">
        <v>54.991</v>
      </c>
      <c r="C77" s="421">
        <v>44.212000000000003</v>
      </c>
      <c r="D77" s="314">
        <f>IF(B77=0, "    ---- ", IF(ABS(ROUND(100/B77*C77-100,1))&lt;999,ROUND(100/B77*C77-100,1),IF(ROUND(100/B77*C77-100,1)&gt;999,999,-999)))</f>
        <v>-19.600000000000001</v>
      </c>
      <c r="E77" s="193"/>
      <c r="F77" s="421"/>
      <c r="G77" s="314"/>
      <c r="H77" s="193">
        <v>437.65800000000002</v>
      </c>
      <c r="I77" s="421">
        <v>528.20566192000001</v>
      </c>
      <c r="J77" s="314">
        <f t="shared" si="13"/>
        <v>20.7</v>
      </c>
      <c r="K77" s="193"/>
      <c r="L77" s="421"/>
      <c r="M77" s="314" t="str">
        <f>IF(K77=0, "    ---- ", IF(ABS(ROUND(100/K77*L77-100,1))&lt;999,ROUND(100/K77*L77-100,1),IF(ROUND(100/K77*L77-100,1)&gt;999,999,-999)))</f>
        <v xml:space="preserve">    ---- </v>
      </c>
      <c r="N77" s="193">
        <v>31.440999999999999</v>
      </c>
      <c r="O77" s="421"/>
      <c r="P77" s="314">
        <f>IF(N77=0, "    ---- ", IF(ABS(ROUND(100/N77*O77-100,1))&lt;999,ROUND(100/N77*O77-100,1),IF(ROUND(100/N77*O77-100,1)&gt;999,999,-999)))</f>
        <v>-100</v>
      </c>
      <c r="Q77" s="193"/>
      <c r="R77" s="421"/>
      <c r="S77" s="411"/>
      <c r="T77" s="193"/>
      <c r="U77" s="421"/>
      <c r="V77" s="314"/>
      <c r="W77" s="193"/>
      <c r="X77" s="421"/>
      <c r="Y77" s="314"/>
      <c r="Z77" s="193"/>
      <c r="AA77" s="421">
        <v>0</v>
      </c>
      <c r="AB77" s="314" t="str">
        <f t="shared" si="20"/>
        <v xml:space="preserve">    ---- </v>
      </c>
      <c r="AC77" s="193">
        <v>430</v>
      </c>
      <c r="AD77" s="421">
        <v>413</v>
      </c>
      <c r="AE77" s="314"/>
      <c r="AF77" s="193"/>
      <c r="AG77" s="421"/>
      <c r="AH77" s="314"/>
      <c r="AI77" s="193"/>
      <c r="AJ77" s="421"/>
      <c r="AK77" s="314" t="str">
        <f t="shared" si="15"/>
        <v xml:space="preserve">    ---- </v>
      </c>
      <c r="AL77" s="193">
        <v>390</v>
      </c>
      <c r="AM77" s="421">
        <v>698</v>
      </c>
      <c r="AN77" s="314">
        <f t="shared" si="21"/>
        <v>79</v>
      </c>
      <c r="AO77" s="579">
        <f t="shared" si="31"/>
        <v>1344.0900000000001</v>
      </c>
      <c r="AP77" s="579">
        <f t="shared" si="31"/>
        <v>1683.41766192</v>
      </c>
      <c r="AQ77" s="314">
        <f t="shared" si="17"/>
        <v>25.2</v>
      </c>
      <c r="AR77" s="419">
        <f t="shared" si="32"/>
        <v>1344.0900000000001</v>
      </c>
      <c r="AS77" s="419">
        <f t="shared" si="32"/>
        <v>1683.41766192</v>
      </c>
      <c r="AT77" s="422">
        <f t="shared" si="19"/>
        <v>25.2</v>
      </c>
    </row>
    <row r="78" spans="1:46" s="441" customFormat="1" ht="20.100000000000001" customHeight="1" x14ac:dyDescent="0.3">
      <c r="A78" s="435" t="s">
        <v>219</v>
      </c>
      <c r="B78" s="193"/>
      <c r="C78" s="421"/>
      <c r="D78" s="314"/>
      <c r="E78" s="193">
        <v>2</v>
      </c>
      <c r="F78" s="421"/>
      <c r="G78" s="314"/>
      <c r="H78" s="193"/>
      <c r="I78" s="421"/>
      <c r="J78" s="314"/>
      <c r="K78" s="193"/>
      <c r="L78" s="421"/>
      <c r="M78" s="314"/>
      <c r="N78" s="193"/>
      <c r="O78" s="421"/>
      <c r="P78" s="314"/>
      <c r="Q78" s="193">
        <v>-41.5</v>
      </c>
      <c r="R78" s="421">
        <v>14.4</v>
      </c>
      <c r="S78" s="411"/>
      <c r="T78" s="193"/>
      <c r="U78" s="421"/>
      <c r="V78" s="314"/>
      <c r="W78" s="193">
        <v>99.103648000000007</v>
      </c>
      <c r="X78" s="421"/>
      <c r="Y78" s="314"/>
      <c r="Z78" s="193"/>
      <c r="AA78" s="421"/>
      <c r="AB78" s="314"/>
      <c r="AC78" s="193">
        <v>2330</v>
      </c>
      <c r="AD78" s="421">
        <v>2218</v>
      </c>
      <c r="AE78" s="314"/>
      <c r="AF78" s="193"/>
      <c r="AG78" s="421"/>
      <c r="AH78" s="314"/>
      <c r="AI78" s="193">
        <v>-91.79024118999979</v>
      </c>
      <c r="AJ78" s="421">
        <v>252.03700478000022</v>
      </c>
      <c r="AK78" s="314"/>
      <c r="AL78" s="193">
        <v>723</v>
      </c>
      <c r="AM78" s="421">
        <v>362</v>
      </c>
      <c r="AN78" s="314"/>
      <c r="AO78" s="579">
        <f t="shared" si="31"/>
        <v>3020.8134068099998</v>
      </c>
      <c r="AP78" s="579">
        <f t="shared" si="31"/>
        <v>2846.4370047800003</v>
      </c>
      <c r="AQ78" s="314">
        <f t="shared" si="17"/>
        <v>-5.8</v>
      </c>
      <c r="AR78" s="419">
        <f t="shared" si="32"/>
        <v>3020.8134068099998</v>
      </c>
      <c r="AS78" s="419">
        <f t="shared" si="32"/>
        <v>2846.4370047800003</v>
      </c>
      <c r="AT78" s="422">
        <f t="shared" si="19"/>
        <v>-5.8</v>
      </c>
    </row>
    <row r="79" spans="1:46" s="441" customFormat="1" ht="20.100000000000001" customHeight="1" x14ac:dyDescent="0.3">
      <c r="A79" s="436" t="s">
        <v>220</v>
      </c>
      <c r="B79" s="193">
        <f>SUM(B73:B78)</f>
        <v>1183.7909999999999</v>
      </c>
      <c r="C79" s="421">
        <f>SUM(C73:C78)</f>
        <v>1351.9569999999999</v>
      </c>
      <c r="D79" s="314">
        <f>IF(B79=0, "    ---- ", IF(ABS(ROUND(100/B79*C79-100,1))&lt;999,ROUND(100/B79*C79-100,1),IF(ROUND(100/B79*C79-100,1)&gt;999,999,-999)))</f>
        <v>14.2</v>
      </c>
      <c r="E79" s="193">
        <f>SUM(E73:E78)</f>
        <v>1790.2</v>
      </c>
      <c r="F79" s="421">
        <f>SUM(F73:F78)</f>
        <v>0</v>
      </c>
      <c r="G79" s="314">
        <f>IF(E79=0, "    ---- ", IF(ABS(ROUND(100/E79*F79-100,1))&lt;999,ROUND(100/E79*F79-100,1),IF(ROUND(100/E79*F79-100,1)&gt;999,999,-999)))</f>
        <v>-100</v>
      </c>
      <c r="H79" s="193">
        <f>SUM(H73:H78)</f>
        <v>199524.43</v>
      </c>
      <c r="I79" s="421">
        <f>SUM(I73:I78)</f>
        <v>200394.76599534001</v>
      </c>
      <c r="J79" s="314">
        <f t="shared" si="13"/>
        <v>0.4</v>
      </c>
      <c r="K79" s="193">
        <v>6469</v>
      </c>
      <c r="L79" s="421">
        <f>SUM(L73:L78)</f>
        <v>7147.0598160899981</v>
      </c>
      <c r="M79" s="314">
        <f>IF(K79=0, "    ---- ", IF(ABS(ROUND(100/K79*L79-100,1))&lt;999,ROUND(100/K79*L79-100,1),IF(ROUND(100/K79*L79-100,1)&gt;999,999,-999)))</f>
        <v>10.5</v>
      </c>
      <c r="N79" s="193">
        <f>SUM(N73:N78)</f>
        <v>1536.1840000000002</v>
      </c>
      <c r="O79" s="421">
        <f>SUM(O73:O78)</f>
        <v>1499.626</v>
      </c>
      <c r="P79" s="314">
        <f>IF(N79=0, "    ---- ", IF(ABS(ROUND(100/N79*O79-100,1))&lt;999,ROUND(100/N79*O79-100,1),IF(ROUND(100/N79*O79-100,1)&gt;999,999,-999)))</f>
        <v>-2.4</v>
      </c>
      <c r="Q79" s="193">
        <f>SUM(Q73:Q78)</f>
        <v>7256.4000000000005</v>
      </c>
      <c r="R79" s="421">
        <f>SUM(R73:R78)</f>
        <v>7866.5</v>
      </c>
      <c r="S79" s="411">
        <f>IF(Q79=0, "    ---- ", IF(ABS(ROUND(100/Q79*R79-100,1))&lt;999,ROUND(100/Q79*R79-100,1),IF(ROUND(100/Q79*R79-100,1)&gt;999,999,-999)))</f>
        <v>8.4</v>
      </c>
      <c r="T79" s="193">
        <f>SUM(T73:T78)</f>
        <v>50.701849670000001</v>
      </c>
      <c r="U79" s="421">
        <f>SUM(U73:U78)</f>
        <v>42.266233130000003</v>
      </c>
      <c r="V79" s="314">
        <f>IF(T79=0, "    ---- ", IF(ABS(ROUND(100/T79*U79-100,1))&lt;999,ROUND(100/T79*U79-100,1),IF(ROUND(100/T79*U79-100,1)&gt;999,999,-999)))</f>
        <v>-16.600000000000001</v>
      </c>
      <c r="W79" s="193">
        <v>540256.05876702012</v>
      </c>
      <c r="X79" s="421">
        <f>SUM(X73:X78)</f>
        <v>588827.90694152995</v>
      </c>
      <c r="Y79" s="314">
        <f t="shared" si="28"/>
        <v>9</v>
      </c>
      <c r="Z79" s="193">
        <f>SUM(Z73:Z78)</f>
        <v>51184.49</v>
      </c>
      <c r="AA79" s="421">
        <f>SUM(AA73:AA78)</f>
        <v>54236.30000000001</v>
      </c>
      <c r="AB79" s="314">
        <f t="shared" si="20"/>
        <v>6</v>
      </c>
      <c r="AC79" s="193">
        <f>SUM(AC73:AC78)</f>
        <v>88089</v>
      </c>
      <c r="AD79" s="421">
        <f>SUM(AD73:AD78)</f>
        <v>103095</v>
      </c>
      <c r="AE79" s="314">
        <f>IF(AC79=0, "    ---- ", IF(ABS(ROUND(100/AC79*AD79-100,1))&lt;999,ROUND(100/AC79*AD79-100,1),IF(ROUND(100/AC79*AD79-100,1)&gt;999,999,-999)))</f>
        <v>17</v>
      </c>
      <c r="AF79" s="193"/>
      <c r="AG79" s="421">
        <f>SUM(AG73:AG78)</f>
        <v>0</v>
      </c>
      <c r="AH79" s="314"/>
      <c r="AI79" s="193">
        <f>SUM(AI73:AI78)</f>
        <v>20688.20975881</v>
      </c>
      <c r="AJ79" s="421">
        <f>SUM(AJ73:AJ78)</f>
        <v>22499.79200478</v>
      </c>
      <c r="AK79" s="314">
        <f t="shared" si="15"/>
        <v>8.8000000000000007</v>
      </c>
      <c r="AL79" s="193">
        <f>SUM(AL73:AL78)</f>
        <v>190600</v>
      </c>
      <c r="AM79" s="421">
        <f>SUM(AM73:AM78)</f>
        <v>200184</v>
      </c>
      <c r="AN79" s="314">
        <f t="shared" si="21"/>
        <v>5</v>
      </c>
      <c r="AO79" s="579">
        <f t="shared" si="31"/>
        <v>1108577.7635258301</v>
      </c>
      <c r="AP79" s="579">
        <f t="shared" si="31"/>
        <v>1187102.90775774</v>
      </c>
      <c r="AQ79" s="314">
        <f t="shared" si="17"/>
        <v>7.1</v>
      </c>
      <c r="AR79" s="419">
        <f t="shared" si="32"/>
        <v>1108628.4653755</v>
      </c>
      <c r="AS79" s="419">
        <f t="shared" si="32"/>
        <v>1187145.1739908699</v>
      </c>
      <c r="AT79" s="422">
        <f t="shared" si="19"/>
        <v>7.1</v>
      </c>
    </row>
    <row r="80" spans="1:46" s="441" customFormat="1" ht="20.100000000000001" customHeight="1" x14ac:dyDescent="0.3">
      <c r="A80" s="435" t="s">
        <v>221</v>
      </c>
      <c r="B80" s="193"/>
      <c r="C80" s="421"/>
      <c r="D80" s="314"/>
      <c r="E80" s="193"/>
      <c r="F80" s="421"/>
      <c r="G80" s="314"/>
      <c r="H80" s="193"/>
      <c r="I80" s="421"/>
      <c r="J80" s="314"/>
      <c r="K80" s="193"/>
      <c r="L80" s="421"/>
      <c r="M80" s="314"/>
      <c r="N80" s="193"/>
      <c r="O80" s="421"/>
      <c r="P80" s="314"/>
      <c r="Q80" s="193"/>
      <c r="R80" s="421"/>
      <c r="S80" s="411"/>
      <c r="T80" s="193"/>
      <c r="U80" s="421"/>
      <c r="V80" s="314"/>
      <c r="W80" s="193"/>
      <c r="X80" s="421"/>
      <c r="Y80" s="314"/>
      <c r="Z80" s="193"/>
      <c r="AA80" s="421"/>
      <c r="AB80" s="314"/>
      <c r="AC80" s="193"/>
      <c r="AD80" s="421"/>
      <c r="AE80" s="314"/>
      <c r="AF80" s="193"/>
      <c r="AG80" s="421"/>
      <c r="AH80" s="314"/>
      <c r="AI80" s="193"/>
      <c r="AJ80" s="421"/>
      <c r="AK80" s="314"/>
      <c r="AL80" s="193"/>
      <c r="AM80" s="421"/>
      <c r="AN80" s="314"/>
      <c r="AO80" s="411"/>
      <c r="AP80" s="411"/>
      <c r="AQ80" s="314"/>
      <c r="AR80" s="413"/>
      <c r="AS80" s="413"/>
      <c r="AT80" s="422"/>
    </row>
    <row r="81" spans="1:46" s="441" customFormat="1" ht="20.100000000000001" customHeight="1" x14ac:dyDescent="0.3">
      <c r="A81" s="435" t="s">
        <v>375</v>
      </c>
      <c r="B81" s="193">
        <v>18465.843000000001</v>
      </c>
      <c r="C81" s="421">
        <v>25109.317999999999</v>
      </c>
      <c r="D81" s="314">
        <f>IF(B81=0, "    ---- ", IF(ABS(ROUND(100/B81*C81-100,1))&lt;999,ROUND(100/B81*C81-100,1),IF(ROUND(100/B81*C81-100,1)&gt;999,999,-999)))</f>
        <v>36</v>
      </c>
      <c r="E81" s="193">
        <v>4535.7</v>
      </c>
      <c r="F81" s="421"/>
      <c r="G81" s="314">
        <f>IF(E81=0, "    ---- ", IF(ABS(ROUND(100/E81*F81-100,1))&lt;999,ROUND(100/E81*F81-100,1),IF(ROUND(100/E81*F81-100,1)&gt;999,999,-999)))</f>
        <v>-100</v>
      </c>
      <c r="H81" s="193">
        <v>84208.058000000005</v>
      </c>
      <c r="I81" s="421">
        <v>122108.88565324999</v>
      </c>
      <c r="J81" s="314">
        <f t="shared" si="13"/>
        <v>45</v>
      </c>
      <c r="K81" s="193"/>
      <c r="L81" s="421"/>
      <c r="M81" s="314" t="str">
        <f>IF(K81=0, "    ---- ", IF(ABS(ROUND(100/K81*L81-100,1))&lt;999,ROUND(100/K81*L81-100,1),IF(ROUND(100/K81*L81-100,1)&gt;999,999,-999)))</f>
        <v xml:space="preserve">    ---- </v>
      </c>
      <c r="N81" s="193">
        <v>3863.942</v>
      </c>
      <c r="O81" s="421"/>
      <c r="P81" s="314">
        <f>IF(N81=0, "    ---- ", IF(ABS(ROUND(100/N81*O81-100,1))&lt;999,ROUND(100/N81*O81-100,1),IF(ROUND(100/N81*O81-100,1)&gt;999,999,-999)))</f>
        <v>-100</v>
      </c>
      <c r="Q81" s="193">
        <v>25927.200000000001</v>
      </c>
      <c r="R81" s="421">
        <v>36082.199999999997</v>
      </c>
      <c r="S81" s="411">
        <f>IF(Q81=0, "    ---- ", IF(ABS(ROUND(100/Q81*R81-100,1))&lt;999,ROUND(100/Q81*R81-100,1),IF(ROUND(100/Q81*R81-100,1)&gt;999,999,-999)))</f>
        <v>39.200000000000003</v>
      </c>
      <c r="T81" s="193"/>
      <c r="U81" s="421"/>
      <c r="V81" s="314"/>
      <c r="W81" s="193">
        <v>1547.42926515</v>
      </c>
      <c r="X81" s="421">
        <v>1472.37521384</v>
      </c>
      <c r="Y81" s="314">
        <f t="shared" ref="Y81:Y91" si="33">IF(W81=0, "    ---- ", IF(ABS(ROUND(100/W81*X81-100,1))&lt;999,ROUND(100/W81*X81-100,1),IF(ROUND(100/W81*X81-100,1)&gt;999,999,-999)))</f>
        <v>-4.9000000000000004</v>
      </c>
      <c r="Z81" s="193">
        <v>70145.27</v>
      </c>
      <c r="AA81" s="421">
        <v>105547</v>
      </c>
      <c r="AB81" s="314">
        <f t="shared" si="20"/>
        <v>50.5</v>
      </c>
      <c r="AC81" s="193"/>
      <c r="AD81" s="421"/>
      <c r="AE81" s="314"/>
      <c r="AF81" s="193">
        <v>2269.6289066300001</v>
      </c>
      <c r="AG81" s="421">
        <v>3051.25411394</v>
      </c>
      <c r="AH81" s="314">
        <f>IF(AF81=0, "    ---- ", IF(ABS(ROUND(100/AF81*AG81-100,1))&lt;999,ROUND(100/AF81*AG81-100,1),IF(ROUND(100/AF81*AG81-100,1)&gt;999,999,-999)))</f>
        <v>34.4</v>
      </c>
      <c r="AI81" s="193">
        <v>30999.038</v>
      </c>
      <c r="AJ81" s="421">
        <v>46507.936999999998</v>
      </c>
      <c r="AK81" s="314">
        <f t="shared" si="15"/>
        <v>50</v>
      </c>
      <c r="AL81" s="193">
        <v>105186</v>
      </c>
      <c r="AM81" s="421">
        <v>144324</v>
      </c>
      <c r="AN81" s="314">
        <f t="shared" si="21"/>
        <v>37.200000000000003</v>
      </c>
      <c r="AO81" s="579">
        <f t="shared" ref="AO81:AP89" si="34">B81+H81+K81+N81+Q81+W81+E81+Z81+AC81+AI81+AL81</f>
        <v>344878.48026515002</v>
      </c>
      <c r="AP81" s="579">
        <f t="shared" si="34"/>
        <v>481151.71586708998</v>
      </c>
      <c r="AQ81" s="314">
        <f t="shared" si="17"/>
        <v>39.5</v>
      </c>
      <c r="AR81" s="419">
        <f t="shared" ref="AR81:AS89" si="35">B81+H81+K81+N81+Q81+T81+W81+E81+Z81+AC81+AF81+AI81+AL81</f>
        <v>347148.10917178006</v>
      </c>
      <c r="AS81" s="419">
        <f t="shared" si="35"/>
        <v>484202.96998102998</v>
      </c>
      <c r="AT81" s="422">
        <f t="shared" si="19"/>
        <v>39.5</v>
      </c>
    </row>
    <row r="82" spans="1:46" s="441" customFormat="1" ht="20.100000000000001" customHeight="1" x14ac:dyDescent="0.3">
      <c r="A82" s="435" t="s">
        <v>376</v>
      </c>
      <c r="B82" s="193"/>
      <c r="C82" s="421"/>
      <c r="D82" s="314"/>
      <c r="E82" s="193"/>
      <c r="F82" s="421"/>
      <c r="G82" s="314"/>
      <c r="H82" s="193"/>
      <c r="I82" s="421"/>
      <c r="J82" s="314"/>
      <c r="K82" s="193"/>
      <c r="L82" s="421"/>
      <c r="M82" s="314"/>
      <c r="N82" s="193"/>
      <c r="O82" s="421"/>
      <c r="P82" s="314"/>
      <c r="Q82" s="193"/>
      <c r="R82" s="421"/>
      <c r="S82" s="314"/>
      <c r="T82" s="193"/>
      <c r="U82" s="421"/>
      <c r="V82" s="314"/>
      <c r="W82" s="193">
        <v>119.48741200000001</v>
      </c>
      <c r="X82" s="421">
        <v>135.0443942</v>
      </c>
      <c r="Y82" s="314"/>
      <c r="Z82" s="193"/>
      <c r="AA82" s="421">
        <v>0</v>
      </c>
      <c r="AB82" s="314" t="str">
        <f t="shared" si="20"/>
        <v xml:space="preserve">    ---- </v>
      </c>
      <c r="AC82" s="193"/>
      <c r="AD82" s="421"/>
      <c r="AE82" s="314"/>
      <c r="AF82" s="193"/>
      <c r="AG82" s="421"/>
      <c r="AH82" s="314"/>
      <c r="AI82" s="193"/>
      <c r="AJ82" s="421">
        <v>0</v>
      </c>
      <c r="AK82" s="314" t="str">
        <f t="shared" si="15"/>
        <v xml:space="preserve">    ---- </v>
      </c>
      <c r="AL82" s="193"/>
      <c r="AM82" s="421"/>
      <c r="AN82" s="314" t="str">
        <f t="shared" si="21"/>
        <v xml:space="preserve">    ---- </v>
      </c>
      <c r="AO82" s="579">
        <f t="shared" si="34"/>
        <v>119.48741200000001</v>
      </c>
      <c r="AP82" s="579">
        <f t="shared" si="34"/>
        <v>135.0443942</v>
      </c>
      <c r="AQ82" s="314">
        <f t="shared" si="17"/>
        <v>13</v>
      </c>
      <c r="AR82" s="419">
        <f t="shared" si="35"/>
        <v>119.48741200000001</v>
      </c>
      <c r="AS82" s="419">
        <f t="shared" si="35"/>
        <v>135.0443942</v>
      </c>
      <c r="AT82" s="422">
        <f t="shared" si="19"/>
        <v>13</v>
      </c>
    </row>
    <row r="83" spans="1:46" s="441" customFormat="1" ht="20.100000000000001" customHeight="1" x14ac:dyDescent="0.3">
      <c r="A83" s="435" t="s">
        <v>377</v>
      </c>
      <c r="B83" s="578">
        <v>60.427</v>
      </c>
      <c r="C83" s="314">
        <v>82.26</v>
      </c>
      <c r="D83" s="314">
        <f>IF(B83=0, "    ---- ", IF(ABS(ROUND(100/B83*C83-100,1))&lt;999,ROUND(100/B83*C83-100,1),IF(ROUND(100/B83*C83-100,1)&gt;999,999,-999)))</f>
        <v>36.1</v>
      </c>
      <c r="E83" s="578">
        <v>15.5</v>
      </c>
      <c r="F83" s="314"/>
      <c r="G83" s="314">
        <f>IF(E83=0, "    ---- ", IF(ABS(ROUND(100/E83*F83-100,1))&lt;999,ROUND(100/E83*F83-100,1),IF(ROUND(100/E83*F83-100,1)&gt;999,999,-999)))</f>
        <v>-100</v>
      </c>
      <c r="H83" s="578">
        <v>582.572</v>
      </c>
      <c r="I83" s="314">
        <v>550.55357304999995</v>
      </c>
      <c r="J83" s="314">
        <f t="shared" si="13"/>
        <v>-5.5</v>
      </c>
      <c r="K83" s="578"/>
      <c r="L83" s="314"/>
      <c r="M83" s="314"/>
      <c r="N83" s="578"/>
      <c r="O83" s="314"/>
      <c r="P83" s="314"/>
      <c r="Q83" s="578">
        <v>279.89999999999998</v>
      </c>
      <c r="R83" s="314">
        <v>250.6</v>
      </c>
      <c r="S83" s="314">
        <f>IF(Q83=0, "    ---- ", IF(ABS(ROUND(100/Q83*R83-100,1))&lt;999,ROUND(100/Q83*R83-100,1),IF(ROUND(100/Q83*R83-100,1)&gt;999,999,-999)))</f>
        <v>-10.5</v>
      </c>
      <c r="T83" s="578"/>
      <c r="U83" s="314"/>
      <c r="V83" s="314"/>
      <c r="W83" s="578">
        <v>483.97599600000001</v>
      </c>
      <c r="X83" s="314">
        <v>466.12528992</v>
      </c>
      <c r="Y83" s="314">
        <f t="shared" si="33"/>
        <v>-3.7</v>
      </c>
      <c r="Z83" s="193"/>
      <c r="AA83" s="314">
        <v>0</v>
      </c>
      <c r="AB83" s="314"/>
      <c r="AC83" s="578"/>
      <c r="AD83" s="314"/>
      <c r="AE83" s="314"/>
      <c r="AF83" s="578"/>
      <c r="AG83" s="314"/>
      <c r="AH83" s="314"/>
      <c r="AI83" s="578">
        <v>470.678</v>
      </c>
      <c r="AJ83" s="314">
        <v>636.88400000000001</v>
      </c>
      <c r="AK83" s="314">
        <f t="shared" si="15"/>
        <v>35.299999999999997</v>
      </c>
      <c r="AL83" s="578"/>
      <c r="AM83" s="314"/>
      <c r="AN83" s="314" t="str">
        <f t="shared" si="21"/>
        <v xml:space="preserve">    ---- </v>
      </c>
      <c r="AO83" s="579">
        <f t="shared" si="34"/>
        <v>1893.0529959999999</v>
      </c>
      <c r="AP83" s="579">
        <f t="shared" si="34"/>
        <v>1986.4228629700001</v>
      </c>
      <c r="AQ83" s="314">
        <f t="shared" si="17"/>
        <v>4.9000000000000004</v>
      </c>
      <c r="AR83" s="419">
        <f t="shared" si="35"/>
        <v>1893.0529959999999</v>
      </c>
      <c r="AS83" s="419">
        <f t="shared" si="35"/>
        <v>1986.4228629700001</v>
      </c>
      <c r="AT83" s="422">
        <f t="shared" si="19"/>
        <v>4.9000000000000004</v>
      </c>
    </row>
    <row r="84" spans="1:46" s="441" customFormat="1" ht="20.100000000000001" customHeight="1" x14ac:dyDescent="0.3">
      <c r="A84" s="435" t="s">
        <v>219</v>
      </c>
      <c r="B84" s="193"/>
      <c r="C84" s="421"/>
      <c r="D84" s="421"/>
      <c r="E84" s="193"/>
      <c r="F84" s="421"/>
      <c r="G84" s="314"/>
      <c r="H84" s="193"/>
      <c r="I84" s="421"/>
      <c r="J84" s="421"/>
      <c r="K84" s="193"/>
      <c r="L84" s="421"/>
      <c r="M84" s="421"/>
      <c r="N84" s="193"/>
      <c r="O84" s="421"/>
      <c r="P84" s="421"/>
      <c r="Q84" s="193"/>
      <c r="R84" s="421"/>
      <c r="S84" s="411"/>
      <c r="T84" s="193"/>
      <c r="U84" s="421"/>
      <c r="V84" s="314"/>
      <c r="W84" s="193">
        <v>0.89635200000000004</v>
      </c>
      <c r="X84" s="421">
        <v>0</v>
      </c>
      <c r="Y84" s="314"/>
      <c r="Z84" s="193"/>
      <c r="AA84" s="421"/>
      <c r="AB84" s="314"/>
      <c r="AC84" s="193"/>
      <c r="AD84" s="421"/>
      <c r="AE84" s="314"/>
      <c r="AF84" s="193"/>
      <c r="AG84" s="421"/>
      <c r="AH84" s="421"/>
      <c r="AI84" s="193"/>
      <c r="AJ84" s="421"/>
      <c r="AK84" s="314"/>
      <c r="AL84" s="193"/>
      <c r="AM84" s="421"/>
      <c r="AN84" s="314"/>
      <c r="AO84" s="579">
        <f t="shared" si="34"/>
        <v>0.89635200000000004</v>
      </c>
      <c r="AP84" s="579">
        <f t="shared" si="34"/>
        <v>0</v>
      </c>
      <c r="AQ84" s="314">
        <f t="shared" si="17"/>
        <v>-100</v>
      </c>
      <c r="AR84" s="419">
        <f t="shared" si="35"/>
        <v>0.89635200000000004</v>
      </c>
      <c r="AS84" s="419">
        <f t="shared" si="35"/>
        <v>0</v>
      </c>
      <c r="AT84" s="422">
        <f t="shared" si="19"/>
        <v>-100</v>
      </c>
    </row>
    <row r="85" spans="1:46" s="441" customFormat="1" ht="20.100000000000001" customHeight="1" x14ac:dyDescent="0.3">
      <c r="A85" s="436" t="s">
        <v>222</v>
      </c>
      <c r="B85" s="193">
        <f>SUM(B81:B84)</f>
        <v>18526.27</v>
      </c>
      <c r="C85" s="421">
        <f>SUM(C81:C84)</f>
        <v>25191.577999999998</v>
      </c>
      <c r="D85" s="421">
        <f>IF(B85=0, "    ---- ", IF(ABS(ROUND(100/B85*C85-100,1))&lt;999,ROUND(100/B85*C85-100,1),IF(ROUND(100/B85*C85-100,1)&gt;999,999,-999)))</f>
        <v>36</v>
      </c>
      <c r="E85" s="193">
        <f>SUM(E81:E84)</f>
        <v>4551.2</v>
      </c>
      <c r="F85" s="421">
        <f>SUM(F81:F84)</f>
        <v>0</v>
      </c>
      <c r="G85" s="314">
        <f>IF(E85=0, "    ---- ", IF(ABS(ROUND(100/E85*F85-100,1))&lt;999,ROUND(100/E85*F85-100,1),IF(ROUND(100/E85*F85-100,1)&gt;999,999,-999)))</f>
        <v>-100</v>
      </c>
      <c r="H85" s="193">
        <f>SUM(H81:H84)</f>
        <v>84790.63</v>
      </c>
      <c r="I85" s="421">
        <f>SUM(I81:I84)</f>
        <v>122659.43922629999</v>
      </c>
      <c r="J85" s="421">
        <f t="shared" si="13"/>
        <v>44.7</v>
      </c>
      <c r="K85" s="193"/>
      <c r="L85" s="421"/>
      <c r="M85" s="421" t="str">
        <f>IF(K85=0, "    ---- ", IF(ABS(ROUND(100/K85*L85-100,1))&lt;999,ROUND(100/K85*L85-100,1),IF(ROUND(100/K85*L85-100,1)&gt;999,999,-999)))</f>
        <v xml:space="preserve">    ---- </v>
      </c>
      <c r="N85" s="193">
        <f>SUM(N81:N84)</f>
        <v>3863.942</v>
      </c>
      <c r="O85" s="421">
        <f>SUM(O81:O84)</f>
        <v>0</v>
      </c>
      <c r="P85" s="421">
        <f>IF(N85=0, "    ---- ", IF(ABS(ROUND(100/N85*O85-100,1))&lt;999,ROUND(100/N85*O85-100,1),IF(ROUND(100/N85*O85-100,1)&gt;999,999,-999)))</f>
        <v>-100</v>
      </c>
      <c r="Q85" s="193">
        <f>SUM(Q81:Q84)</f>
        <v>26207.100000000002</v>
      </c>
      <c r="R85" s="421">
        <f>SUM(R81:R84)</f>
        <v>36332.799999999996</v>
      </c>
      <c r="S85" s="411">
        <f>IF(Q85=0, "    ---- ", IF(ABS(ROUND(100/Q85*R85-100,1))&lt;999,ROUND(100/Q85*R85-100,1),IF(ROUND(100/Q85*R85-100,1)&gt;999,999,-999)))</f>
        <v>38.6</v>
      </c>
      <c r="T85" s="193"/>
      <c r="U85" s="421">
        <f>SUM(U81:U84)</f>
        <v>0</v>
      </c>
      <c r="V85" s="314"/>
      <c r="W85" s="193">
        <v>2151.7890251500003</v>
      </c>
      <c r="X85" s="421">
        <f>SUM(X81:X84)</f>
        <v>2073.5448979600001</v>
      </c>
      <c r="Y85" s="314">
        <f t="shared" si="33"/>
        <v>-3.6</v>
      </c>
      <c r="Z85" s="193">
        <f>SUM(Z81:Z84)</f>
        <v>70145.27</v>
      </c>
      <c r="AA85" s="421">
        <f>SUM(AA81:AA84)</f>
        <v>105547</v>
      </c>
      <c r="AB85" s="314">
        <f t="shared" si="20"/>
        <v>50.5</v>
      </c>
      <c r="AC85" s="193"/>
      <c r="AD85" s="421">
        <f>SUM(AD81:AD84)</f>
        <v>0</v>
      </c>
      <c r="AE85" s="314"/>
      <c r="AF85" s="193">
        <f>SUM(AF81:AF84)</f>
        <v>2269.6289066300001</v>
      </c>
      <c r="AG85" s="421">
        <f>SUM(AG81:AG84)</f>
        <v>3051.25411394</v>
      </c>
      <c r="AH85" s="421">
        <f>IF(AF85=0, "    ---- ", IF(ABS(ROUND(100/AF85*AG85-100,1))&lt;999,ROUND(100/AF85*AG85-100,1),IF(ROUND(100/AF85*AG85-100,1)&gt;999,999,-999)))</f>
        <v>34.4</v>
      </c>
      <c r="AI85" s="193">
        <f>SUM(AI81:AI84)</f>
        <v>31469.716</v>
      </c>
      <c r="AJ85" s="421">
        <f>SUM(AJ81:AJ84)</f>
        <v>47144.820999999996</v>
      </c>
      <c r="AK85" s="314">
        <f t="shared" si="15"/>
        <v>49.8</v>
      </c>
      <c r="AL85" s="193">
        <f>SUM(AL81:AL84)</f>
        <v>105186</v>
      </c>
      <c r="AM85" s="421">
        <f>SUM(AM81:AM84)</f>
        <v>144324</v>
      </c>
      <c r="AN85" s="314">
        <f t="shared" si="21"/>
        <v>37.200000000000003</v>
      </c>
      <c r="AO85" s="579">
        <f t="shared" si="34"/>
        <v>346891.91702515003</v>
      </c>
      <c r="AP85" s="579">
        <f t="shared" si="34"/>
        <v>483273.18312425999</v>
      </c>
      <c r="AQ85" s="314">
        <f t="shared" si="17"/>
        <v>39.299999999999997</v>
      </c>
      <c r="AR85" s="419">
        <f t="shared" si="35"/>
        <v>349161.54593178001</v>
      </c>
      <c r="AS85" s="419">
        <f t="shared" si="35"/>
        <v>486324.43723819999</v>
      </c>
      <c r="AT85" s="422">
        <f t="shared" si="19"/>
        <v>39.299999999999997</v>
      </c>
    </row>
    <row r="86" spans="1:46" s="441" customFormat="1" ht="20.100000000000001" customHeight="1" x14ac:dyDescent="0.3">
      <c r="A86" s="435" t="s">
        <v>223</v>
      </c>
      <c r="B86" s="193">
        <v>78.040000000000006</v>
      </c>
      <c r="C86" s="421">
        <v>46.228000000000002</v>
      </c>
      <c r="D86" s="314">
        <f>IF(B86=0, "    ---- ", IF(ABS(ROUND(100/B86*C86-100,1))&lt;999,ROUND(100/B86*C86-100,1),IF(ROUND(100/B86*C86-100,1)&gt;999,999,-999)))</f>
        <v>-40.799999999999997</v>
      </c>
      <c r="E86" s="193">
        <v>10.7</v>
      </c>
      <c r="F86" s="421"/>
      <c r="G86" s="314">
        <f>IF(E86=0, "    ---- ", IF(ABS(ROUND(100/E86*F86-100,1))&lt;999,ROUND(100/E86*F86-100,1),IF(ROUND(100/E86*F86-100,1)&gt;999,999,-999)))</f>
        <v>-100</v>
      </c>
      <c r="H86" s="193">
        <v>1006.018</v>
      </c>
      <c r="I86" s="421">
        <v>1838.20187848</v>
      </c>
      <c r="J86" s="314">
        <f t="shared" si="13"/>
        <v>82.7</v>
      </c>
      <c r="K86" s="193">
        <v>1289.36337054</v>
      </c>
      <c r="L86" s="421">
        <v>280.87184006000001</v>
      </c>
      <c r="M86" s="314">
        <f>IF(K86=0, "    ---- ", IF(ABS(ROUND(100/K86*L86-100,1))&lt;999,ROUND(100/K86*L86-100,1),IF(ROUND(100/K86*L86-100,1)&gt;999,999,-999)))</f>
        <v>-78.2</v>
      </c>
      <c r="N86" s="193">
        <v>89.646000000000001</v>
      </c>
      <c r="O86" s="421">
        <v>348.46199999999999</v>
      </c>
      <c r="P86" s="314">
        <f>IF(N86=0, "    ---- ", IF(ABS(ROUND(100/N86*O86-100,1))&lt;999,ROUND(100/N86*O86-100,1),IF(ROUND(100/N86*O86-100,1)&gt;999,999,-999)))</f>
        <v>288.7</v>
      </c>
      <c r="Q86" s="193">
        <v>95.6</v>
      </c>
      <c r="R86" s="421">
        <v>37.299999999999997</v>
      </c>
      <c r="S86" s="314">
        <f>IF(Q86=0, "    ---- ", IF(ABS(ROUND(100/Q86*R86-100,1))&lt;999,ROUND(100/Q86*R86-100,1),IF(ROUND(100/Q86*R86-100,1)&gt;999,999,-999)))</f>
        <v>-61</v>
      </c>
      <c r="T86" s="193"/>
      <c r="U86" s="421"/>
      <c r="V86" s="314" t="str">
        <f>IF(T86=0, "    ---- ", IF(ABS(ROUND(100/T86*U86-100,1))&lt;999,ROUND(100/T86*U86-100,1),IF(ROUND(100/T86*U86-100,1)&gt;999,999,-999)))</f>
        <v xml:space="preserve">    ---- </v>
      </c>
      <c r="W86" s="193">
        <v>2184.3932878000001</v>
      </c>
      <c r="X86" s="421">
        <v>2252.7877592700002</v>
      </c>
      <c r="Y86" s="314">
        <f t="shared" si="33"/>
        <v>3.1</v>
      </c>
      <c r="Z86" s="193">
        <v>880.41</v>
      </c>
      <c r="AA86" s="421">
        <v>505.86</v>
      </c>
      <c r="AB86" s="314">
        <f t="shared" si="20"/>
        <v>-42.5</v>
      </c>
      <c r="AC86" s="193">
        <v>811</v>
      </c>
      <c r="AD86" s="421">
        <v>723</v>
      </c>
      <c r="AE86" s="314">
        <f>IF(AC86=0, "    ---- ", IF(ABS(ROUND(100/AC86*AD86-100,1))&lt;999,ROUND(100/AC86*AD86-100,1),IF(ROUND(100/AC86*AD86-100,1)&gt;999,999,-999)))</f>
        <v>-10.9</v>
      </c>
      <c r="AF86" s="193"/>
      <c r="AG86" s="421"/>
      <c r="AH86" s="314"/>
      <c r="AI86" s="193">
        <v>723.70899999999995</v>
      </c>
      <c r="AJ86" s="421">
        <v>498.23599999999999</v>
      </c>
      <c r="AK86" s="314">
        <f t="shared" si="15"/>
        <v>-31.2</v>
      </c>
      <c r="AL86" s="193">
        <v>7</v>
      </c>
      <c r="AM86" s="421">
        <v>7</v>
      </c>
      <c r="AN86" s="314">
        <f t="shared" si="21"/>
        <v>0</v>
      </c>
      <c r="AO86" s="579">
        <f t="shared" si="34"/>
        <v>7175.8796583399999</v>
      </c>
      <c r="AP86" s="579">
        <f t="shared" si="34"/>
        <v>6537.9474778099993</v>
      </c>
      <c r="AQ86" s="314">
        <f t="shared" si="17"/>
        <v>-8.9</v>
      </c>
      <c r="AR86" s="419">
        <f t="shared" si="35"/>
        <v>7175.8796583399999</v>
      </c>
      <c r="AS86" s="419">
        <f t="shared" si="35"/>
        <v>6537.9474778099993</v>
      </c>
      <c r="AT86" s="422">
        <f t="shared" si="19"/>
        <v>-8.9</v>
      </c>
    </row>
    <row r="87" spans="1:46" s="441" customFormat="1" ht="20.100000000000001" customHeight="1" x14ac:dyDescent="0.3">
      <c r="A87" s="435" t="s">
        <v>224</v>
      </c>
      <c r="B87" s="193"/>
      <c r="C87" s="421"/>
      <c r="D87" s="314"/>
      <c r="E87" s="193"/>
      <c r="F87" s="421"/>
      <c r="G87" s="314"/>
      <c r="H87" s="193"/>
      <c r="I87" s="421"/>
      <c r="J87" s="314"/>
      <c r="K87" s="193">
        <v>365.80202696999993</v>
      </c>
      <c r="L87" s="421">
        <v>366.73587767000004</v>
      </c>
      <c r="M87" s="314"/>
      <c r="N87" s="193"/>
      <c r="O87" s="421"/>
      <c r="P87" s="314"/>
      <c r="Q87" s="193"/>
      <c r="R87" s="421"/>
      <c r="S87" s="314"/>
      <c r="T87" s="193"/>
      <c r="U87" s="421"/>
      <c r="V87" s="314"/>
      <c r="W87" s="193"/>
      <c r="X87" s="421">
        <v>0</v>
      </c>
      <c r="Y87" s="314"/>
      <c r="Z87" s="193"/>
      <c r="AA87" s="421">
        <v>0</v>
      </c>
      <c r="AB87" s="314"/>
      <c r="AC87" s="193"/>
      <c r="AD87" s="421"/>
      <c r="AE87" s="314"/>
      <c r="AF87" s="193"/>
      <c r="AG87" s="421"/>
      <c r="AH87" s="314"/>
      <c r="AI87" s="193">
        <v>0</v>
      </c>
      <c r="AJ87" s="421">
        <v>0</v>
      </c>
      <c r="AK87" s="314" t="str">
        <f t="shared" si="15"/>
        <v xml:space="preserve">    ---- </v>
      </c>
      <c r="AL87" s="193"/>
      <c r="AM87" s="421"/>
      <c r="AN87" s="314"/>
      <c r="AO87" s="579">
        <f t="shared" si="34"/>
        <v>365.80202696999993</v>
      </c>
      <c r="AP87" s="579">
        <f t="shared" si="34"/>
        <v>366.73587767000004</v>
      </c>
      <c r="AQ87" s="314">
        <f t="shared" si="17"/>
        <v>0.3</v>
      </c>
      <c r="AR87" s="419">
        <f t="shared" si="35"/>
        <v>365.80202696999993</v>
      </c>
      <c r="AS87" s="419">
        <f t="shared" si="35"/>
        <v>366.73587767000004</v>
      </c>
      <c r="AT87" s="422">
        <f t="shared" si="19"/>
        <v>0.3</v>
      </c>
    </row>
    <row r="88" spans="1:46" s="441" customFormat="1" ht="20.100000000000001" customHeight="1" x14ac:dyDescent="0.3">
      <c r="A88" s="435" t="s">
        <v>225</v>
      </c>
      <c r="B88" s="193">
        <v>71.334000000000003</v>
      </c>
      <c r="C88" s="421">
        <v>86.686000000000007</v>
      </c>
      <c r="D88" s="421">
        <f>IF(B88=0, "    ---- ", IF(ABS(ROUND(100/B88*C88-100,1))&lt;999,ROUND(100/B88*C88-100,1),IF(ROUND(100/B88*C88-100,1)&gt;999,999,-999)))</f>
        <v>21.5</v>
      </c>
      <c r="E88" s="193">
        <v>42.4</v>
      </c>
      <c r="F88" s="421"/>
      <c r="G88" s="314">
        <f>IF(E88=0, "    ---- ", IF(ABS(ROUND(100/E88*F88-100,1))&lt;999,ROUND(100/E88*F88-100,1),IF(ROUND(100/E88*F88-100,1)&gt;999,999,-999)))</f>
        <v>-100</v>
      </c>
      <c r="H88" s="193">
        <v>5312.5810000000001</v>
      </c>
      <c r="I88" s="421">
        <v>3319.6692863999951</v>
      </c>
      <c r="J88" s="421">
        <f t="shared" si="13"/>
        <v>-37.5</v>
      </c>
      <c r="K88" s="193">
        <v>299.13914137999996</v>
      </c>
      <c r="L88" s="421">
        <v>18.500937689999976</v>
      </c>
      <c r="M88" s="421"/>
      <c r="N88" s="193"/>
      <c r="O88" s="421"/>
      <c r="P88" s="421"/>
      <c r="Q88" s="193">
        <v>152.69999999999999</v>
      </c>
      <c r="R88" s="421">
        <v>189.6</v>
      </c>
      <c r="S88" s="411">
        <f>IF(Q88=0, "    ---- ", IF(ABS(ROUND(100/Q88*R88-100,1))&lt;999,ROUND(100/Q88*R88-100,1),IF(ROUND(100/Q88*R88-100,1)&gt;999,999,-999)))</f>
        <v>24.2</v>
      </c>
      <c r="T88" s="193">
        <v>2.9254982699999998</v>
      </c>
      <c r="U88" s="421">
        <v>5.6665799999999997</v>
      </c>
      <c r="V88" s="314">
        <f>IF(T88=0, "    ---- ", IF(ABS(ROUND(100/T88*U88-100,1))&lt;999,ROUND(100/T88*U88-100,1),IF(ROUND(100/T88*U88-100,1)&gt;999,999,-999)))</f>
        <v>93.7</v>
      </c>
      <c r="W88" s="193">
        <v>27795.554234979998</v>
      </c>
      <c r="X88" s="421">
        <v>7905.4241374200001</v>
      </c>
      <c r="Y88" s="314">
        <f t="shared" si="33"/>
        <v>-71.599999999999994</v>
      </c>
      <c r="Z88" s="193">
        <v>1263.75</v>
      </c>
      <c r="AA88" s="421">
        <v>333.04</v>
      </c>
      <c r="AB88" s="314">
        <f t="shared" si="20"/>
        <v>-73.599999999999994</v>
      </c>
      <c r="AC88" s="193">
        <v>674</v>
      </c>
      <c r="AD88" s="421">
        <f>777+115+1</f>
        <v>893</v>
      </c>
      <c r="AE88" s="314">
        <f>IF(AC88=0, "    ---- ", IF(ABS(ROUND(100/AC88*AD88-100,1))&lt;999,ROUND(100/AC88*AD88-100,1),IF(ROUND(100/AC88*AD88-100,1)&gt;999,999,-999)))</f>
        <v>32.5</v>
      </c>
      <c r="AF88" s="193">
        <v>20.07070358</v>
      </c>
      <c r="AG88" s="421">
        <v>15.92652404</v>
      </c>
      <c r="AH88" s="314">
        <f>IF(AF88=0, "    ---- ", IF(ABS(ROUND(100/AF88*AG88-100,1))&lt;999,ROUND(100/AF88*AG88-100,1),IF(ROUND(100/AF88*AG88-100,1)&gt;999,999,-999)))</f>
        <v>-20.6</v>
      </c>
      <c r="AI88" s="193">
        <v>1956.5650000000001</v>
      </c>
      <c r="AJ88" s="421">
        <v>780.89700000000005</v>
      </c>
      <c r="AK88" s="314">
        <f t="shared" si="15"/>
        <v>-60.1</v>
      </c>
      <c r="AL88" s="193">
        <v>19848</v>
      </c>
      <c r="AM88" s="421">
        <v>7989</v>
      </c>
      <c r="AN88" s="314">
        <f t="shared" si="21"/>
        <v>-59.7</v>
      </c>
      <c r="AO88" s="579">
        <f t="shared" si="34"/>
        <v>57416.023376360004</v>
      </c>
      <c r="AP88" s="579">
        <f t="shared" si="34"/>
        <v>21515.817361509995</v>
      </c>
      <c r="AQ88" s="314">
        <f t="shared" si="17"/>
        <v>-62.5</v>
      </c>
      <c r="AR88" s="419">
        <f t="shared" si="35"/>
        <v>57439.019578210005</v>
      </c>
      <c r="AS88" s="419">
        <f t="shared" si="35"/>
        <v>21537.410465549998</v>
      </c>
      <c r="AT88" s="422">
        <f t="shared" si="19"/>
        <v>-62.5</v>
      </c>
    </row>
    <row r="89" spans="1:46" s="441" customFormat="1" ht="20.100000000000001" customHeight="1" x14ac:dyDescent="0.3">
      <c r="A89" s="435" t="s">
        <v>226</v>
      </c>
      <c r="B89" s="193">
        <v>45.042000000000002</v>
      </c>
      <c r="C89" s="421">
        <v>35.665999999999997</v>
      </c>
      <c r="D89" s="421">
        <f>IF(B89=0, "    ---- ", IF(ABS(ROUND(100/B89*C89-100,1))&lt;999,ROUND(100/B89*C89-100,1),IF(ROUND(100/B89*C89-100,1)&gt;999,999,-999)))</f>
        <v>-20.8</v>
      </c>
      <c r="E89" s="193">
        <v>15.5</v>
      </c>
      <c r="F89" s="421"/>
      <c r="G89" s="314">
        <f>IF(E89=0, "    ---- ", IF(ABS(ROUND(100/E89*F89-100,1))&lt;999,ROUND(100/E89*F89-100,1),IF(ROUND(100/E89*F89-100,1)&gt;999,999,-999)))</f>
        <v>-100</v>
      </c>
      <c r="H89" s="193">
        <v>131.238</v>
      </c>
      <c r="I89" s="421">
        <v>130.85166254000001</v>
      </c>
      <c r="J89" s="421">
        <f t="shared" si="13"/>
        <v>-0.3</v>
      </c>
      <c r="K89" s="193">
        <v>1.5872516399999999</v>
      </c>
      <c r="L89" s="421">
        <v>0.5854605799999999</v>
      </c>
      <c r="M89" s="421">
        <f>IF(K89=0, "    ---- ", IF(ABS(ROUND(100/K89*L89-100,1))&lt;999,ROUND(100/K89*L89-100,1),IF(ROUND(100/K89*L89-100,1)&gt;999,999,-999)))</f>
        <v>-63.1</v>
      </c>
      <c r="N89" s="193">
        <v>20.382000000000001</v>
      </c>
      <c r="O89" s="421">
        <v>21.26</v>
      </c>
      <c r="P89" s="421">
        <f>IF(N89=0, "    ---- ", IF(ABS(ROUND(100/N89*O89-100,1))&lt;999,ROUND(100/N89*O89-100,1),IF(ROUND(100/N89*O89-100,1)&gt;999,999,-999)))</f>
        <v>4.3</v>
      </c>
      <c r="Q89" s="193">
        <v>15.3</v>
      </c>
      <c r="R89" s="421">
        <v>17.399999999999999</v>
      </c>
      <c r="S89" s="314">
        <f>IF(Q89=0, "    ---- ", IF(ABS(ROUND(100/Q89*R89-100,1))&lt;999,ROUND(100/Q89*R89-100,1),IF(ROUND(100/Q89*R89-100,1)&gt;999,999,-999)))</f>
        <v>13.7</v>
      </c>
      <c r="T89" s="193">
        <v>0.96528024000000001</v>
      </c>
      <c r="U89" s="421">
        <v>0.96231222999999999</v>
      </c>
      <c r="V89" s="314">
        <f>IF(T89=0, "    ---- ", IF(ABS(ROUND(100/T89*U89-100,1))&lt;999,ROUND(100/T89*U89-100,1),IF(ROUND(100/T89*U89-100,1)&gt;999,999,-999)))</f>
        <v>-0.3</v>
      </c>
      <c r="W89" s="193">
        <v>186.15048081</v>
      </c>
      <c r="X89" s="421">
        <v>279.52933224999998</v>
      </c>
      <c r="Y89" s="314">
        <f t="shared" si="33"/>
        <v>50.2</v>
      </c>
      <c r="Z89" s="193">
        <v>57.7</v>
      </c>
      <c r="AA89" s="421">
        <v>43.62</v>
      </c>
      <c r="AB89" s="314">
        <f t="shared" si="20"/>
        <v>-24.4</v>
      </c>
      <c r="AC89" s="193">
        <v>132</v>
      </c>
      <c r="AD89" s="421"/>
      <c r="AE89" s="314">
        <f>IF(AC89=0, "    ---- ", IF(ABS(ROUND(100/AC89*AD89-100,1))&lt;999,ROUND(100/AC89*AD89-100,1),IF(ROUND(100/AC89*AD89-100,1)&gt;999,999,-999)))</f>
        <v>-100</v>
      </c>
      <c r="AF89" s="193">
        <v>0.29680129</v>
      </c>
      <c r="AG89" s="421">
        <v>0.29482879000000001</v>
      </c>
      <c r="AH89" s="314"/>
      <c r="AI89" s="193">
        <v>44.161000000000001</v>
      </c>
      <c r="AJ89" s="421">
        <v>32.006999999999998</v>
      </c>
      <c r="AK89" s="314">
        <f t="shared" si="15"/>
        <v>-27.5</v>
      </c>
      <c r="AL89" s="193">
        <v>158</v>
      </c>
      <c r="AM89" s="421">
        <v>163</v>
      </c>
      <c r="AN89" s="314">
        <f t="shared" si="21"/>
        <v>3.2</v>
      </c>
      <c r="AO89" s="579">
        <f t="shared" si="34"/>
        <v>807.06073245000016</v>
      </c>
      <c r="AP89" s="579">
        <f t="shared" si="34"/>
        <v>723.91945536999992</v>
      </c>
      <c r="AQ89" s="314">
        <f t="shared" si="17"/>
        <v>-10.3</v>
      </c>
      <c r="AR89" s="419">
        <f t="shared" si="35"/>
        <v>808.32281397999986</v>
      </c>
      <c r="AS89" s="419">
        <f t="shared" si="35"/>
        <v>725.17659638999987</v>
      </c>
      <c r="AT89" s="422">
        <f t="shared" si="19"/>
        <v>-10.3</v>
      </c>
    </row>
    <row r="90" spans="1:46" s="441" customFormat="1" ht="20.100000000000001" customHeight="1" x14ac:dyDescent="0.3">
      <c r="A90" s="435"/>
      <c r="B90" s="193"/>
      <c r="C90" s="421"/>
      <c r="D90" s="314"/>
      <c r="E90" s="193"/>
      <c r="F90" s="421"/>
      <c r="G90" s="314"/>
      <c r="H90" s="193"/>
      <c r="I90" s="421"/>
      <c r="J90" s="314"/>
      <c r="K90" s="193"/>
      <c r="L90" s="421"/>
      <c r="M90" s="314"/>
      <c r="N90" s="193"/>
      <c r="O90" s="421"/>
      <c r="P90" s="314"/>
      <c r="Q90" s="193"/>
      <c r="R90" s="421"/>
      <c r="S90" s="314"/>
      <c r="T90" s="193"/>
      <c r="U90" s="421"/>
      <c r="V90" s="314"/>
      <c r="W90" s="193"/>
      <c r="X90" s="421"/>
      <c r="Y90" s="314"/>
      <c r="Z90" s="193"/>
      <c r="AA90" s="421"/>
      <c r="AB90" s="314"/>
      <c r="AC90" s="193"/>
      <c r="AD90" s="421"/>
      <c r="AE90" s="314"/>
      <c r="AF90" s="193"/>
      <c r="AG90" s="421"/>
      <c r="AH90" s="314"/>
      <c r="AI90" s="193"/>
      <c r="AJ90" s="421"/>
      <c r="AK90" s="314"/>
      <c r="AL90" s="193"/>
      <c r="AM90" s="421"/>
      <c r="AN90" s="314"/>
      <c r="AO90" s="411"/>
      <c r="AP90" s="411"/>
      <c r="AQ90" s="314"/>
      <c r="AR90" s="413"/>
      <c r="AS90" s="413"/>
      <c r="AT90" s="422"/>
    </row>
    <row r="91" spans="1:46" s="465" customFormat="1" ht="20.100000000000001" customHeight="1" x14ac:dyDescent="0.3">
      <c r="A91" s="438" t="s">
        <v>227</v>
      </c>
      <c r="B91" s="196">
        <f>SUM(B68+B69+B71+B79+B85+B86+B87+B88+B89)</f>
        <v>20826.775000000001</v>
      </c>
      <c r="C91" s="427">
        <f>SUM(C68+C69+C71+C79+C85+C86+C87+C88+C89)</f>
        <v>27737.599999999999</v>
      </c>
      <c r="D91" s="428">
        <f>IF(B91=0, "    ---- ", IF(ABS(ROUND(100/B91*C91-100,1))&lt;999,ROUND(100/B91*C91-100,1),IF(ROUND(100/B91*C91-100,1)&gt;999,999,-999)))</f>
        <v>33.200000000000003</v>
      </c>
      <c r="E91" s="196">
        <f>SUM(E68+E69+E71+E79+E85+E86+E87+E88+E89)</f>
        <v>6984.0999999999995</v>
      </c>
      <c r="F91" s="427">
        <f>SUM(F68+F69+F71+F79+F85+F86+F87+F88+F89)</f>
        <v>0</v>
      </c>
      <c r="G91" s="428">
        <f>IF(E91=0, "    ---- ", IF(ABS(ROUND(100/E91*F91-100,1))&lt;999,ROUND(100/E91*F91-100,1),IF(ROUND(100/E91*F91-100,1)&gt;999,999,-999)))</f>
        <v>-100</v>
      </c>
      <c r="H91" s="196">
        <f>SUM(H68+H69+H71+H79+H85+H86+H87+H88+H89)</f>
        <v>319631.94500000001</v>
      </c>
      <c r="I91" s="427">
        <f>SUM(I68+I69+I71+I79+I85+I86+I87+I88+I89)</f>
        <v>360120.46560007997</v>
      </c>
      <c r="J91" s="428">
        <f t="shared" si="13"/>
        <v>12.7</v>
      </c>
      <c r="K91" s="196">
        <v>9553.6353469399983</v>
      </c>
      <c r="L91" s="427">
        <f>SUM(L68+L69+L71+L79+L85+L86+L87+L88+L89)</f>
        <v>10986.341019309999</v>
      </c>
      <c r="M91" s="428">
        <f>IF(K91=0, "    ---- ", IF(ABS(ROUND(100/K91*L91-100,1))&lt;999,ROUND(100/K91*L91-100,1),IF(ROUND(100/K91*L91-100,1)&gt;999,999,-999)))</f>
        <v>15</v>
      </c>
      <c r="N91" s="196">
        <f>SUM(N68+N69+N71+N79+N85+N86+N87+N88+N89)</f>
        <v>6024.1009999999997</v>
      </c>
      <c r="O91" s="427">
        <f>SUM(O68+O69+O71+O79+O85+O86+O87+O88+O89)</f>
        <v>2369.2060000000001</v>
      </c>
      <c r="P91" s="428">
        <f>IF(N91=0, "    ---- ", IF(ABS(ROUND(100/N91*O91-100,1))&lt;999,ROUND(100/N91*O91-100,1),IF(ROUND(100/N91*O91-100,1)&gt;999,999,-999)))</f>
        <v>-60.7</v>
      </c>
      <c r="Q91" s="196">
        <f>SUM(Q68+Q69+Q71+Q79+Q85+Q86+Q87+Q88+Q89)</f>
        <v>34956.200000000004</v>
      </c>
      <c r="R91" s="427">
        <f>SUM(R68+R69+R71+R79+R85+R86+R87+R88+R89)</f>
        <v>45804.3</v>
      </c>
      <c r="S91" s="428">
        <f>IF(Q91=0, "    ---- ", IF(ABS(ROUND(100/Q91*R91-100,1))&lt;999,ROUND(100/Q91*R91-100,1),IF(ROUND(100/Q91*R91-100,1)&gt;999,999,-999)))</f>
        <v>31</v>
      </c>
      <c r="T91" s="196">
        <f>SUM(T68+T69+T71+T79+T85+T86+T87+T88+T89)</f>
        <v>149.58542157999997</v>
      </c>
      <c r="U91" s="427">
        <f>SUM(U68+U69+U71+U79+U85+U86+U87+U88+U89)</f>
        <v>157.74681720000001</v>
      </c>
      <c r="V91" s="428">
        <f>IF(T91=0, "    ---- ", IF(ABS(ROUND(100/T91*U91-100,1))&lt;999,ROUND(100/T91*U91-100,1),IF(ROUND(100/T91*U91-100,1)&gt;999,999,-999)))</f>
        <v>5.5</v>
      </c>
      <c r="W91" s="196">
        <v>618800.65435262013</v>
      </c>
      <c r="X91" s="427">
        <f>SUM(X68+X69+X71+X79+X85+X86+X87+X88+X89)</f>
        <v>650623.37779500009</v>
      </c>
      <c r="Y91" s="428">
        <f t="shared" si="33"/>
        <v>5.0999999999999996</v>
      </c>
      <c r="Z91" s="196">
        <f>SUM(Z68+Z69+Z71+Z79+Z85+Z86+Z87+Z88+Z89)</f>
        <v>134446.99000000002</v>
      </c>
      <c r="AA91" s="427">
        <f>SUM(AA68+AA69+AA71+AA79+AA85+AA86+AA87+AA88+AA89)</f>
        <v>172215.92</v>
      </c>
      <c r="AB91" s="428">
        <f t="shared" si="20"/>
        <v>28.1</v>
      </c>
      <c r="AC91" s="196">
        <f>SUM(AC68+AC69+AC71+AC79+AC85+AC86+AC87+AC88+AC89)</f>
        <v>100304</v>
      </c>
      <c r="AD91" s="427">
        <f>SUM(AD68+AD69+AD71+AD79+AD85+AD86+AD87+AD88+AD89)</f>
        <v>116549</v>
      </c>
      <c r="AE91" s="428">
        <f>IF(AC91=0, "    ---- ", IF(ABS(ROUND(100/AC91*AD91-100,1))&lt;999,ROUND(100/AC91*AD91-100,1),IF(ROUND(100/AC91*AD91-100,1)&gt;999,999,-999)))</f>
        <v>16.2</v>
      </c>
      <c r="AF91" s="196">
        <f>SUM(AF68+AF69+AF71+AF79+AF85+AF86+AF87+AF88+AF89)</f>
        <v>2356.2158355900001</v>
      </c>
      <c r="AG91" s="427">
        <f>SUM(AG68+AG69+AG71+AG79+AG85+AG86+AG87+AG88+AG89)</f>
        <v>3147.5923068100001</v>
      </c>
      <c r="AH91" s="428">
        <f>IF(AF91=0, "    ---- ", IF(ABS(ROUND(100/AF91*AG91-100,1))&lt;999,ROUND(100/AF91*AG91-100,1),IF(ROUND(100/AF91*AG91-100,1)&gt;999,999,-999)))</f>
        <v>33.6</v>
      </c>
      <c r="AI91" s="196">
        <f>SUM(AI68+AI69+AI71+AI79+AI85+AI86+AI87+AI88+AI89)</f>
        <v>60798.854758810005</v>
      </c>
      <c r="AJ91" s="427">
        <f>SUM(AJ68+AJ69+AJ71+AJ79+AJ85+AJ86+AJ87+AJ88+AJ89)</f>
        <v>77098.079004779996</v>
      </c>
      <c r="AK91" s="428">
        <f t="shared" si="15"/>
        <v>26.8</v>
      </c>
      <c r="AL91" s="196">
        <f>SUM(AL68+AL69+AL71+AL79+AL85+AL86+AL87+AL88+AL89)</f>
        <v>350265</v>
      </c>
      <c r="AM91" s="427">
        <f>SUM(AM68+AM69+AM71+AM79+AM85+AM86+AM87+AM88+AM89)</f>
        <v>390310</v>
      </c>
      <c r="AN91" s="428">
        <f t="shared" si="21"/>
        <v>11.4</v>
      </c>
      <c r="AO91" s="659">
        <f>B91+H91+K91+N91+Q91+W91+E91+Z91+AC91+AI91+AL91</f>
        <v>1662592.2554583703</v>
      </c>
      <c r="AP91" s="659">
        <f>C91+I91+L91+O91+R91+X91+F91+AA91+AD91+AJ91+AM91</f>
        <v>1853814.28941917</v>
      </c>
      <c r="AQ91" s="428">
        <f t="shared" si="17"/>
        <v>11.5</v>
      </c>
      <c r="AR91" s="564">
        <f>B91+H91+K91+N91+Q91+T91+W91+E91+Z91+AC91+AF91+AI91+AL91</f>
        <v>1665098.0567155401</v>
      </c>
      <c r="AS91" s="564">
        <f>C91+I91+L91+O91+R91+U91+X91+F91+AA91+AD91+AG91+AJ91+AM91</f>
        <v>1857119.6285431799</v>
      </c>
      <c r="AT91" s="429">
        <f t="shared" si="19"/>
        <v>11.5</v>
      </c>
    </row>
    <row r="92" spans="1:46" ht="18.75" customHeight="1" x14ac:dyDescent="0.3">
      <c r="A92" s="439" t="s">
        <v>228</v>
      </c>
      <c r="B92" s="439"/>
      <c r="W92" s="439"/>
      <c r="X92" s="441"/>
      <c r="AA92" s="442"/>
      <c r="AB92" s="442"/>
      <c r="AC92" s="442"/>
      <c r="AD92" s="442"/>
      <c r="AE92" s="442"/>
      <c r="AF92" s="442"/>
      <c r="AG92" s="442"/>
      <c r="AH92" s="442"/>
      <c r="AI92" s="439"/>
      <c r="AL92" s="439"/>
    </row>
    <row r="93" spans="1:46" ht="18.75" customHeight="1" x14ac:dyDescent="0.3">
      <c r="A93" s="439" t="s">
        <v>229</v>
      </c>
      <c r="W93" s="439"/>
      <c r="X93" s="441"/>
      <c r="AA93" s="442"/>
      <c r="AB93" s="442"/>
      <c r="AC93" s="442"/>
      <c r="AD93" s="442"/>
      <c r="AE93" s="442"/>
      <c r="AF93" s="442"/>
      <c r="AG93" s="442"/>
      <c r="AH93" s="442"/>
      <c r="AI93" s="439"/>
      <c r="AL93" s="439"/>
    </row>
    <row r="94" spans="1:46" s="443" customFormat="1" ht="18.75" customHeight="1" x14ac:dyDescent="0.3">
      <c r="A94" s="439" t="s">
        <v>230</v>
      </c>
      <c r="W94" s="439"/>
      <c r="X94" s="439"/>
      <c r="AB94" s="444"/>
      <c r="AC94" s="444"/>
      <c r="AD94" s="444"/>
      <c r="AE94" s="444"/>
      <c r="AF94" s="444"/>
      <c r="AG94" s="444"/>
      <c r="AH94" s="444"/>
    </row>
    <row r="95" spans="1:46" s="443" customFormat="1" ht="18.75" x14ac:dyDescent="0.3">
      <c r="W95" s="439"/>
      <c r="X95" s="439"/>
    </row>
    <row r="96" spans="1:46" s="443" customFormat="1" ht="18.75" x14ac:dyDescent="0.3">
      <c r="W96" s="439"/>
      <c r="X96" s="439"/>
    </row>
    <row r="97" spans="23:24" s="443" customFormat="1" ht="18.75" x14ac:dyDescent="0.3">
      <c r="W97" s="439"/>
      <c r="X97" s="439"/>
    </row>
    <row r="98" spans="23:24" s="443" customFormat="1" ht="18.75" x14ac:dyDescent="0.3">
      <c r="W98" s="439"/>
      <c r="X98" s="439"/>
    </row>
    <row r="99" spans="23:24" s="443" customFormat="1" ht="18.75" x14ac:dyDescent="0.3">
      <c r="W99" s="439"/>
      <c r="X99" s="439"/>
    </row>
    <row r="100" spans="23:24" s="443" customFormat="1" ht="18.75" x14ac:dyDescent="0.3">
      <c r="W100" s="439"/>
      <c r="X100" s="439"/>
    </row>
    <row r="101" spans="23:24" s="443" customFormat="1" ht="18.75" x14ac:dyDescent="0.3">
      <c r="W101" s="439"/>
      <c r="X101" s="439"/>
    </row>
    <row r="102" spans="23:24" s="443" customFormat="1" ht="18.75" x14ac:dyDescent="0.3">
      <c r="W102" s="439"/>
      <c r="X102" s="439"/>
    </row>
    <row r="103" spans="23:24" s="443" customFormat="1" ht="18.75" x14ac:dyDescent="0.3">
      <c r="W103" s="439"/>
      <c r="X103" s="439"/>
    </row>
    <row r="104" spans="23:24" s="443" customFormat="1" ht="18.75" x14ac:dyDescent="0.3">
      <c r="W104" s="439"/>
      <c r="X104" s="439"/>
    </row>
    <row r="105" spans="23:24" s="443" customFormat="1" ht="18.75" x14ac:dyDescent="0.3">
      <c r="W105" s="439"/>
      <c r="X105" s="439"/>
    </row>
    <row r="106" spans="23:24" s="443" customFormat="1" ht="18.75" x14ac:dyDescent="0.3">
      <c r="W106" s="439"/>
      <c r="X106" s="439"/>
    </row>
    <row r="107" spans="23:24" s="443" customFormat="1" ht="18.75" x14ac:dyDescent="0.3">
      <c r="W107" s="439"/>
      <c r="X107" s="439"/>
    </row>
    <row r="108" spans="23:24" s="443" customFormat="1" ht="18.75" x14ac:dyDescent="0.3">
      <c r="W108" s="439"/>
      <c r="X108" s="439"/>
    </row>
    <row r="109" spans="23:24" s="443" customFormat="1" ht="18.75" x14ac:dyDescent="0.3">
      <c r="W109" s="439"/>
      <c r="X109" s="439"/>
    </row>
    <row r="110" spans="23:24" s="467" customFormat="1" ht="15.75" x14ac:dyDescent="0.25">
      <c r="W110" s="466"/>
      <c r="X110" s="466"/>
    </row>
    <row r="111" spans="23:24" s="467" customFormat="1" ht="15.75" x14ac:dyDescent="0.25">
      <c r="W111" s="466"/>
      <c r="X111" s="466"/>
    </row>
    <row r="112" spans="23:24" x14ac:dyDescent="0.2">
      <c r="W112" s="441"/>
      <c r="X112" s="441"/>
    </row>
    <row r="113" spans="23:24" x14ac:dyDescent="0.2">
      <c r="W113" s="441"/>
      <c r="X113" s="441"/>
    </row>
    <row r="114" spans="23:24" x14ac:dyDescent="0.2">
      <c r="W114" s="441"/>
      <c r="X114" s="441"/>
    </row>
    <row r="115" spans="23:24" x14ac:dyDescent="0.2">
      <c r="W115" s="441"/>
      <c r="X115" s="441"/>
    </row>
    <row r="116" spans="23:24" x14ac:dyDescent="0.2">
      <c r="W116" s="441"/>
      <c r="X116" s="441"/>
    </row>
    <row r="117" spans="23:24" x14ac:dyDescent="0.2">
      <c r="W117" s="441"/>
      <c r="X117" s="441"/>
    </row>
    <row r="118" spans="23:24" x14ac:dyDescent="0.2">
      <c r="W118" s="441"/>
      <c r="X118" s="441"/>
    </row>
    <row r="119" spans="23:24" x14ac:dyDescent="0.2">
      <c r="W119" s="441"/>
      <c r="X119" s="441"/>
    </row>
    <row r="120" spans="23:24" x14ac:dyDescent="0.2">
      <c r="W120" s="441"/>
      <c r="X120" s="441"/>
    </row>
    <row r="121" spans="23:24" x14ac:dyDescent="0.2">
      <c r="W121" s="441"/>
      <c r="X121" s="441"/>
    </row>
    <row r="122" spans="23:24" x14ac:dyDescent="0.2">
      <c r="W122" s="441"/>
      <c r="X122" s="441"/>
    </row>
    <row r="123" spans="23:24" x14ac:dyDescent="0.2">
      <c r="W123" s="441"/>
      <c r="X123" s="441"/>
    </row>
    <row r="124" spans="23:24" x14ac:dyDescent="0.2">
      <c r="W124" s="441"/>
      <c r="X124" s="441"/>
    </row>
    <row r="125" spans="23:24" x14ac:dyDescent="0.2">
      <c r="W125" s="441"/>
      <c r="X125" s="441"/>
    </row>
    <row r="126" spans="23:24" x14ac:dyDescent="0.2">
      <c r="W126" s="441"/>
      <c r="X126" s="441"/>
    </row>
    <row r="127" spans="23:24" x14ac:dyDescent="0.2">
      <c r="W127" s="441"/>
      <c r="X127" s="441"/>
    </row>
    <row r="128" spans="23:24" x14ac:dyDescent="0.2">
      <c r="W128" s="441"/>
      <c r="X128" s="441"/>
    </row>
    <row r="129" spans="23:24" x14ac:dyDescent="0.2">
      <c r="W129" s="441"/>
      <c r="X129" s="441"/>
    </row>
  </sheetData>
  <mergeCells count="31">
    <mergeCell ref="B5:D5"/>
    <mergeCell ref="H5:J5"/>
    <mergeCell ref="AW5:AY5"/>
    <mergeCell ref="AZ5:BB5"/>
    <mergeCell ref="Q6:S6"/>
    <mergeCell ref="T6:V6"/>
    <mergeCell ref="W6:Y6"/>
    <mergeCell ref="Z6:AB6"/>
    <mergeCell ref="AC6:AE6"/>
    <mergeCell ref="AW6:AY6"/>
    <mergeCell ref="AZ6:BB6"/>
    <mergeCell ref="B6:D6"/>
    <mergeCell ref="H6:J6"/>
    <mergeCell ref="E5:G5"/>
    <mergeCell ref="E6:G6"/>
    <mergeCell ref="N5:P5"/>
    <mergeCell ref="K5:M5"/>
    <mergeCell ref="N6:P6"/>
    <mergeCell ref="K6:M6"/>
    <mergeCell ref="BC5:BE5"/>
    <mergeCell ref="BC6:BE6"/>
    <mergeCell ref="AR5:AT5"/>
    <mergeCell ref="AR6:AT6"/>
    <mergeCell ref="Q5:S5"/>
    <mergeCell ref="AC5:AE5"/>
    <mergeCell ref="AF6:AH6"/>
    <mergeCell ref="AI6:AK6"/>
    <mergeCell ref="AL6:AN6"/>
    <mergeCell ref="AL5:AN5"/>
    <mergeCell ref="AO5:AQ5"/>
    <mergeCell ref="AO6:AQ6"/>
  </mergeCells>
  <conditionalFormatting sqref="H91">
    <cfRule type="expression" dxfId="179" priority="329">
      <formula>#REF! = "64≠94"</formula>
    </cfRule>
  </conditionalFormatting>
  <conditionalFormatting sqref="H91">
    <cfRule type="expression" dxfId="178" priority="330">
      <formula>#REF! = "94≠68+69+71+80+88+89+90+91+92"</formula>
    </cfRule>
  </conditionalFormatting>
  <conditionalFormatting sqref="H35">
    <cfRule type="expression" dxfId="177" priority="331">
      <formula>#REF! ="35≠36+38"</formula>
    </cfRule>
  </conditionalFormatting>
  <conditionalFormatting sqref="H39">
    <cfRule type="expression" dxfId="176" priority="332">
      <formula>#REF! ="39≠40+41+42+43+44"</formula>
    </cfRule>
  </conditionalFormatting>
  <conditionalFormatting sqref="H45">
    <cfRule type="expression" dxfId="175" priority="333">
      <formula>#REF! ="45≠33+34+35+39"</formula>
    </cfRule>
  </conditionalFormatting>
  <conditionalFormatting sqref="H50">
    <cfRule type="expression" dxfId="174" priority="334">
      <formula>#REF! ="50≠51+53"</formula>
    </cfRule>
  </conditionalFormatting>
  <conditionalFormatting sqref="H54">
    <cfRule type="expression" dxfId="173" priority="335">
      <formula>#REF! ="54≠55+56+57+58+59"</formula>
    </cfRule>
  </conditionalFormatting>
  <conditionalFormatting sqref="H60">
    <cfRule type="expression" dxfId="172" priority="336">
      <formula>#REF! ="60≠48+49+50+54"</formula>
    </cfRule>
  </conditionalFormatting>
  <conditionalFormatting sqref="H62">
    <cfRule type="expression" dxfId="171" priority="337">
      <formula>#REF! ="62≠45+46+60+61"</formula>
    </cfRule>
  </conditionalFormatting>
  <conditionalFormatting sqref="H64">
    <cfRule type="expression" dxfId="170" priority="338">
      <formula>#REF! ="64≠29+62"</formula>
    </cfRule>
  </conditionalFormatting>
  <conditionalFormatting sqref="H79">
    <cfRule type="expression" dxfId="169" priority="339">
      <formula>#REF! ="80≠73+74+75+76+77+78+79"</formula>
    </cfRule>
  </conditionalFormatting>
  <conditionalFormatting sqref="H85">
    <cfRule type="expression" dxfId="168" priority="340">
      <formula>#REF! ="88≠82+83+84+85+86+87"</formula>
    </cfRule>
  </conditionalFormatting>
  <conditionalFormatting sqref="AR35">
    <cfRule type="expression" dxfId="167" priority="281">
      <formula>#REF! ="35≠36+38"</formula>
    </cfRule>
  </conditionalFormatting>
  <conditionalFormatting sqref="AR39">
    <cfRule type="expression" dxfId="166" priority="282">
      <formula>#REF! ="39≠40+41+42+43+44"</formula>
    </cfRule>
  </conditionalFormatting>
  <conditionalFormatting sqref="AR45">
    <cfRule type="expression" dxfId="165" priority="283">
      <formula>#REF! ="45≠33+34+35+39"</formula>
    </cfRule>
  </conditionalFormatting>
  <conditionalFormatting sqref="AR50">
    <cfRule type="expression" dxfId="164" priority="284">
      <formula>#REF! ="50≠51+53"</formula>
    </cfRule>
  </conditionalFormatting>
  <conditionalFormatting sqref="AR54">
    <cfRule type="expression" dxfId="163" priority="285">
      <formula>#REF! ="54≠55+56+57+58+59"</formula>
    </cfRule>
  </conditionalFormatting>
  <conditionalFormatting sqref="AR60">
    <cfRule type="expression" dxfId="162" priority="286">
      <formula>#REF! ="60≠48+49+50+54"</formula>
    </cfRule>
  </conditionalFormatting>
  <conditionalFormatting sqref="AR62">
    <cfRule type="expression" dxfId="161" priority="287">
      <formula>#REF! ="62≠45+46+60+61"</formula>
    </cfRule>
  </conditionalFormatting>
  <conditionalFormatting sqref="AR64">
    <cfRule type="expression" dxfId="160" priority="288">
      <formula>#REF! ="64≠29+62"</formula>
    </cfRule>
  </conditionalFormatting>
  <conditionalFormatting sqref="AR79">
    <cfRule type="expression" dxfId="159" priority="289">
      <formula>#REF! ="80≠73+74+75+76+77+78+79"</formula>
    </cfRule>
  </conditionalFormatting>
  <conditionalFormatting sqref="AR85">
    <cfRule type="expression" dxfId="158" priority="290">
      <formula>#REF! ="88≠82+83+84+85+86+87"</formula>
    </cfRule>
  </conditionalFormatting>
  <conditionalFormatting sqref="AR91">
    <cfRule type="expression" dxfId="157" priority="291">
      <formula>#REF! = "64≠94"</formula>
    </cfRule>
  </conditionalFormatting>
  <conditionalFormatting sqref="AR91">
    <cfRule type="expression" dxfId="156" priority="292">
      <formula>#REF! = "94≠68+69+71+80+88+89+90+91+92"</formula>
    </cfRule>
  </conditionalFormatting>
  <conditionalFormatting sqref="T35">
    <cfRule type="expression" dxfId="155" priority="257">
      <formula>#REF! ="35≠36+38"</formula>
    </cfRule>
  </conditionalFormatting>
  <conditionalFormatting sqref="T39">
    <cfRule type="expression" dxfId="154" priority="258">
      <formula>#REF! ="39≠40+41+42+43+44"</formula>
    </cfRule>
  </conditionalFormatting>
  <conditionalFormatting sqref="T45">
    <cfRule type="expression" dxfId="153" priority="259">
      <formula>#REF! ="45≠33+34+35+39"</formula>
    </cfRule>
  </conditionalFormatting>
  <conditionalFormatting sqref="T50">
    <cfRule type="expression" dxfId="152" priority="260">
      <formula>#REF! ="50≠51+53"</formula>
    </cfRule>
  </conditionalFormatting>
  <conditionalFormatting sqref="T54">
    <cfRule type="expression" dxfId="151" priority="261">
      <formula>#REF! ="54≠55+56+57+58+59"</formula>
    </cfRule>
  </conditionalFormatting>
  <conditionalFormatting sqref="T60">
    <cfRule type="expression" dxfId="150" priority="262">
      <formula>#REF! ="60≠48+49+50+54"</formula>
    </cfRule>
  </conditionalFormatting>
  <conditionalFormatting sqref="T62">
    <cfRule type="expression" dxfId="149" priority="263">
      <formula>#REF! ="62≠45+46+60+61"</formula>
    </cfRule>
  </conditionalFormatting>
  <conditionalFormatting sqref="T64">
    <cfRule type="expression" dxfId="148" priority="264">
      <formula>#REF! ="64≠29+62"</formula>
    </cfRule>
  </conditionalFormatting>
  <conditionalFormatting sqref="T79">
    <cfRule type="expression" dxfId="147" priority="265">
      <formula>#REF! ="80≠73+74+75+76+77+78+79"</formula>
    </cfRule>
  </conditionalFormatting>
  <conditionalFormatting sqref="T85">
    <cfRule type="expression" dxfId="146" priority="266">
      <formula>#REF! ="88≠82+83+84+85+86+87"</formula>
    </cfRule>
  </conditionalFormatting>
  <conditionalFormatting sqref="T91">
    <cfRule type="expression" dxfId="145" priority="267">
      <formula>#REF! = "64≠94"</formula>
    </cfRule>
  </conditionalFormatting>
  <conditionalFormatting sqref="T91">
    <cfRule type="expression" dxfId="144" priority="268">
      <formula>#REF! = "94≠68+69+71+80+88+89+90+91+92"</formula>
    </cfRule>
  </conditionalFormatting>
  <conditionalFormatting sqref="AL35">
    <cfRule type="expression" dxfId="143" priority="233">
      <formula>#REF! ="35≠36+38"</formula>
    </cfRule>
  </conditionalFormatting>
  <conditionalFormatting sqref="AL39">
    <cfRule type="expression" dxfId="142" priority="234">
      <formula>#REF! ="39≠40+41+42+43+44"</formula>
    </cfRule>
  </conditionalFormatting>
  <conditionalFormatting sqref="AL45">
    <cfRule type="expression" dxfId="141" priority="235">
      <formula>#REF! ="45≠33+34+35+39"</formula>
    </cfRule>
  </conditionalFormatting>
  <conditionalFormatting sqref="AL50">
    <cfRule type="expression" dxfId="140" priority="236">
      <formula>#REF! ="50≠51+53"</formula>
    </cfRule>
  </conditionalFormatting>
  <conditionalFormatting sqref="AL54">
    <cfRule type="expression" dxfId="139" priority="237">
      <formula>#REF! ="54≠55+56+57+58+59"</formula>
    </cfRule>
  </conditionalFormatting>
  <conditionalFormatting sqref="AL60">
    <cfRule type="expression" dxfId="138" priority="238">
      <formula>#REF! ="60≠48+49+50+54"</formula>
    </cfRule>
  </conditionalFormatting>
  <conditionalFormatting sqref="AL62">
    <cfRule type="expression" dxfId="137" priority="239">
      <formula>#REF! ="62≠45+46+60+61"</formula>
    </cfRule>
  </conditionalFormatting>
  <conditionalFormatting sqref="AL64">
    <cfRule type="expression" dxfId="136" priority="240">
      <formula>#REF! ="64≠29+62"</formula>
    </cfRule>
  </conditionalFormatting>
  <conditionalFormatting sqref="AL79">
    <cfRule type="expression" dxfId="135" priority="241">
      <formula>#REF! ="80≠73+74+75+76+77+78+79"</formula>
    </cfRule>
  </conditionalFormatting>
  <conditionalFormatting sqref="AL85">
    <cfRule type="expression" dxfId="134" priority="242">
      <formula>#REF! ="88≠82+83+84+85+86+87"</formula>
    </cfRule>
  </conditionalFormatting>
  <conditionalFormatting sqref="AL91">
    <cfRule type="expression" dxfId="133" priority="243">
      <formula>#REF! = "64≠94"</formula>
    </cfRule>
  </conditionalFormatting>
  <conditionalFormatting sqref="AL91">
    <cfRule type="expression" dxfId="132" priority="244">
      <formula>#REF! = "94≠68+69+71+80+88+89+90+91+92"</formula>
    </cfRule>
  </conditionalFormatting>
  <conditionalFormatting sqref="AC35">
    <cfRule type="expression" dxfId="131" priority="209">
      <formula>#REF! ="35≠36+38"</formula>
    </cfRule>
  </conditionalFormatting>
  <conditionalFormatting sqref="AC39">
    <cfRule type="expression" dxfId="130" priority="210">
      <formula>#REF! ="39≠40+41+42+43+44"</formula>
    </cfRule>
  </conditionalFormatting>
  <conditionalFormatting sqref="AC45">
    <cfRule type="expression" dxfId="129" priority="211">
      <formula>#REF! ="45≠33+34+35+39"</formula>
    </cfRule>
  </conditionalFormatting>
  <conditionalFormatting sqref="AC50">
    <cfRule type="expression" dxfId="128" priority="212">
      <formula>#REF! ="50≠51+53"</formula>
    </cfRule>
  </conditionalFormatting>
  <conditionalFormatting sqref="AC54">
    <cfRule type="expression" dxfId="127" priority="213">
      <formula>#REF! ="54≠55+56+57+58+59"</formula>
    </cfRule>
  </conditionalFormatting>
  <conditionalFormatting sqref="AC60">
    <cfRule type="expression" dxfId="126" priority="214">
      <formula>#REF! ="60≠48+49+50+54"</formula>
    </cfRule>
  </conditionalFormatting>
  <conditionalFormatting sqref="AC62">
    <cfRule type="expression" dxfId="125" priority="215">
      <formula>#REF! ="62≠45+46+60+61"</formula>
    </cfRule>
  </conditionalFormatting>
  <conditionalFormatting sqref="AC64">
    <cfRule type="expression" dxfId="124" priority="216">
      <formula>#REF! ="64≠29+62"</formula>
    </cfRule>
  </conditionalFormatting>
  <conditionalFormatting sqref="AC79">
    <cfRule type="expression" dxfId="123" priority="217">
      <formula>#REF! ="80≠73+74+75+76+77+78+79"</formula>
    </cfRule>
  </conditionalFormatting>
  <conditionalFormatting sqref="AC85">
    <cfRule type="expression" dxfId="122" priority="218">
      <formula>#REF! ="88≠82+83+84+85+86+87"</formula>
    </cfRule>
  </conditionalFormatting>
  <conditionalFormatting sqref="AC91">
    <cfRule type="expression" dxfId="121" priority="219">
      <formula>#REF! = "64≠94"</formula>
    </cfRule>
  </conditionalFormatting>
  <conditionalFormatting sqref="AC91">
    <cfRule type="expression" dxfId="120" priority="220">
      <formula>#REF! = "94≠68+69+71+80+88+89+90+91+92"</formula>
    </cfRule>
  </conditionalFormatting>
  <conditionalFormatting sqref="N35">
    <cfRule type="expression" dxfId="119" priority="185">
      <formula>#REF! ="35≠36+38"</formula>
    </cfRule>
  </conditionalFormatting>
  <conditionalFormatting sqref="N39">
    <cfRule type="expression" dxfId="118" priority="186">
      <formula>#REF! ="39≠40+41+42+43+44"</formula>
    </cfRule>
  </conditionalFormatting>
  <conditionalFormatting sqref="N45">
    <cfRule type="expression" dxfId="117" priority="187">
      <formula>#REF! ="45≠33+34+35+39"</formula>
    </cfRule>
  </conditionalFormatting>
  <conditionalFormatting sqref="N50">
    <cfRule type="expression" dxfId="116" priority="188">
      <formula>#REF! ="50≠51+53"</formula>
    </cfRule>
  </conditionalFormatting>
  <conditionalFormatting sqref="N54">
    <cfRule type="expression" dxfId="115" priority="189">
      <formula>#REF! ="54≠55+56+57+58+59"</formula>
    </cfRule>
  </conditionalFormatting>
  <conditionalFormatting sqref="N60">
    <cfRule type="expression" dxfId="114" priority="190">
      <formula>#REF! ="60≠48+49+50+54"</formula>
    </cfRule>
  </conditionalFormatting>
  <conditionalFormatting sqref="N62">
    <cfRule type="expression" dxfId="113" priority="191">
      <formula>#REF! ="62≠45+46+60+61"</formula>
    </cfRule>
  </conditionalFormatting>
  <conditionalFormatting sqref="N64">
    <cfRule type="expression" dxfId="112" priority="192">
      <formula>#REF! ="64≠29+62"</formula>
    </cfRule>
  </conditionalFormatting>
  <conditionalFormatting sqref="N79">
    <cfRule type="expression" dxfId="111" priority="193">
      <formula>#REF! ="80≠73+74+75+76+77+78+79"</formula>
    </cfRule>
  </conditionalFormatting>
  <conditionalFormatting sqref="N85">
    <cfRule type="expression" dxfId="110" priority="194">
      <formula>#REF! ="88≠82+83+84+85+86+87"</formula>
    </cfRule>
  </conditionalFormatting>
  <conditionalFormatting sqref="N91">
    <cfRule type="expression" dxfId="109" priority="195">
      <formula>#REF! = "64≠94"</formula>
    </cfRule>
  </conditionalFormatting>
  <conditionalFormatting sqref="N91">
    <cfRule type="expression" dxfId="108" priority="196">
      <formula>#REF! = "94≠68+69+71+80+88+89+90+91+92"</formula>
    </cfRule>
  </conditionalFormatting>
  <conditionalFormatting sqref="B35">
    <cfRule type="expression" dxfId="107" priority="161">
      <formula>#REF! ="35≠36+38"</formula>
    </cfRule>
  </conditionalFormatting>
  <conditionalFormatting sqref="B39">
    <cfRule type="expression" dxfId="106" priority="162">
      <formula>#REF! ="39≠40+41+42+43+44"</formula>
    </cfRule>
  </conditionalFormatting>
  <conditionalFormatting sqref="B45">
    <cfRule type="expression" dxfId="105" priority="163">
      <formula>#REF! ="45≠33+34+35+39"</formula>
    </cfRule>
  </conditionalFormatting>
  <conditionalFormatting sqref="B50">
    <cfRule type="expression" dxfId="104" priority="164">
      <formula>#REF! ="50≠51+53"</formula>
    </cfRule>
  </conditionalFormatting>
  <conditionalFormatting sqref="B54">
    <cfRule type="expression" dxfId="103" priority="165">
      <formula>#REF! ="54≠55+56+57+58+59"</formula>
    </cfRule>
  </conditionalFormatting>
  <conditionalFormatting sqref="B60">
    <cfRule type="expression" dxfId="102" priority="166">
      <formula>#REF! ="60≠48+49+50+54"</formula>
    </cfRule>
  </conditionalFormatting>
  <conditionalFormatting sqref="B62">
    <cfRule type="expression" dxfId="101" priority="167">
      <formula>#REF! ="62≠45+46+60+61"</formula>
    </cfRule>
  </conditionalFormatting>
  <conditionalFormatting sqref="B64">
    <cfRule type="expression" dxfId="100" priority="168">
      <formula>#REF! ="64≠29+62"</formula>
    </cfRule>
  </conditionalFormatting>
  <conditionalFormatting sqref="B79">
    <cfRule type="expression" dxfId="99" priority="169">
      <formula>#REF! ="80≠73+74+75+76+77+78+79"</formula>
    </cfRule>
  </conditionalFormatting>
  <conditionalFormatting sqref="B85">
    <cfRule type="expression" dxfId="98" priority="170">
      <formula>#REF! ="88≠82+83+84+85+86+87"</formula>
    </cfRule>
  </conditionalFormatting>
  <conditionalFormatting sqref="B91">
    <cfRule type="expression" dxfId="97" priority="171">
      <formula>#REF! = "64≠94"</formula>
    </cfRule>
  </conditionalFormatting>
  <conditionalFormatting sqref="B91">
    <cfRule type="expression" dxfId="96" priority="172">
      <formula>#REF! = "94≠68+69+71+80+88+89+90+91+92"</formula>
    </cfRule>
  </conditionalFormatting>
  <conditionalFormatting sqref="AF35">
    <cfRule type="expression" dxfId="95" priority="137">
      <formula>#REF! ="35≠36+38"</formula>
    </cfRule>
  </conditionalFormatting>
  <conditionalFormatting sqref="AF39">
    <cfRule type="expression" dxfId="94" priority="138">
      <formula>#REF! ="39≠40+41+42+43+44"</formula>
    </cfRule>
  </conditionalFormatting>
  <conditionalFormatting sqref="AF45">
    <cfRule type="expression" dxfId="93" priority="139">
      <formula>#REF! ="45≠33+34+35+39"</formula>
    </cfRule>
  </conditionalFormatting>
  <conditionalFormatting sqref="AF50">
    <cfRule type="expression" dxfId="92" priority="140">
      <formula>#REF! ="50≠51+53"</formula>
    </cfRule>
  </conditionalFormatting>
  <conditionalFormatting sqref="AF54">
    <cfRule type="expression" dxfId="91" priority="141">
      <formula>#REF! ="54≠55+56+57+58+59"</formula>
    </cfRule>
  </conditionalFormatting>
  <conditionalFormatting sqref="AF60">
    <cfRule type="expression" dxfId="90" priority="142">
      <formula>#REF! ="60≠48+49+50+54"</formula>
    </cfRule>
  </conditionalFormatting>
  <conditionalFormatting sqref="AF62">
    <cfRule type="expression" dxfId="89" priority="143">
      <formula>#REF! ="62≠45+46+60+61"</formula>
    </cfRule>
  </conditionalFormatting>
  <conditionalFormatting sqref="AF64">
    <cfRule type="expression" dxfId="88" priority="144">
      <formula>#REF! ="64≠29+62"</formula>
    </cfRule>
  </conditionalFormatting>
  <conditionalFormatting sqref="AF79">
    <cfRule type="expression" dxfId="87" priority="145">
      <formula>#REF! ="80≠73+74+75+76+77+78+79"</formula>
    </cfRule>
  </conditionalFormatting>
  <conditionalFormatting sqref="AF85">
    <cfRule type="expression" dxfId="86" priority="146">
      <formula>#REF! ="88≠82+83+84+85+86+87"</formula>
    </cfRule>
  </conditionalFormatting>
  <conditionalFormatting sqref="AF91">
    <cfRule type="expression" dxfId="85" priority="147">
      <formula>#REF! = "64≠94"</formula>
    </cfRule>
  </conditionalFormatting>
  <conditionalFormatting sqref="AF91">
    <cfRule type="expression" dxfId="84" priority="148">
      <formula>#REF! = "94≠68+69+71+80+88+89+90+91+92"</formula>
    </cfRule>
  </conditionalFormatting>
  <conditionalFormatting sqref="AI35">
    <cfRule type="expression" dxfId="83" priority="113">
      <formula>#REF! ="35≠36+38"</formula>
    </cfRule>
  </conditionalFormatting>
  <conditionalFormatting sqref="AI39">
    <cfRule type="expression" dxfId="82" priority="114">
      <formula>#REF! ="39≠40+41+42+43+44"</formula>
    </cfRule>
  </conditionalFormatting>
  <conditionalFormatting sqref="AI45">
    <cfRule type="expression" dxfId="81" priority="115">
      <formula>#REF! ="45≠33+34+35+39"</formula>
    </cfRule>
  </conditionalFormatting>
  <conditionalFormatting sqref="AI50">
    <cfRule type="expression" dxfId="80" priority="116">
      <formula>#REF! ="50≠51+53"</formula>
    </cfRule>
  </conditionalFormatting>
  <conditionalFormatting sqref="AI54">
    <cfRule type="expression" dxfId="79" priority="117">
      <formula>#REF! ="54≠55+56+57+58+59"</formula>
    </cfRule>
  </conditionalFormatting>
  <conditionalFormatting sqref="AI60">
    <cfRule type="expression" dxfId="78" priority="118">
      <formula>#REF! ="60≠48+49+50+54"</formula>
    </cfRule>
  </conditionalFormatting>
  <conditionalFormatting sqref="AI62">
    <cfRule type="expression" dxfId="77" priority="119">
      <formula>#REF! ="62≠45+46+60+61"</formula>
    </cfRule>
  </conditionalFormatting>
  <conditionalFormatting sqref="AI64">
    <cfRule type="expression" dxfId="76" priority="120">
      <formula>#REF! ="64≠29+62"</formula>
    </cfRule>
  </conditionalFormatting>
  <conditionalFormatting sqref="AI79">
    <cfRule type="expression" dxfId="75" priority="121">
      <formula>#REF! ="80≠73+74+75+76+77+78+79"</formula>
    </cfRule>
  </conditionalFormatting>
  <conditionalFormatting sqref="AI85">
    <cfRule type="expression" dxfId="74" priority="122">
      <formula>#REF! ="88≠82+83+84+85+86+87"</formula>
    </cfRule>
  </conditionalFormatting>
  <conditionalFormatting sqref="AI91">
    <cfRule type="expression" dxfId="73" priority="123">
      <formula>#REF! = "64≠94"</formula>
    </cfRule>
  </conditionalFormatting>
  <conditionalFormatting sqref="AI91">
    <cfRule type="expression" dxfId="72" priority="124">
      <formula>#REF! = "94≠68+69+71+80+88+89+90+91+92"</formula>
    </cfRule>
  </conditionalFormatting>
  <conditionalFormatting sqref="W35">
    <cfRule type="expression" dxfId="71" priority="89">
      <formula>#REF! ="35≠36+38"</formula>
    </cfRule>
  </conditionalFormatting>
  <conditionalFormatting sqref="W39">
    <cfRule type="expression" dxfId="70" priority="90">
      <formula>#REF! ="39≠40+41+42+43+44"</formula>
    </cfRule>
  </conditionalFormatting>
  <conditionalFormatting sqref="W45">
    <cfRule type="expression" dxfId="69" priority="91">
      <formula>#REF! ="45≠33+34+35+39"</formula>
    </cfRule>
  </conditionalFormatting>
  <conditionalFormatting sqref="W50">
    <cfRule type="expression" dxfId="68" priority="92">
      <formula>#REF! ="50≠51+53"</formula>
    </cfRule>
  </conditionalFormatting>
  <conditionalFormatting sqref="W54">
    <cfRule type="expression" dxfId="67" priority="93">
      <formula>#REF! ="54≠55+56+57+58+59"</formula>
    </cfRule>
  </conditionalFormatting>
  <conditionalFormatting sqref="W60">
    <cfRule type="expression" dxfId="66" priority="94">
      <formula>#REF! ="60≠48+49+50+54"</formula>
    </cfRule>
  </conditionalFormatting>
  <conditionalFormatting sqref="W62">
    <cfRule type="expression" dxfId="65" priority="95">
      <formula>#REF! ="62≠45+46+60+61"</formula>
    </cfRule>
  </conditionalFormatting>
  <conditionalFormatting sqref="W64">
    <cfRule type="expression" dxfId="64" priority="96">
      <formula>#REF! ="64≠29+62"</formula>
    </cfRule>
  </conditionalFormatting>
  <conditionalFormatting sqref="W79">
    <cfRule type="expression" dxfId="63" priority="97">
      <formula>#REF! ="80≠73+74+75+76+77+78+79"</formula>
    </cfRule>
  </conditionalFormatting>
  <conditionalFormatting sqref="W85">
    <cfRule type="expression" dxfId="62" priority="98">
      <formula>#REF! ="88≠82+83+84+85+86+87"</formula>
    </cfRule>
  </conditionalFormatting>
  <conditionalFormatting sqref="W91">
    <cfRule type="expression" dxfId="61" priority="99">
      <formula>#REF! = "64≠94"</formula>
    </cfRule>
  </conditionalFormatting>
  <conditionalFormatting sqref="W91">
    <cfRule type="expression" dxfId="60" priority="100">
      <formula>#REF! = "94≠68+69+71+80+88+89+90+91+92"</formula>
    </cfRule>
  </conditionalFormatting>
  <conditionalFormatting sqref="Q35">
    <cfRule type="expression" dxfId="59" priority="65">
      <formula>#REF! ="35≠36+38"</formula>
    </cfRule>
  </conditionalFormatting>
  <conditionalFormatting sqref="Q39">
    <cfRule type="expression" dxfId="58" priority="66">
      <formula>#REF! ="39≠40+41+42+43+44"</formula>
    </cfRule>
  </conditionalFormatting>
  <conditionalFormatting sqref="Q45">
    <cfRule type="expression" dxfId="57" priority="67">
      <formula>#REF! ="45≠33+34+35+39"</formula>
    </cfRule>
  </conditionalFormatting>
  <conditionalFormatting sqref="Q50">
    <cfRule type="expression" dxfId="56" priority="68">
      <formula>#REF! ="50≠51+53"</formula>
    </cfRule>
  </conditionalFormatting>
  <conditionalFormatting sqref="Q54">
    <cfRule type="expression" dxfId="55" priority="69">
      <formula>#REF! ="54≠55+56+57+58+59"</formula>
    </cfRule>
  </conditionalFormatting>
  <conditionalFormatting sqref="Q60">
    <cfRule type="expression" dxfId="54" priority="70">
      <formula>#REF! ="60≠48+49+50+54"</formula>
    </cfRule>
  </conditionalFormatting>
  <conditionalFormatting sqref="Q62">
    <cfRule type="expression" dxfId="53" priority="71">
      <formula>#REF! ="62≠45+46+60+61"</formula>
    </cfRule>
  </conditionalFormatting>
  <conditionalFormatting sqref="Q64">
    <cfRule type="expression" dxfId="52" priority="72">
      <formula>#REF! ="64≠29+62"</formula>
    </cfRule>
  </conditionalFormatting>
  <conditionalFormatting sqref="Q79">
    <cfRule type="expression" dxfId="51" priority="73">
      <formula>#REF! ="80≠73+74+75+76+77+78+79"</formula>
    </cfRule>
  </conditionalFormatting>
  <conditionalFormatting sqref="Q85">
    <cfRule type="expression" dxfId="50" priority="74">
      <formula>#REF! ="88≠82+83+84+85+86+87"</formula>
    </cfRule>
  </conditionalFormatting>
  <conditionalFormatting sqref="Q91">
    <cfRule type="expression" dxfId="49" priority="75">
      <formula>#REF! = "64≠94"</formula>
    </cfRule>
  </conditionalFormatting>
  <conditionalFormatting sqref="Q91">
    <cfRule type="expression" dxfId="48" priority="76">
      <formula>#REF! = "94≠68+69+71+80+88+89+90+91+92"</formula>
    </cfRule>
  </conditionalFormatting>
  <conditionalFormatting sqref="K35">
    <cfRule type="expression" dxfId="47" priority="41">
      <formula>#REF! ="35≠36+38"</formula>
    </cfRule>
  </conditionalFormatting>
  <conditionalFormatting sqref="K39">
    <cfRule type="expression" dxfId="46" priority="42">
      <formula>#REF! ="39≠40+41+42+43+44"</formula>
    </cfRule>
  </conditionalFormatting>
  <conditionalFormatting sqref="K45">
    <cfRule type="expression" dxfId="45" priority="43">
      <formula>#REF! ="45≠33+34+35+39"</formula>
    </cfRule>
  </conditionalFormatting>
  <conditionalFormatting sqref="K50">
    <cfRule type="expression" dxfId="44" priority="44">
      <formula>#REF! ="50≠51+53"</formula>
    </cfRule>
  </conditionalFormatting>
  <conditionalFormatting sqref="K54">
    <cfRule type="expression" dxfId="43" priority="45">
      <formula>#REF! ="54≠55+56+57+58+59"</formula>
    </cfRule>
  </conditionalFormatting>
  <conditionalFormatting sqref="K60">
    <cfRule type="expression" dxfId="42" priority="46">
      <formula>#REF! ="60≠48+49+50+54"</formula>
    </cfRule>
  </conditionalFormatting>
  <conditionalFormatting sqref="K62">
    <cfRule type="expression" dxfId="41" priority="47">
      <formula>#REF! ="62≠45+46+60+61"</formula>
    </cfRule>
  </conditionalFormatting>
  <conditionalFormatting sqref="K64">
    <cfRule type="expression" dxfId="40" priority="48">
      <formula>#REF! ="64≠29+62"</formula>
    </cfRule>
  </conditionalFormatting>
  <conditionalFormatting sqref="K79">
    <cfRule type="expression" dxfId="39" priority="49">
      <formula>#REF! ="80≠73+74+75+76+77+78+79"</formula>
    </cfRule>
  </conditionalFormatting>
  <conditionalFormatting sqref="K85">
    <cfRule type="expression" dxfId="38" priority="50">
      <formula>#REF! ="88≠82+83+84+85+86+87"</formula>
    </cfRule>
  </conditionalFormatting>
  <conditionalFormatting sqref="K91">
    <cfRule type="expression" dxfId="37" priority="51">
      <formula>#REF! = "64≠94"</formula>
    </cfRule>
  </conditionalFormatting>
  <conditionalFormatting sqref="K91">
    <cfRule type="expression" dxfId="36" priority="52">
      <formula>#REF! = "94≠68+69+71+80+88+89+90+91+92"</formula>
    </cfRule>
  </conditionalFormatting>
  <conditionalFormatting sqref="E35">
    <cfRule type="expression" dxfId="35" priority="17">
      <formula>#REF! ="35≠36+38"</formula>
    </cfRule>
  </conditionalFormatting>
  <conditionalFormatting sqref="E39">
    <cfRule type="expression" dxfId="34" priority="18">
      <formula>#REF! ="39≠40+41+42+43+44"</formula>
    </cfRule>
  </conditionalFormatting>
  <conditionalFormatting sqref="E45">
    <cfRule type="expression" dxfId="33" priority="19">
      <formula>#REF! ="45≠33+34+35+39"</formula>
    </cfRule>
  </conditionalFormatting>
  <conditionalFormatting sqref="E50">
    <cfRule type="expression" dxfId="32" priority="20">
      <formula>#REF! ="50≠51+53"</formula>
    </cfRule>
  </conditionalFormatting>
  <conditionalFormatting sqref="E54">
    <cfRule type="expression" dxfId="31" priority="21">
      <formula>#REF! ="54≠55+56+57+58+59"</formula>
    </cfRule>
  </conditionalFormatting>
  <conditionalFormatting sqref="E60">
    <cfRule type="expression" dxfId="30" priority="22">
      <formula>#REF! ="60≠48+49+50+54"</formula>
    </cfRule>
  </conditionalFormatting>
  <conditionalFormatting sqref="E62">
    <cfRule type="expression" dxfId="29" priority="23">
      <formula>#REF! ="62≠45+46+60+61"</formula>
    </cfRule>
  </conditionalFormatting>
  <conditionalFormatting sqref="E64">
    <cfRule type="expression" dxfId="28" priority="24">
      <formula>#REF! ="64≠29+62"</formula>
    </cfRule>
  </conditionalFormatting>
  <conditionalFormatting sqref="E79">
    <cfRule type="expression" dxfId="27" priority="25">
      <formula>#REF! ="80≠73+74+75+76+77+78+79"</formula>
    </cfRule>
  </conditionalFormatting>
  <conditionalFormatting sqref="E85">
    <cfRule type="expression" dxfId="26" priority="26">
      <formula>#REF! ="88≠82+83+84+85+86+87"</formula>
    </cfRule>
  </conditionalFormatting>
  <conditionalFormatting sqref="E91">
    <cfRule type="expression" dxfId="25" priority="27">
      <formula>#REF! = "64≠94"</formula>
    </cfRule>
  </conditionalFormatting>
  <conditionalFormatting sqref="E91">
    <cfRule type="expression" dxfId="24" priority="28">
      <formula>#REF! = "94≠68+69+71+80+88+89+90+91+92"</formula>
    </cfRule>
  </conditionalFormatting>
  <conditionalFormatting sqref="AS35">
    <cfRule type="expression" dxfId="23" priority="1">
      <formula>#REF! ="35≠36+38"</formula>
    </cfRule>
  </conditionalFormatting>
  <conditionalFormatting sqref="AS39">
    <cfRule type="expression" dxfId="22" priority="2">
      <formula>#REF! ="39≠40+41+42+43+44"</formula>
    </cfRule>
  </conditionalFormatting>
  <conditionalFormatting sqref="AS45">
    <cfRule type="expression" dxfId="21" priority="3">
      <formula>#REF! ="45≠33+34+35+39"</formula>
    </cfRule>
  </conditionalFormatting>
  <conditionalFormatting sqref="AS50">
    <cfRule type="expression" dxfId="20" priority="4">
      <formula>#REF! ="50≠51+53"</formula>
    </cfRule>
  </conditionalFormatting>
  <conditionalFormatting sqref="AS54">
    <cfRule type="expression" dxfId="19" priority="5">
      <formula>#REF! ="54≠55+56+57+58+59"</formula>
    </cfRule>
  </conditionalFormatting>
  <conditionalFormatting sqref="AS60">
    <cfRule type="expression" dxfId="18" priority="6">
      <formula>#REF! ="60≠48+49+50+54"</formula>
    </cfRule>
  </conditionalFormatting>
  <conditionalFormatting sqref="AS62">
    <cfRule type="expression" dxfId="17" priority="7">
      <formula>#REF! ="62≠45+46+60+61"</formula>
    </cfRule>
  </conditionalFormatting>
  <conditionalFormatting sqref="AS64">
    <cfRule type="expression" dxfId="16" priority="8">
      <formula>#REF! ="64≠29+62"</formula>
    </cfRule>
  </conditionalFormatting>
  <conditionalFormatting sqref="AS79">
    <cfRule type="expression" dxfId="15" priority="9">
      <formula>#REF! ="80≠73+74+75+76+77+78+79"</formula>
    </cfRule>
  </conditionalFormatting>
  <conditionalFormatting sqref="AS85">
    <cfRule type="expression" dxfId="14" priority="10">
      <formula>#REF! ="88≠82+83+84+85+86+87"</formula>
    </cfRule>
  </conditionalFormatting>
  <conditionalFormatting sqref="AS91">
    <cfRule type="expression" dxfId="13" priority="11">
      <formula>#REF! = "64≠94"</formula>
    </cfRule>
  </conditionalFormatting>
  <conditionalFormatting sqref="AS91">
    <cfRule type="expression" dxfId="12" priority="12">
      <formula>#REF! = "94≠68+69+71+80+88+89+90+91+92"</formula>
    </cfRule>
  </conditionalFormatting>
  <conditionalFormatting sqref="Z35:AA35 I35 U35 AM35 AD35 O35 AG35 AJ35 X35 R35 L35 C35 F35">
    <cfRule type="expression" dxfId="11" priority="1256">
      <formula>#REF! ="35≠36+38"</formula>
    </cfRule>
  </conditionalFormatting>
  <conditionalFormatting sqref="Z39:AA39 I39 U39 AM39 AD39 O39 AG39 AJ39 X39 R39 L39 C39 F39">
    <cfRule type="expression" dxfId="10" priority="1267">
      <formula>#REF! ="39≠40+41+42+43+44"</formula>
    </cfRule>
  </conditionalFormatting>
  <conditionalFormatting sqref="Z45:AA45 I45 U45 AM45 AD45 O45 AG45 AJ45 X45 R45 L45 C45 F45">
    <cfRule type="expression" dxfId="9" priority="1278">
      <formula>#REF! ="45≠33+34+35+39"</formula>
    </cfRule>
  </conditionalFormatting>
  <conditionalFormatting sqref="Z50:AA50 I50 U50 AM50 AD50 O50 AG50 AJ50 X50 R50 L50 C50 F50">
    <cfRule type="expression" dxfId="8" priority="1289">
      <formula>#REF! ="50≠51+53"</formula>
    </cfRule>
  </conditionalFormatting>
  <conditionalFormatting sqref="Z54:AA54 I54 U54 AM54 AD54 O54 AG54 AJ54 X54 R54 L54 C54 F54">
    <cfRule type="expression" dxfId="7" priority="1300">
      <formula>#REF! ="54≠55+56+57+58+59"</formula>
    </cfRule>
  </conditionalFormatting>
  <conditionalFormatting sqref="Z60:AA60 I60 U60 AM60 AD60 O60 AG60 AJ60 X60 R60 L60 C60 F60">
    <cfRule type="expression" dxfId="6" priority="1311">
      <formula>#REF! ="60≠48+49+50+54"</formula>
    </cfRule>
  </conditionalFormatting>
  <conditionalFormatting sqref="Z62:AA62 I62 U62 AM62 AD62 O62 AG62 AJ62 X62 R62 L62 C62 F62">
    <cfRule type="expression" dxfId="5" priority="1322">
      <formula>#REF! ="62≠45+46+60+61"</formula>
    </cfRule>
  </conditionalFormatting>
  <conditionalFormatting sqref="Z64:AA64 I64 U64 AM64 AD64 O64 AG64 AJ64 X64 R64 L64 C64 F64">
    <cfRule type="expression" dxfId="4" priority="1333">
      <formula>#REF! ="64≠29+62"</formula>
    </cfRule>
  </conditionalFormatting>
  <conditionalFormatting sqref="Z79:AA79 I79 U79 AM79 AD79 O79 AG79 AJ79 X79 R79 L79 C79 F79">
    <cfRule type="expression" dxfId="3" priority="1344">
      <formula>#REF! ="80≠73+74+75+76+77+78+79"</formula>
    </cfRule>
  </conditionalFormatting>
  <conditionalFormatting sqref="Z85:AA85 I85 U85 AM85 AD85 O85 AG85 AJ85 X85 R85 L85 C85 F85">
    <cfRule type="expression" dxfId="2" priority="1355">
      <formula>#REF! ="88≠82+83+84+85+86+87"</formula>
    </cfRule>
  </conditionalFormatting>
  <conditionalFormatting sqref="Z91:AA91 I91 U91 AM91 AD91 O91 AG91 AJ91 X91 R91 L91 C91 F91 AO91:AP91">
    <cfRule type="expression" dxfId="1" priority="1366">
      <formula>#REF! = "64≠94"</formula>
    </cfRule>
  </conditionalFormatting>
  <conditionalFormatting sqref="Z91:AA91 I91 U91 AM91 AD91 O91 AG91 AJ91 X91 R91 L91 C91 F91 AO91:AP91">
    <cfRule type="expression" dxfId="0" priority="1377">
      <formula>#REF! = "94≠68+69+71+80+88+89+90+91+92"</formula>
    </cfRule>
  </conditionalFormatting>
  <hyperlinks>
    <hyperlink ref="B1" location="Innhold!A1" display="Tilbake" xr:uid="{00000000-0004-0000-22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49ECC-34D8-449C-A45F-BABDDACF2022}">
  <dimension ref="A1:AV18"/>
  <sheetViews>
    <sheetView showGridLines="0" zoomScale="70" zoomScaleNormal="70" workbookViewId="0">
      <pane xSplit="1" ySplit="8" topLeftCell="B9" activePane="bottomRight" state="frozen"/>
      <selection activeCell="L39" sqref="L39"/>
      <selection pane="topRight" activeCell="L39" sqref="L39"/>
      <selection pane="bottomLeft" activeCell="L39" sqref="L39"/>
      <selection pane="bottomRight" activeCell="A16" sqref="A16"/>
    </sheetView>
  </sheetViews>
  <sheetFormatPr baseColWidth="10" defaultColWidth="11.42578125" defaultRowHeight="12.75" x14ac:dyDescent="0.2"/>
  <cols>
    <col min="1" max="1" width="62" style="582" customWidth="1"/>
    <col min="2" max="37" width="11.7109375" style="582" customWidth="1"/>
    <col min="38" max="250" width="11.42578125" style="582"/>
    <col min="251" max="251" width="62" style="582" customWidth="1"/>
    <col min="252" max="287" width="11.7109375" style="582" customWidth="1"/>
    <col min="288" max="506" width="11.42578125" style="582"/>
    <col min="507" max="507" width="62" style="582" customWidth="1"/>
    <col min="508" max="543" width="11.7109375" style="582" customWidth="1"/>
    <col min="544" max="762" width="11.42578125" style="582"/>
    <col min="763" max="763" width="62" style="582" customWidth="1"/>
    <col min="764" max="799" width="11.7109375" style="582" customWidth="1"/>
    <col min="800" max="1018" width="11.42578125" style="582"/>
    <col min="1019" max="1019" width="62" style="582" customWidth="1"/>
    <col min="1020" max="1055" width="11.7109375" style="582" customWidth="1"/>
    <col min="1056" max="1274" width="11.42578125" style="582"/>
    <col min="1275" max="1275" width="62" style="582" customWidth="1"/>
    <col min="1276" max="1311" width="11.7109375" style="582" customWidth="1"/>
    <col min="1312" max="1530" width="11.42578125" style="582"/>
    <col min="1531" max="1531" width="62" style="582" customWidth="1"/>
    <col min="1532" max="1567" width="11.7109375" style="582" customWidth="1"/>
    <col min="1568" max="1786" width="11.42578125" style="582"/>
    <col min="1787" max="1787" width="62" style="582" customWidth="1"/>
    <col min="1788" max="1823" width="11.7109375" style="582" customWidth="1"/>
    <col min="1824" max="2042" width="11.42578125" style="582"/>
    <col min="2043" max="2043" width="62" style="582" customWidth="1"/>
    <col min="2044" max="2079" width="11.7109375" style="582" customWidth="1"/>
    <col min="2080" max="2298" width="11.42578125" style="582"/>
    <col min="2299" max="2299" width="62" style="582" customWidth="1"/>
    <col min="2300" max="2335" width="11.7109375" style="582" customWidth="1"/>
    <col min="2336" max="2554" width="11.42578125" style="582"/>
    <col min="2555" max="2555" width="62" style="582" customWidth="1"/>
    <col min="2556" max="2591" width="11.7109375" style="582" customWidth="1"/>
    <col min="2592" max="2810" width="11.42578125" style="582"/>
    <col min="2811" max="2811" width="62" style="582" customWidth="1"/>
    <col min="2812" max="2847" width="11.7109375" style="582" customWidth="1"/>
    <col min="2848" max="3066" width="11.42578125" style="582"/>
    <col min="3067" max="3067" width="62" style="582" customWidth="1"/>
    <col min="3068" max="3103" width="11.7109375" style="582" customWidth="1"/>
    <col min="3104" max="3322" width="11.42578125" style="582"/>
    <col min="3323" max="3323" width="62" style="582" customWidth="1"/>
    <col min="3324" max="3359" width="11.7109375" style="582" customWidth="1"/>
    <col min="3360" max="3578" width="11.42578125" style="582"/>
    <col min="3579" max="3579" width="62" style="582" customWidth="1"/>
    <col min="3580" max="3615" width="11.7109375" style="582" customWidth="1"/>
    <col min="3616" max="3834" width="11.42578125" style="582"/>
    <col min="3835" max="3835" width="62" style="582" customWidth="1"/>
    <col min="3836" max="3871" width="11.7109375" style="582" customWidth="1"/>
    <col min="3872" max="4090" width="11.42578125" style="582"/>
    <col min="4091" max="4091" width="62" style="582" customWidth="1"/>
    <col min="4092" max="4127" width="11.7109375" style="582" customWidth="1"/>
    <col min="4128" max="4346" width="11.42578125" style="582"/>
    <col min="4347" max="4347" width="62" style="582" customWidth="1"/>
    <col min="4348" max="4383" width="11.7109375" style="582" customWidth="1"/>
    <col min="4384" max="4602" width="11.42578125" style="582"/>
    <col min="4603" max="4603" width="62" style="582" customWidth="1"/>
    <col min="4604" max="4639" width="11.7109375" style="582" customWidth="1"/>
    <col min="4640" max="4858" width="11.42578125" style="582"/>
    <col min="4859" max="4859" width="62" style="582" customWidth="1"/>
    <col min="4860" max="4895" width="11.7109375" style="582" customWidth="1"/>
    <col min="4896" max="5114" width="11.42578125" style="582"/>
    <col min="5115" max="5115" width="62" style="582" customWidth="1"/>
    <col min="5116" max="5151" width="11.7109375" style="582" customWidth="1"/>
    <col min="5152" max="5370" width="11.42578125" style="582"/>
    <col min="5371" max="5371" width="62" style="582" customWidth="1"/>
    <col min="5372" max="5407" width="11.7109375" style="582" customWidth="1"/>
    <col min="5408" max="5626" width="11.42578125" style="582"/>
    <col min="5627" max="5627" width="62" style="582" customWidth="1"/>
    <col min="5628" max="5663" width="11.7109375" style="582" customWidth="1"/>
    <col min="5664" max="5882" width="11.42578125" style="582"/>
    <col min="5883" max="5883" width="62" style="582" customWidth="1"/>
    <col min="5884" max="5919" width="11.7109375" style="582" customWidth="1"/>
    <col min="5920" max="6138" width="11.42578125" style="582"/>
    <col min="6139" max="6139" width="62" style="582" customWidth="1"/>
    <col min="6140" max="6175" width="11.7109375" style="582" customWidth="1"/>
    <col min="6176" max="6394" width="11.42578125" style="582"/>
    <col min="6395" max="6395" width="62" style="582" customWidth="1"/>
    <col min="6396" max="6431" width="11.7109375" style="582" customWidth="1"/>
    <col min="6432" max="6650" width="11.42578125" style="582"/>
    <col min="6651" max="6651" width="62" style="582" customWidth="1"/>
    <col min="6652" max="6687" width="11.7109375" style="582" customWidth="1"/>
    <col min="6688" max="6906" width="11.42578125" style="582"/>
    <col min="6907" max="6907" width="62" style="582" customWidth="1"/>
    <col min="6908" max="6943" width="11.7109375" style="582" customWidth="1"/>
    <col min="6944" max="7162" width="11.42578125" style="582"/>
    <col min="7163" max="7163" width="62" style="582" customWidth="1"/>
    <col min="7164" max="7199" width="11.7109375" style="582" customWidth="1"/>
    <col min="7200" max="7418" width="11.42578125" style="582"/>
    <col min="7419" max="7419" width="62" style="582" customWidth="1"/>
    <col min="7420" max="7455" width="11.7109375" style="582" customWidth="1"/>
    <col min="7456" max="7674" width="11.42578125" style="582"/>
    <col min="7675" max="7675" width="62" style="582" customWidth="1"/>
    <col min="7676" max="7711" width="11.7109375" style="582" customWidth="1"/>
    <col min="7712" max="7930" width="11.42578125" style="582"/>
    <col min="7931" max="7931" width="62" style="582" customWidth="1"/>
    <col min="7932" max="7967" width="11.7109375" style="582" customWidth="1"/>
    <col min="7968" max="8186" width="11.42578125" style="582"/>
    <col min="8187" max="8187" width="62" style="582" customWidth="1"/>
    <col min="8188" max="8223" width="11.7109375" style="582" customWidth="1"/>
    <col min="8224" max="8442" width="11.42578125" style="582"/>
    <col min="8443" max="8443" width="62" style="582" customWidth="1"/>
    <col min="8444" max="8479" width="11.7109375" style="582" customWidth="1"/>
    <col min="8480" max="8698" width="11.42578125" style="582"/>
    <col min="8699" max="8699" width="62" style="582" customWidth="1"/>
    <col min="8700" max="8735" width="11.7109375" style="582" customWidth="1"/>
    <col min="8736" max="8954" width="11.42578125" style="582"/>
    <col min="8955" max="8955" width="62" style="582" customWidth="1"/>
    <col min="8956" max="8991" width="11.7109375" style="582" customWidth="1"/>
    <col min="8992" max="9210" width="11.42578125" style="582"/>
    <col min="9211" max="9211" width="62" style="582" customWidth="1"/>
    <col min="9212" max="9247" width="11.7109375" style="582" customWidth="1"/>
    <col min="9248" max="9466" width="11.42578125" style="582"/>
    <col min="9467" max="9467" width="62" style="582" customWidth="1"/>
    <col min="9468" max="9503" width="11.7109375" style="582" customWidth="1"/>
    <col min="9504" max="9722" width="11.42578125" style="582"/>
    <col min="9723" max="9723" width="62" style="582" customWidth="1"/>
    <col min="9724" max="9759" width="11.7109375" style="582" customWidth="1"/>
    <col min="9760" max="9978" width="11.42578125" style="582"/>
    <col min="9979" max="9979" width="62" style="582" customWidth="1"/>
    <col min="9980" max="10015" width="11.7109375" style="582" customWidth="1"/>
    <col min="10016" max="10234" width="11.42578125" style="582"/>
    <col min="10235" max="10235" width="62" style="582" customWidth="1"/>
    <col min="10236" max="10271" width="11.7109375" style="582" customWidth="1"/>
    <col min="10272" max="10490" width="11.42578125" style="582"/>
    <col min="10491" max="10491" width="62" style="582" customWidth="1"/>
    <col min="10492" max="10527" width="11.7109375" style="582" customWidth="1"/>
    <col min="10528" max="10746" width="11.42578125" style="582"/>
    <col min="10747" max="10747" width="62" style="582" customWidth="1"/>
    <col min="10748" max="10783" width="11.7109375" style="582" customWidth="1"/>
    <col min="10784" max="11002" width="11.42578125" style="582"/>
    <col min="11003" max="11003" width="62" style="582" customWidth="1"/>
    <col min="11004" max="11039" width="11.7109375" style="582" customWidth="1"/>
    <col min="11040" max="11258" width="11.42578125" style="582"/>
    <col min="11259" max="11259" width="62" style="582" customWidth="1"/>
    <col min="11260" max="11295" width="11.7109375" style="582" customWidth="1"/>
    <col min="11296" max="11514" width="11.42578125" style="582"/>
    <col min="11515" max="11515" width="62" style="582" customWidth="1"/>
    <col min="11516" max="11551" width="11.7109375" style="582" customWidth="1"/>
    <col min="11552" max="11770" width="11.42578125" style="582"/>
    <col min="11771" max="11771" width="62" style="582" customWidth="1"/>
    <col min="11772" max="11807" width="11.7109375" style="582" customWidth="1"/>
    <col min="11808" max="12026" width="11.42578125" style="582"/>
    <col min="12027" max="12027" width="62" style="582" customWidth="1"/>
    <col min="12028" max="12063" width="11.7109375" style="582" customWidth="1"/>
    <col min="12064" max="12282" width="11.42578125" style="582"/>
    <col min="12283" max="12283" width="62" style="582" customWidth="1"/>
    <col min="12284" max="12319" width="11.7109375" style="582" customWidth="1"/>
    <col min="12320" max="12538" width="11.42578125" style="582"/>
    <col min="12539" max="12539" width="62" style="582" customWidth="1"/>
    <col min="12540" max="12575" width="11.7109375" style="582" customWidth="1"/>
    <col min="12576" max="12794" width="11.42578125" style="582"/>
    <col min="12795" max="12795" width="62" style="582" customWidth="1"/>
    <col min="12796" max="12831" width="11.7109375" style="582" customWidth="1"/>
    <col min="12832" max="13050" width="11.42578125" style="582"/>
    <col min="13051" max="13051" width="62" style="582" customWidth="1"/>
    <col min="13052" max="13087" width="11.7109375" style="582" customWidth="1"/>
    <col min="13088" max="13306" width="11.42578125" style="582"/>
    <col min="13307" max="13307" width="62" style="582" customWidth="1"/>
    <col min="13308" max="13343" width="11.7109375" style="582" customWidth="1"/>
    <col min="13344" max="13562" width="11.42578125" style="582"/>
    <col min="13563" max="13563" width="62" style="582" customWidth="1"/>
    <col min="13564" max="13599" width="11.7109375" style="582" customWidth="1"/>
    <col min="13600" max="13818" width="11.42578125" style="582"/>
    <col min="13819" max="13819" width="62" style="582" customWidth="1"/>
    <col min="13820" max="13855" width="11.7109375" style="582" customWidth="1"/>
    <col min="13856" max="14074" width="11.42578125" style="582"/>
    <col min="14075" max="14075" width="62" style="582" customWidth="1"/>
    <col min="14076" max="14111" width="11.7109375" style="582" customWidth="1"/>
    <col min="14112" max="14330" width="11.42578125" style="582"/>
    <col min="14331" max="14331" width="62" style="582" customWidth="1"/>
    <col min="14332" max="14367" width="11.7109375" style="582" customWidth="1"/>
    <col min="14368" max="14586" width="11.42578125" style="582"/>
    <col min="14587" max="14587" width="62" style="582" customWidth="1"/>
    <col min="14588" max="14623" width="11.7109375" style="582" customWidth="1"/>
    <col min="14624" max="14842" width="11.42578125" style="582"/>
    <col min="14843" max="14843" width="62" style="582" customWidth="1"/>
    <col min="14844" max="14879" width="11.7109375" style="582" customWidth="1"/>
    <col min="14880" max="15098" width="11.42578125" style="582"/>
    <col min="15099" max="15099" width="62" style="582" customWidth="1"/>
    <col min="15100" max="15135" width="11.7109375" style="582" customWidth="1"/>
    <col min="15136" max="15354" width="11.42578125" style="582"/>
    <col min="15355" max="15355" width="62" style="582" customWidth="1"/>
    <col min="15356" max="15391" width="11.7109375" style="582" customWidth="1"/>
    <col min="15392" max="15610" width="11.42578125" style="582"/>
    <col min="15611" max="15611" width="62" style="582" customWidth="1"/>
    <col min="15612" max="15647" width="11.7109375" style="582" customWidth="1"/>
    <col min="15648" max="15866" width="11.42578125" style="582"/>
    <col min="15867" max="15867" width="62" style="582" customWidth="1"/>
    <col min="15868" max="15903" width="11.7109375" style="582" customWidth="1"/>
    <col min="15904" max="16122" width="11.42578125" style="582"/>
    <col min="16123" max="16123" width="62" style="582" customWidth="1"/>
    <col min="16124" max="16159" width="11.7109375" style="582" customWidth="1"/>
    <col min="16160" max="16384" width="11.42578125" style="582"/>
  </cols>
  <sheetData>
    <row r="1" spans="1:48" ht="20.25" x14ac:dyDescent="0.3">
      <c r="A1" s="580" t="s">
        <v>149</v>
      </c>
      <c r="B1" s="581" t="s">
        <v>52</v>
      </c>
    </row>
    <row r="2" spans="1:48" ht="20.25" x14ac:dyDescent="0.3">
      <c r="A2" s="580" t="s">
        <v>245</v>
      </c>
    </row>
    <row r="3" spans="1:48" ht="18.75" x14ac:dyDescent="0.3">
      <c r="A3" s="583" t="s">
        <v>313</v>
      </c>
    </row>
    <row r="4" spans="1:48" ht="18.75" x14ac:dyDescent="0.3">
      <c r="A4" s="584" t="s">
        <v>414</v>
      </c>
      <c r="B4" s="585"/>
      <c r="C4" s="586"/>
      <c r="D4" s="587"/>
      <c r="E4" s="585"/>
      <c r="F4" s="586"/>
      <c r="G4" s="587"/>
      <c r="H4" s="585"/>
      <c r="I4" s="586"/>
      <c r="J4" s="587"/>
      <c r="K4" s="586"/>
      <c r="L4" s="586"/>
      <c r="M4" s="587"/>
      <c r="N4" s="586"/>
      <c r="O4" s="586"/>
      <c r="P4" s="587"/>
      <c r="Q4" s="585"/>
      <c r="R4" s="586"/>
      <c r="S4" s="587"/>
      <c r="T4" s="585"/>
      <c r="U4" s="586"/>
      <c r="V4" s="587"/>
      <c r="W4" s="585"/>
      <c r="X4" s="586"/>
      <c r="Y4" s="587"/>
      <c r="Z4" s="585"/>
      <c r="AA4" s="586"/>
      <c r="AB4" s="587"/>
      <c r="AC4" s="585"/>
      <c r="AD4" s="586"/>
      <c r="AE4" s="587"/>
      <c r="AF4" s="585"/>
      <c r="AG4" s="586"/>
      <c r="AH4" s="587"/>
      <c r="AI4" s="585"/>
      <c r="AJ4" s="588"/>
      <c r="AK4" s="587"/>
      <c r="AL4" s="589"/>
      <c r="AM4" s="589"/>
      <c r="AN4" s="589"/>
      <c r="AO4" s="589"/>
      <c r="AP4" s="589"/>
      <c r="AQ4" s="589"/>
      <c r="AR4" s="589"/>
      <c r="AS4" s="589"/>
      <c r="AT4" s="589"/>
      <c r="AU4" s="589"/>
      <c r="AV4" s="589"/>
    </row>
    <row r="5" spans="1:48" ht="18.75" x14ac:dyDescent="0.3">
      <c r="A5" s="590"/>
      <c r="B5" s="735" t="s">
        <v>152</v>
      </c>
      <c r="C5" s="736"/>
      <c r="D5" s="737"/>
      <c r="E5" s="726" t="s">
        <v>153</v>
      </c>
      <c r="F5" s="727"/>
      <c r="G5" s="728"/>
      <c r="H5" s="735" t="s">
        <v>153</v>
      </c>
      <c r="I5" s="736"/>
      <c r="J5" s="737"/>
      <c r="K5" s="645"/>
      <c r="L5" s="645"/>
      <c r="M5" s="646"/>
      <c r="N5" s="735" t="s">
        <v>154</v>
      </c>
      <c r="O5" s="736"/>
      <c r="P5" s="737"/>
      <c r="Q5" s="735" t="s">
        <v>155</v>
      </c>
      <c r="R5" s="736"/>
      <c r="S5" s="737"/>
      <c r="T5" s="644" t="s">
        <v>156</v>
      </c>
      <c r="U5" s="645"/>
      <c r="V5" s="646"/>
      <c r="W5" s="644"/>
      <c r="X5" s="645"/>
      <c r="Y5" s="646"/>
      <c r="Z5" s="735" t="s">
        <v>157</v>
      </c>
      <c r="AA5" s="736"/>
      <c r="AB5" s="737"/>
      <c r="AC5" s="644"/>
      <c r="AD5" s="645"/>
      <c r="AE5" s="646"/>
      <c r="AF5" s="735" t="s">
        <v>72</v>
      </c>
      <c r="AG5" s="736"/>
      <c r="AH5" s="737"/>
      <c r="AI5" s="726" t="s">
        <v>263</v>
      </c>
      <c r="AJ5" s="727"/>
      <c r="AK5" s="728"/>
      <c r="AL5" s="647"/>
      <c r="AM5" s="647"/>
      <c r="AN5" s="738"/>
      <c r="AO5" s="738"/>
      <c r="AP5" s="738"/>
      <c r="AQ5" s="738"/>
      <c r="AR5" s="738"/>
      <c r="AS5" s="738"/>
      <c r="AT5" s="738"/>
      <c r="AU5" s="738"/>
      <c r="AV5" s="738"/>
    </row>
    <row r="6" spans="1:48" ht="18.75" x14ac:dyDescent="0.3">
      <c r="A6" s="592"/>
      <c r="B6" s="732" t="s">
        <v>158</v>
      </c>
      <c r="C6" s="733"/>
      <c r="D6" s="734"/>
      <c r="E6" s="729" t="s">
        <v>408</v>
      </c>
      <c r="F6" s="730"/>
      <c r="G6" s="731"/>
      <c r="H6" s="732" t="s">
        <v>159</v>
      </c>
      <c r="I6" s="733"/>
      <c r="J6" s="734"/>
      <c r="K6" s="732" t="s">
        <v>378</v>
      </c>
      <c r="L6" s="733"/>
      <c r="M6" s="734"/>
      <c r="N6" s="732" t="s">
        <v>159</v>
      </c>
      <c r="O6" s="733"/>
      <c r="P6" s="734"/>
      <c r="Q6" s="732" t="s">
        <v>160</v>
      </c>
      <c r="R6" s="733"/>
      <c r="S6" s="734"/>
      <c r="T6" s="732" t="s">
        <v>63</v>
      </c>
      <c r="U6" s="733"/>
      <c r="V6" s="734"/>
      <c r="W6" s="732" t="s">
        <v>65</v>
      </c>
      <c r="X6" s="733"/>
      <c r="Y6" s="734"/>
      <c r="Z6" s="732" t="s">
        <v>158</v>
      </c>
      <c r="AA6" s="733"/>
      <c r="AB6" s="734"/>
      <c r="AC6" s="732" t="s">
        <v>67</v>
      </c>
      <c r="AD6" s="733"/>
      <c r="AE6" s="734"/>
      <c r="AF6" s="732" t="s">
        <v>159</v>
      </c>
      <c r="AG6" s="733"/>
      <c r="AH6" s="734"/>
      <c r="AI6" s="729" t="s">
        <v>264</v>
      </c>
      <c r="AJ6" s="730"/>
      <c r="AK6" s="731"/>
      <c r="AL6" s="647"/>
      <c r="AM6" s="647"/>
      <c r="AN6" s="738"/>
      <c r="AO6" s="738"/>
      <c r="AP6" s="738"/>
      <c r="AQ6" s="738"/>
      <c r="AR6" s="738"/>
      <c r="AS6" s="738"/>
      <c r="AT6" s="738"/>
      <c r="AU6" s="738"/>
      <c r="AV6" s="738"/>
    </row>
    <row r="7" spans="1:48" ht="18.75" x14ac:dyDescent="0.3">
      <c r="A7" s="592"/>
      <c r="B7" s="593"/>
      <c r="C7" s="593"/>
      <c r="D7" s="594" t="s">
        <v>80</v>
      </c>
      <c r="E7" s="593"/>
      <c r="F7" s="593"/>
      <c r="G7" s="594" t="s">
        <v>80</v>
      </c>
      <c r="H7" s="593"/>
      <c r="I7" s="593"/>
      <c r="J7" s="594" t="s">
        <v>80</v>
      </c>
      <c r="K7" s="593"/>
      <c r="L7" s="593"/>
      <c r="M7" s="594" t="s">
        <v>80</v>
      </c>
      <c r="N7" s="593"/>
      <c r="O7" s="593"/>
      <c r="P7" s="594" t="s">
        <v>80</v>
      </c>
      <c r="Q7" s="593"/>
      <c r="R7" s="593"/>
      <c r="S7" s="594" t="s">
        <v>80</v>
      </c>
      <c r="T7" s="593"/>
      <c r="U7" s="593"/>
      <c r="V7" s="594" t="s">
        <v>80</v>
      </c>
      <c r="W7" s="593"/>
      <c r="X7" s="593"/>
      <c r="Y7" s="594" t="s">
        <v>80</v>
      </c>
      <c r="Z7" s="593"/>
      <c r="AA7" s="593"/>
      <c r="AB7" s="594" t="s">
        <v>80</v>
      </c>
      <c r="AC7" s="593"/>
      <c r="AD7" s="593"/>
      <c r="AE7" s="594" t="s">
        <v>80</v>
      </c>
      <c r="AF7" s="593"/>
      <c r="AG7" s="593"/>
      <c r="AH7" s="594" t="s">
        <v>80</v>
      </c>
      <c r="AI7" s="593"/>
      <c r="AJ7" s="593"/>
      <c r="AK7" s="594" t="s">
        <v>80</v>
      </c>
      <c r="AL7" s="647"/>
      <c r="AM7" s="647"/>
      <c r="AN7" s="591"/>
      <c r="AO7" s="591"/>
      <c r="AP7" s="591"/>
      <c r="AQ7" s="591"/>
      <c r="AR7" s="591"/>
      <c r="AS7" s="591"/>
      <c r="AT7" s="591"/>
      <c r="AU7" s="591"/>
      <c r="AV7" s="591"/>
    </row>
    <row r="8" spans="1:48" ht="15.75" x14ac:dyDescent="0.25">
      <c r="A8" s="595" t="s">
        <v>266</v>
      </c>
      <c r="B8" s="596">
        <v>2020</v>
      </c>
      <c r="C8" s="596">
        <v>2021</v>
      </c>
      <c r="D8" s="597" t="s">
        <v>82</v>
      </c>
      <c r="E8" s="596">
        <v>2020</v>
      </c>
      <c r="F8" s="596">
        <v>2021</v>
      </c>
      <c r="G8" s="597" t="s">
        <v>82</v>
      </c>
      <c r="H8" s="596">
        <f>$B$8</f>
        <v>2020</v>
      </c>
      <c r="I8" s="596">
        <f>$C$8</f>
        <v>2021</v>
      </c>
      <c r="J8" s="597" t="s">
        <v>82</v>
      </c>
      <c r="K8" s="596">
        <f>$B$8</f>
        <v>2020</v>
      </c>
      <c r="L8" s="596">
        <f>$C$8</f>
        <v>2021</v>
      </c>
      <c r="M8" s="597" t="s">
        <v>82</v>
      </c>
      <c r="N8" s="596">
        <f>$B$8</f>
        <v>2020</v>
      </c>
      <c r="O8" s="596">
        <f>$C$8</f>
        <v>2021</v>
      </c>
      <c r="P8" s="597" t="s">
        <v>82</v>
      </c>
      <c r="Q8" s="596">
        <f>$B$8</f>
        <v>2020</v>
      </c>
      <c r="R8" s="596">
        <f>$C$8</f>
        <v>2021</v>
      </c>
      <c r="S8" s="597" t="s">
        <v>82</v>
      </c>
      <c r="T8" s="596">
        <f>$B$8</f>
        <v>2020</v>
      </c>
      <c r="U8" s="596">
        <f>$C$8</f>
        <v>2021</v>
      </c>
      <c r="V8" s="597" t="s">
        <v>82</v>
      </c>
      <c r="W8" s="596">
        <f>$B$8</f>
        <v>2020</v>
      </c>
      <c r="X8" s="596">
        <f>$C$8</f>
        <v>2021</v>
      </c>
      <c r="Y8" s="597" t="s">
        <v>82</v>
      </c>
      <c r="Z8" s="596">
        <f>$B$8</f>
        <v>2020</v>
      </c>
      <c r="AA8" s="596">
        <f>$C$8</f>
        <v>2021</v>
      </c>
      <c r="AB8" s="597" t="s">
        <v>82</v>
      </c>
      <c r="AC8" s="596">
        <f>$B$8</f>
        <v>2020</v>
      </c>
      <c r="AD8" s="596">
        <f>$C$8</f>
        <v>2021</v>
      </c>
      <c r="AE8" s="597" t="s">
        <v>82</v>
      </c>
      <c r="AF8" s="596">
        <f>$B$8</f>
        <v>2020</v>
      </c>
      <c r="AG8" s="596">
        <f>$C$8</f>
        <v>2021</v>
      </c>
      <c r="AH8" s="597" t="s">
        <v>82</v>
      </c>
      <c r="AI8" s="596">
        <f>$B$8</f>
        <v>2020</v>
      </c>
      <c r="AJ8" s="596">
        <f>$C$8</f>
        <v>2021</v>
      </c>
      <c r="AK8" s="597" t="s">
        <v>82</v>
      </c>
      <c r="AL8" s="599"/>
      <c r="AM8" s="598"/>
      <c r="AN8" s="599"/>
      <c r="AO8" s="599"/>
      <c r="AP8" s="598"/>
      <c r="AQ8" s="599"/>
      <c r="AR8" s="599"/>
      <c r="AS8" s="598"/>
      <c r="AT8" s="599"/>
      <c r="AU8" s="599"/>
      <c r="AV8" s="598"/>
    </row>
    <row r="9" spans="1:48" s="556" customFormat="1" ht="18.75" x14ac:dyDescent="0.3">
      <c r="A9" s="600"/>
      <c r="B9" s="601"/>
      <c r="C9" s="601"/>
      <c r="D9" s="601"/>
      <c r="E9" s="620"/>
      <c r="F9" s="557"/>
      <c r="G9" s="620"/>
      <c r="H9" s="620"/>
      <c r="I9" s="620"/>
      <c r="J9" s="560"/>
      <c r="K9" s="620"/>
      <c r="L9" s="620"/>
      <c r="M9" s="620"/>
      <c r="N9" s="620"/>
      <c r="O9" s="620"/>
      <c r="P9" s="620"/>
      <c r="Q9" s="620"/>
      <c r="R9" s="620"/>
      <c r="S9" s="620"/>
      <c r="T9" s="620"/>
      <c r="U9" s="620"/>
      <c r="V9" s="620"/>
      <c r="W9" s="620"/>
      <c r="X9" s="557"/>
      <c r="Y9" s="620"/>
      <c r="Z9" s="620"/>
      <c r="AA9" s="620"/>
      <c r="AB9" s="620"/>
      <c r="AC9" s="620"/>
      <c r="AD9" s="620"/>
      <c r="AE9" s="620"/>
      <c r="AF9" s="620"/>
      <c r="AG9" s="620"/>
      <c r="AH9" s="620"/>
      <c r="AI9" s="601"/>
      <c r="AJ9" s="601"/>
      <c r="AK9" s="601"/>
    </row>
    <row r="10" spans="1:48" s="556" customFormat="1" ht="18.75" x14ac:dyDescent="0.3">
      <c r="A10" s="602" t="s">
        <v>384</v>
      </c>
      <c r="B10" s="620"/>
      <c r="C10" s="620"/>
      <c r="D10" s="560"/>
      <c r="E10" s="620"/>
      <c r="F10" s="557"/>
      <c r="G10" s="620"/>
      <c r="H10" s="620"/>
      <c r="I10" s="620"/>
      <c r="J10" s="560"/>
      <c r="K10" s="620"/>
      <c r="L10" s="620"/>
      <c r="M10" s="620"/>
      <c r="N10" s="620"/>
      <c r="O10" s="620"/>
      <c r="P10" s="620"/>
      <c r="Q10" s="620"/>
      <c r="R10" s="620"/>
      <c r="S10" s="620"/>
      <c r="T10" s="620"/>
      <c r="U10" s="620"/>
      <c r="V10" s="620"/>
      <c r="W10" s="620"/>
      <c r="X10" s="557"/>
      <c r="Y10" s="620"/>
      <c r="Z10" s="620"/>
      <c r="AA10" s="557"/>
      <c r="AB10" s="620"/>
      <c r="AC10" s="620"/>
      <c r="AD10" s="557"/>
      <c r="AE10" s="620"/>
      <c r="AF10" s="620"/>
      <c r="AG10" s="557"/>
      <c r="AH10" s="620"/>
      <c r="AI10" s="620"/>
      <c r="AJ10" s="620"/>
      <c r="AK10" s="621"/>
    </row>
    <row r="11" spans="1:48" ht="22.5" x14ac:dyDescent="0.3">
      <c r="A11" s="602" t="s">
        <v>385</v>
      </c>
      <c r="B11" s="620">
        <v>0.4</v>
      </c>
      <c r="C11" s="620">
        <v>0.33</v>
      </c>
      <c r="D11" s="561">
        <f>IF(B11=0, "    ---- ", IF(ABS(ROUND(100/B11*C11-100,1))&lt;999,ROUND(100/B11*C11-100,1),IF(ROUND(100/B11*C11-100,1)&gt;999,999,-999)))</f>
        <v>-17.5</v>
      </c>
      <c r="E11" s="557">
        <v>0.75</v>
      </c>
      <c r="F11" s="557"/>
      <c r="G11" s="620"/>
      <c r="H11" s="620">
        <v>-0.16</v>
      </c>
      <c r="I11" s="620">
        <v>1.6</v>
      </c>
      <c r="J11" s="561">
        <f>IF(H11=0, "    ---- ", IF(ABS(ROUND(100/H11*I11-100,1))&lt;999,ROUND(100/H11*I11-100,1),IF(ROUND(100/H11*I11-100,1)&gt;999,999,-999)))</f>
        <v>-999</v>
      </c>
      <c r="K11" s="620">
        <v>-0.71</v>
      </c>
      <c r="L11" s="620">
        <v>1.31</v>
      </c>
      <c r="M11" s="620"/>
      <c r="N11" s="620"/>
      <c r="O11" s="620"/>
      <c r="P11" s="620"/>
      <c r="Q11" s="620">
        <v>0.19</v>
      </c>
      <c r="R11" s="620">
        <v>0.72</v>
      </c>
      <c r="S11" s="620"/>
      <c r="T11" s="620">
        <v>0.55218583741709626</v>
      </c>
      <c r="U11" s="620">
        <v>12.336832367698225</v>
      </c>
      <c r="V11" s="620"/>
      <c r="W11" s="620">
        <v>0.9</v>
      </c>
      <c r="X11" s="557">
        <v>2.5</v>
      </c>
      <c r="Y11" s="620"/>
      <c r="Z11" s="620">
        <v>3.57</v>
      </c>
      <c r="AA11" s="557">
        <v>3.25</v>
      </c>
      <c r="AB11" s="620"/>
      <c r="AC11" s="621">
        <v>-0.52</v>
      </c>
      <c r="AD11" s="557">
        <v>1.8722930352151901</v>
      </c>
      <c r="AE11" s="620"/>
      <c r="AF11" s="620">
        <v>0.82</v>
      </c>
      <c r="AG11" s="557">
        <v>0.84</v>
      </c>
      <c r="AH11" s="620"/>
      <c r="AI11" s="621"/>
      <c r="AJ11" s="621"/>
      <c r="AK11" s="621" t="str">
        <f>IF(AI11=0, "    ---- ", IF(ABS(ROUND(100/AI11*AJ11-100,1))&lt;999,ROUND(100/AI11*AJ11-100,1),IF(ROUND(100/AI11*AJ11-100,1)&gt;999,999,-999)))</f>
        <v xml:space="preserve">    ---- </v>
      </c>
    </row>
    <row r="12" spans="1:48" ht="18.75" x14ac:dyDescent="0.3">
      <c r="A12" s="602" t="s">
        <v>386</v>
      </c>
      <c r="B12" s="620">
        <v>-1.23</v>
      </c>
      <c r="C12" s="620">
        <v>0</v>
      </c>
      <c r="D12" s="561">
        <f>IF(B12=0, "    ---- ", IF(ABS(ROUND(100/B12*C12-100,1))&lt;999,ROUND(100/B12*C12-100,1),IF(ROUND(100/B12*C12-100,1)&gt;999,999,-999)))</f>
        <v>-100</v>
      </c>
      <c r="E12" s="557">
        <v>0.2</v>
      </c>
      <c r="F12" s="557"/>
      <c r="G12" s="620"/>
      <c r="H12" s="620">
        <v>-2.91</v>
      </c>
      <c r="I12" s="620">
        <v>0.79</v>
      </c>
      <c r="J12" s="561">
        <f>IF(H12=0, "    ---- ", IF(ABS(ROUND(100/H12*I12-100,1))&lt;999,ROUND(100/H12*I12-100,1),IF(ROUND(100/H12*I12-100,1)&gt;999,999,-999)))</f>
        <v>-127.1</v>
      </c>
      <c r="K12" s="620">
        <v>-0.71</v>
      </c>
      <c r="L12" s="620">
        <v>0.41</v>
      </c>
      <c r="M12" s="620"/>
      <c r="N12" s="620"/>
      <c r="O12" s="620"/>
      <c r="P12" s="620"/>
      <c r="Q12" s="620">
        <v>-0.13</v>
      </c>
      <c r="R12" s="620">
        <v>0.73</v>
      </c>
      <c r="S12" s="620"/>
      <c r="T12" s="620">
        <v>-3.7233715662952194</v>
      </c>
      <c r="U12" s="620">
        <v>1.8051917621037195</v>
      </c>
      <c r="V12" s="620"/>
      <c r="W12" s="620">
        <v>-0.8</v>
      </c>
      <c r="X12" s="557">
        <v>2.4</v>
      </c>
      <c r="Y12" s="620"/>
      <c r="Z12" s="620">
        <v>-4.5599999999999996</v>
      </c>
      <c r="AA12" s="557">
        <v>3.17</v>
      </c>
      <c r="AB12" s="620"/>
      <c r="AC12" s="621">
        <v>-4.3600000000000003</v>
      </c>
      <c r="AD12" s="557">
        <v>1.27380564202493</v>
      </c>
      <c r="AE12" s="620"/>
      <c r="AF12" s="620">
        <v>0.67</v>
      </c>
      <c r="AG12" s="557">
        <v>0</v>
      </c>
      <c r="AH12" s="620"/>
      <c r="AI12" s="621"/>
      <c r="AJ12" s="621"/>
      <c r="AK12" s="621" t="str">
        <f>IF(AI12=0, "    ---- ", IF(ABS(ROUND(100/AI12*AJ12-100,1))&lt;999,ROUND(100/AI12*AJ12-100,1),IF(ROUND(100/AI12*AJ12-100,1)&gt;999,999,-999)))</f>
        <v xml:space="preserve">    ---- </v>
      </c>
    </row>
    <row r="13" spans="1:48" ht="18.75" x14ac:dyDescent="0.3">
      <c r="A13" s="602"/>
      <c r="B13" s="620"/>
      <c r="C13" s="620"/>
      <c r="D13" s="560"/>
      <c r="E13" s="557"/>
      <c r="F13" s="557"/>
      <c r="G13" s="620"/>
      <c r="H13" s="620"/>
      <c r="I13" s="620"/>
      <c r="J13" s="560"/>
      <c r="K13" s="620"/>
      <c r="L13" s="620"/>
      <c r="M13" s="620"/>
      <c r="N13" s="620"/>
      <c r="O13" s="620"/>
      <c r="P13" s="620"/>
      <c r="Q13" s="620"/>
      <c r="R13" s="620"/>
      <c r="S13" s="620"/>
      <c r="T13" s="620"/>
      <c r="U13" s="620"/>
      <c r="V13" s="620"/>
      <c r="W13" s="620"/>
      <c r="X13" s="557"/>
      <c r="Y13" s="620"/>
      <c r="Z13" s="620"/>
      <c r="AA13" s="557"/>
      <c r="AB13" s="620"/>
      <c r="AC13" s="620"/>
      <c r="AD13" s="557"/>
      <c r="AE13" s="620"/>
      <c r="AF13" s="620"/>
      <c r="AG13" s="557"/>
      <c r="AH13" s="620"/>
      <c r="AI13" s="620"/>
      <c r="AJ13" s="620"/>
      <c r="AK13" s="620"/>
    </row>
    <row r="14" spans="1:48" ht="18.75" x14ac:dyDescent="0.3">
      <c r="A14" s="602" t="s">
        <v>387</v>
      </c>
      <c r="B14" s="620"/>
      <c r="C14" s="620"/>
      <c r="D14" s="561"/>
      <c r="E14" s="557">
        <v>45</v>
      </c>
      <c r="F14" s="627"/>
      <c r="G14" s="621">
        <f>IF(E14=0, "    ---- ", IF(ABS(ROUND(100/E14*F14-100,1))&lt;999,ROUND(100/E14*F14-100,1),IF(ROUND(100/E14*F14-100,1)&gt;999,999,-999)))</f>
        <v>-100</v>
      </c>
      <c r="H14" s="620">
        <f>0.2323*100</f>
        <v>23.23</v>
      </c>
      <c r="I14" s="620">
        <v>24.03</v>
      </c>
      <c r="J14" s="561">
        <f>IF(H14=0, "    ---- ", IF(ABS(ROUND(100/H14*I14-100,1))&lt;999,ROUND(100/H14*I14-100,1),IF(ROUND(100/H14*I14-100,1)&gt;999,999,-999)))</f>
        <v>3.4</v>
      </c>
      <c r="K14" s="620">
        <v>17.440000000000001</v>
      </c>
      <c r="L14" s="620">
        <v>44.39</v>
      </c>
      <c r="M14" s="621">
        <f>IF(K14=0, "    ---- ", IF(ABS(ROUND(100/K14*L14-100,1))&lt;999,ROUND(100/K14*L14-100,1),IF(ROUND(100/K14*L14-100,1)&gt;999,999,-999)))</f>
        <v>154.5</v>
      </c>
      <c r="N14" s="620">
        <v>30.3</v>
      </c>
      <c r="O14" s="620">
        <v>33.299999999999997</v>
      </c>
      <c r="P14" s="621">
        <f>IF(N14=0, "    ---- ", IF(ABS(ROUND(100/N14*O14-100,1))&lt;999,ROUND(100/N14*O14-100,1),IF(ROUND(100/N14*O14-100,1)&gt;999,999,-999)))</f>
        <v>9.9</v>
      </c>
      <c r="Q14" s="620">
        <v>19.48</v>
      </c>
      <c r="R14" s="620">
        <v>19.91</v>
      </c>
      <c r="S14" s="621">
        <f>IF(Q14=0, "    ---- ", IF(ABS(ROUND(100/Q14*R14-100,1))&lt;999,ROUND(100/Q14*R14-100,1),IF(ROUND(100/Q14*R14-100,1)&gt;999,999,-999)))</f>
        <v>2.2000000000000002</v>
      </c>
      <c r="T14" s="620">
        <v>22.7</v>
      </c>
      <c r="U14" s="620">
        <v>24.223836234350916</v>
      </c>
      <c r="V14" s="621">
        <f>IF(T14=0, "    ---- ", IF(ABS(ROUND(100/T14*U14-100,1))&lt;999,ROUND(100/T14*U14-100,1),IF(ROUND(100/T14*U14-100,1)&gt;999,999,-999)))</f>
        <v>6.7</v>
      </c>
      <c r="W14" s="620">
        <v>34.5</v>
      </c>
      <c r="X14" s="557">
        <v>37</v>
      </c>
      <c r="Y14" s="621">
        <f>IF(W14=0, "    ---- ", IF(ABS(ROUND(100/W14*X14-100,1))&lt;999,ROUND(100/W14*X14-100,1),IF(ROUND(100/W14*X14-100,1)&gt;999,999,-999)))</f>
        <v>7.2</v>
      </c>
      <c r="Z14" s="620">
        <f>(1430+7928+1240+7241+9577+909)/(66985+1526)*100</f>
        <v>41.343725825049994</v>
      </c>
      <c r="AA14" s="620">
        <f>(1430+9168+1240+7896+18139+906)/(67128+7301)*100</f>
        <v>52.102003251420811</v>
      </c>
      <c r="AB14" s="621">
        <f>IF(Z14=0, "    ---- ", IF(ABS(ROUND(100/Z14*AA14-100,1))&lt;999,ROUND(100/Z14*AA14-100,1),IF(ROUND(100/Z14*AA14-100,1)&gt;999,999,-999)))</f>
        <v>26</v>
      </c>
      <c r="AC14" s="621">
        <v>44.39</v>
      </c>
      <c r="AD14" s="557">
        <f>('[2]Tabell 6'!AJ68+'[2]Tabell 6'!AJ71+'[2]Tabell 6'!AJ74+'[2]Tabell 6'!AJ75+'[2]Tabell 6'!AJ78+464.22)/('[2]Tabell 6'!AJ79)*100</f>
        <v>43.770809093202971</v>
      </c>
      <c r="AE14" s="621">
        <f>IF(AC14=0, "    ---- ", IF(ABS(ROUND(100/AC14*AD14-100,1))&lt;999,ROUND(100/AC14*AD14-100,1),IF(ROUND(100/AC14*AD14-100,1)&gt;999,999,-999)))</f>
        <v>-1.4</v>
      </c>
      <c r="AF14" s="620">
        <v>24.3</v>
      </c>
      <c r="AG14" s="557">
        <v>26.9</v>
      </c>
      <c r="AH14" s="621">
        <f>IF(AF14=0, "    ---- ", IF(ABS(ROUND(100/AF14*AG14-100,1))&lt;999,ROUND(100/AF14*AG14-100,1),IF(ROUND(100/AF14*AG14-100,1)&gt;999,999,-999)))</f>
        <v>10.7</v>
      </c>
      <c r="AI14" s="621"/>
      <c r="AJ14" s="621"/>
      <c r="AK14" s="621" t="str">
        <f>IF(AI14=0, "    ---- ", IF(ABS(ROUND(100/AI14*AJ14-100,1))&lt;999,ROUND(100/AI14*AJ14-100,1),IF(ROUND(100/AI14*AJ14-100,1)&gt;999,999,-999)))</f>
        <v xml:space="preserve">    ---- </v>
      </c>
    </row>
    <row r="15" spans="1:48" ht="18.75" x14ac:dyDescent="0.3">
      <c r="A15" s="602"/>
      <c r="B15" s="620"/>
      <c r="C15" s="620"/>
      <c r="D15" s="560"/>
      <c r="E15" s="557"/>
      <c r="F15" s="557"/>
      <c r="G15" s="620"/>
      <c r="H15" s="620"/>
      <c r="I15" s="620"/>
      <c r="J15" s="560"/>
      <c r="K15" s="620"/>
      <c r="L15" s="620"/>
      <c r="M15" s="620"/>
      <c r="N15" s="620"/>
      <c r="O15" s="620"/>
      <c r="P15" s="620"/>
      <c r="Q15" s="620"/>
      <c r="R15" s="620"/>
      <c r="S15" s="620"/>
      <c r="T15" s="620"/>
      <c r="U15" s="620"/>
      <c r="V15" s="620"/>
      <c r="W15" s="620"/>
      <c r="X15" s="557"/>
      <c r="Y15" s="620"/>
      <c r="Z15" s="620"/>
      <c r="AA15" s="557"/>
      <c r="AB15" s="620"/>
      <c r="AC15" s="620"/>
      <c r="AD15" s="557"/>
      <c r="AE15" s="620"/>
      <c r="AF15" s="620"/>
      <c r="AG15" s="557"/>
      <c r="AH15" s="620"/>
      <c r="AI15" s="620"/>
      <c r="AJ15" s="620"/>
      <c r="AK15" s="620"/>
    </row>
    <row r="16" spans="1:48" ht="18.75" x14ac:dyDescent="0.3">
      <c r="A16" s="602" t="s">
        <v>322</v>
      </c>
      <c r="B16" s="621">
        <v>24.056000000000001</v>
      </c>
      <c r="C16" s="621">
        <v>63.954000000000001</v>
      </c>
      <c r="D16" s="561">
        <f>IF(B16=0, "    ---- ", IF(ABS(ROUND(100/B16*C16-100,1))&lt;999,ROUND(100/B16*C16-100,1),IF(ROUND(100/B16*C16-100,1)&gt;999,999,-999)))</f>
        <v>165.9</v>
      </c>
      <c r="E16" s="558">
        <v>9.3000000000000007</v>
      </c>
      <c r="F16" s="558"/>
      <c r="G16" s="621"/>
      <c r="H16" s="621">
        <v>0</v>
      </c>
      <c r="I16" s="621">
        <v>1017.072</v>
      </c>
      <c r="J16" s="561" t="str">
        <f>IF(H16=0, "    ---- ", IF(ABS(ROUND(100/H16*I16-100,1))&lt;999,ROUND(100/H16*I16-100,1),IF(ROUND(100/H16*I16-100,1)&gt;999,999,-999)))</f>
        <v xml:space="preserve">    ---- </v>
      </c>
      <c r="K16" s="621"/>
      <c r="L16" s="621"/>
      <c r="M16" s="621"/>
      <c r="N16" s="621"/>
      <c r="O16" s="621"/>
      <c r="P16" s="621"/>
      <c r="Q16" s="621">
        <v>0</v>
      </c>
      <c r="R16" s="621">
        <v>2.2999999999999998</v>
      </c>
      <c r="S16" s="621"/>
      <c r="T16" s="621">
        <v>31731.070842000001</v>
      </c>
      <c r="U16" s="621">
        <v>56575.338283750003</v>
      </c>
      <c r="V16" s="621"/>
      <c r="W16" s="621">
        <v>725</v>
      </c>
      <c r="X16" s="558">
        <v>2374</v>
      </c>
      <c r="Y16" s="621"/>
      <c r="Z16" s="621">
        <v>9577</v>
      </c>
      <c r="AA16" s="558">
        <v>18139</v>
      </c>
      <c r="AB16" s="621"/>
      <c r="AC16" s="621">
        <v>1486</v>
      </c>
      <c r="AD16" s="421">
        <v>2673.8429999999998</v>
      </c>
      <c r="AE16" s="621"/>
      <c r="AF16" s="621">
        <v>5279</v>
      </c>
      <c r="AG16" s="558">
        <v>5549</v>
      </c>
      <c r="AH16" s="621"/>
      <c r="AI16" s="621">
        <f>B16+H16+K16+N16+Q16+T16+E16+W16+Z16+AC16+AF16</f>
        <v>48831.426842000001</v>
      </c>
      <c r="AJ16" s="621">
        <f>C16+I16+L16+O16+R16+U16+F16+X16+AA16+AD16+AG16</f>
        <v>86394.50728374999</v>
      </c>
      <c r="AK16" s="621">
        <f>IF(AI16=0, "    ---- ", IF(ABS(ROUND(100/AI16*AJ16-100,1))&lt;999,ROUND(100/AI16*AJ16-100,1),IF(ROUND(100/AI16*AJ16-100,1)&gt;999,999,-999)))</f>
        <v>76.900000000000006</v>
      </c>
    </row>
    <row r="17" spans="1:37" ht="18.75" x14ac:dyDescent="0.3">
      <c r="A17" s="602"/>
      <c r="B17" s="621"/>
      <c r="C17" s="621"/>
      <c r="D17" s="561"/>
      <c r="E17" s="558"/>
      <c r="F17" s="558"/>
      <c r="G17" s="621"/>
      <c r="H17" s="621"/>
      <c r="I17" s="621"/>
      <c r="J17" s="561"/>
      <c r="K17" s="621"/>
      <c r="L17" s="621"/>
      <c r="M17" s="621"/>
      <c r="N17" s="621"/>
      <c r="O17" s="621"/>
      <c r="P17" s="621"/>
      <c r="Q17" s="621"/>
      <c r="R17" s="621"/>
      <c r="S17" s="621"/>
      <c r="T17" s="621"/>
      <c r="U17" s="621"/>
      <c r="V17" s="621"/>
      <c r="W17" s="621"/>
      <c r="X17" s="558"/>
      <c r="Y17" s="621"/>
      <c r="Z17" s="621"/>
      <c r="AA17" s="558"/>
      <c r="AB17" s="621"/>
      <c r="AC17" s="621"/>
      <c r="AD17" s="558"/>
      <c r="AE17" s="621"/>
      <c r="AF17" s="621"/>
      <c r="AG17" s="558"/>
      <c r="AH17" s="621"/>
      <c r="AI17" s="621"/>
      <c r="AJ17" s="621"/>
      <c r="AK17" s="621"/>
    </row>
    <row r="18" spans="1:37" ht="18.75" x14ac:dyDescent="0.3">
      <c r="A18" s="603" t="s">
        <v>388</v>
      </c>
      <c r="B18" s="622"/>
      <c r="C18" s="622"/>
      <c r="D18" s="562"/>
      <c r="E18" s="559">
        <v>65</v>
      </c>
      <c r="F18" s="559"/>
      <c r="G18" s="622"/>
      <c r="H18" s="622">
        <v>7664.0659999999998</v>
      </c>
      <c r="I18" s="622">
        <v>5636</v>
      </c>
      <c r="J18" s="562">
        <f>IF(H18=0, "    ---- ", IF(ABS(ROUND(100/H18*I18-100,1))&lt;999,ROUND(100/H18*I18-100,1),IF(ROUND(100/H18*I18-100,1)&gt;999,999,-999)))</f>
        <v>-26.5</v>
      </c>
      <c r="K18" s="622"/>
      <c r="L18" s="626">
        <v>5.6</v>
      </c>
      <c r="M18" s="622"/>
      <c r="N18" s="622"/>
      <c r="O18" s="622"/>
      <c r="P18" s="622"/>
      <c r="Q18" s="622"/>
      <c r="R18" s="622">
        <v>3.3</v>
      </c>
      <c r="S18" s="622"/>
      <c r="T18" s="622"/>
      <c r="U18" s="622">
        <v>924</v>
      </c>
      <c r="V18" s="622"/>
      <c r="W18" s="622">
        <v>2214</v>
      </c>
      <c r="X18" s="559">
        <v>1671</v>
      </c>
      <c r="Y18" s="622"/>
      <c r="Z18" s="622">
        <f>813+96</f>
        <v>909</v>
      </c>
      <c r="AA18" s="559">
        <v>906</v>
      </c>
      <c r="AB18" s="622"/>
      <c r="AC18" s="622">
        <v>73</v>
      </c>
      <c r="AD18" s="559">
        <v>57.131</v>
      </c>
      <c r="AE18" s="622"/>
      <c r="AF18" s="622">
        <v>6719</v>
      </c>
      <c r="AG18" s="559">
        <v>5851</v>
      </c>
      <c r="AH18" s="622"/>
      <c r="AI18" s="622">
        <f>B18+H18+K18+N18+Q18+T18+E18+W18+Z18+AC18+AF18</f>
        <v>17644.065999999999</v>
      </c>
      <c r="AJ18" s="622">
        <f>C18+I18+L18+O18+R18+U18+F18+X18+AA18+AD18+AG18</f>
        <v>15054.031000000001</v>
      </c>
      <c r="AK18" s="622">
        <f>IF(AI18=0, "    ---- ", IF(ABS(ROUND(100/AI18*AJ18-100,1))&lt;999,ROUND(100/AI18*AJ18-100,1),IF(ROUND(100/AI18*AJ18-100,1)&gt;999,999,-999)))</f>
        <v>-14.7</v>
      </c>
    </row>
  </sheetData>
  <protectedRanges>
    <protectedRange sqref="AF9:AG10" name="Område1_10_1_1_1"/>
    <protectedRange sqref="AF11:AG18" name="Område1_8_1_1_1_1"/>
    <protectedRange sqref="R9:R13 R15:R18" name="Område1_9_6_1"/>
    <protectedRange sqref="R14" name="Område1_4_2_6_1"/>
    <protectedRange sqref="Q9:Q13 Q15:Q18" name="Område1_9"/>
    <protectedRange sqref="Q14" name="Område1_4_2"/>
    <protectedRange sqref="AC9:AD18" name="Område1_11_1_1_1"/>
    <protectedRange sqref="X9:X10" name="Område1_13_3_1_1"/>
    <protectedRange sqref="X11:X18" name="Område1_5_1_2_1"/>
    <protectedRange sqref="W9:W13 W15:W18" name="Område1_9_3_1"/>
    <protectedRange sqref="W14" name="Område1_4_2_3_1"/>
    <protectedRange sqref="L9:L10" name="Område1_13_5_2"/>
    <protectedRange sqref="L11:L18" name="Område1_2_1_2_2"/>
    <protectedRange sqref="K9:K13 K15:K18" name="Område1_9_6_1_1"/>
    <protectedRange sqref="K14" name="Område1_4_2_6_1_1"/>
    <protectedRange sqref="C9:C10 C17:C18" name="Område1_12_1_1_1"/>
    <protectedRange sqref="C11:C16" name="Område1_1_1_1_1_1"/>
    <protectedRange sqref="B9:B10 B17:B18" name="Område1_4"/>
    <protectedRange sqref="B11:B16" name="Område1_1_1"/>
    <protectedRange sqref="AA9:AA10" name="Område1_13_4_1_1"/>
    <protectedRange sqref="AA11:AA13 AA15:AA18" name="Område1_6_1_2_1"/>
    <protectedRange sqref="Z9:Z13 Z15:Z18" name="Område1_9_5"/>
    <protectedRange sqref="Z14:AA14" name="Område1_4_2_5"/>
    <protectedRange sqref="O9:O13 O15:O18" name="Område1_13_1_1_1"/>
    <protectedRange sqref="O14" name="Område1_4_1_2_1"/>
    <protectedRange sqref="N9:N13 N15:N18" name="Område1_9_7"/>
    <protectedRange sqref="N14" name="Område1_4_2_7"/>
    <protectedRange sqref="I9:I10" name="Område1_13_5_1_1"/>
    <protectedRange sqref="I11:I18" name="Område1_2_1_2_1_1"/>
    <protectedRange sqref="H9:H10" name="Område1_8_1"/>
    <protectedRange sqref="H11:H18" name="Område1_2_2_1"/>
    <protectedRange sqref="U9:U10" name="Område1_13_2_1_1"/>
    <protectedRange sqref="U11:U18" name="Område1_3_1_2_1"/>
    <protectedRange sqref="T9:T13 T15:T18" name="Område1_9_4"/>
    <protectedRange sqref="T14" name="Område1_4_2_4"/>
    <protectedRange sqref="E9:E13 E15:E18" name="Område1_9_8"/>
    <protectedRange sqref="E14" name="Område1_4_2_8"/>
  </protectedRanges>
  <mergeCells count="26">
    <mergeCell ref="AN5:AP5"/>
    <mergeCell ref="AQ5:AS5"/>
    <mergeCell ref="AT5:AV5"/>
    <mergeCell ref="AN6:AP6"/>
    <mergeCell ref="AQ6:AS6"/>
    <mergeCell ref="AT6:AV6"/>
    <mergeCell ref="B5:D5"/>
    <mergeCell ref="H5:J5"/>
    <mergeCell ref="E5:G5"/>
    <mergeCell ref="B6:D6"/>
    <mergeCell ref="H6:J6"/>
    <mergeCell ref="E6:G6"/>
    <mergeCell ref="AI5:AK5"/>
    <mergeCell ref="AI6:AK6"/>
    <mergeCell ref="K6:M6"/>
    <mergeCell ref="Q5:S5"/>
    <mergeCell ref="Z5:AB5"/>
    <mergeCell ref="AC6:AE6"/>
    <mergeCell ref="AF5:AH5"/>
    <mergeCell ref="AF6:AH6"/>
    <mergeCell ref="N5:P5"/>
    <mergeCell ref="T6:V6"/>
    <mergeCell ref="W6:Y6"/>
    <mergeCell ref="Z6:AB6"/>
    <mergeCell ref="Q6:S6"/>
    <mergeCell ref="N6:P6"/>
  </mergeCells>
  <hyperlinks>
    <hyperlink ref="B1" location="Innhold!A1" display="Tilbake" xr:uid="{10497701-2AA6-4565-8F01-4AFD14AEF8BE}"/>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Ark9"/>
  <dimension ref="A2:Q65"/>
  <sheetViews>
    <sheetView showGridLines="0" topLeftCell="A7" zoomScale="90" zoomScaleNormal="90" workbookViewId="0">
      <selection activeCell="C26" sqref="C26"/>
    </sheetView>
  </sheetViews>
  <sheetFormatPr baseColWidth="10" defaultColWidth="11.42578125" defaultRowHeight="12.75" x14ac:dyDescent="0.2"/>
  <cols>
    <col min="1" max="1" width="66.28515625" style="1" customWidth="1"/>
    <col min="2" max="2" width="4.28515625" style="50" customWidth="1"/>
    <col min="3" max="3" width="105.28515625" style="1" customWidth="1"/>
    <col min="4" max="8" width="12.7109375" style="1" customWidth="1"/>
    <col min="9" max="257" width="11.42578125" style="1"/>
    <col min="258" max="258" width="2.7109375" style="1" customWidth="1"/>
    <col min="259" max="259" width="176.7109375" style="1" customWidth="1"/>
    <col min="260" max="260" width="11.42578125" style="1"/>
    <col min="261" max="261" width="176.7109375" style="1" customWidth="1"/>
    <col min="262" max="262" width="11.42578125" style="1"/>
    <col min="263" max="263" width="88.7109375" style="1" customWidth="1"/>
    <col min="264" max="513" width="11.42578125" style="1"/>
    <col min="514" max="514" width="2.7109375" style="1" customWidth="1"/>
    <col min="515" max="515" width="176.7109375" style="1" customWidth="1"/>
    <col min="516" max="516" width="11.42578125" style="1"/>
    <col min="517" max="517" width="176.7109375" style="1" customWidth="1"/>
    <col min="518" max="518" width="11.42578125" style="1"/>
    <col min="519" max="519" width="88.7109375" style="1" customWidth="1"/>
    <col min="520" max="769" width="11.42578125" style="1"/>
    <col min="770" max="770" width="2.7109375" style="1" customWidth="1"/>
    <col min="771" max="771" width="176.7109375" style="1" customWidth="1"/>
    <col min="772" max="772" width="11.42578125" style="1"/>
    <col min="773" max="773" width="176.7109375" style="1" customWidth="1"/>
    <col min="774" max="774" width="11.42578125" style="1"/>
    <col min="775" max="775" width="88.7109375" style="1" customWidth="1"/>
    <col min="776" max="1025" width="11.42578125" style="1"/>
    <col min="1026" max="1026" width="2.7109375" style="1" customWidth="1"/>
    <col min="1027" max="1027" width="176.7109375" style="1" customWidth="1"/>
    <col min="1028" max="1028" width="11.42578125" style="1"/>
    <col min="1029" max="1029" width="176.7109375" style="1" customWidth="1"/>
    <col min="1030" max="1030" width="11.42578125" style="1"/>
    <col min="1031" max="1031" width="88.7109375" style="1" customWidth="1"/>
    <col min="1032" max="1281" width="11.42578125" style="1"/>
    <col min="1282" max="1282" width="2.7109375" style="1" customWidth="1"/>
    <col min="1283" max="1283" width="176.7109375" style="1" customWidth="1"/>
    <col min="1284" max="1284" width="11.42578125" style="1"/>
    <col min="1285" max="1285" width="176.7109375" style="1" customWidth="1"/>
    <col min="1286" max="1286" width="11.42578125" style="1"/>
    <col min="1287" max="1287" width="88.7109375" style="1" customWidth="1"/>
    <col min="1288" max="1537" width="11.42578125" style="1"/>
    <col min="1538" max="1538" width="2.7109375" style="1" customWidth="1"/>
    <col min="1539" max="1539" width="176.7109375" style="1" customWidth="1"/>
    <col min="1540" max="1540" width="11.42578125" style="1"/>
    <col min="1541" max="1541" width="176.7109375" style="1" customWidth="1"/>
    <col min="1542" max="1542" width="11.42578125" style="1"/>
    <col min="1543" max="1543" width="88.7109375" style="1" customWidth="1"/>
    <col min="1544" max="1793" width="11.42578125" style="1"/>
    <col min="1794" max="1794" width="2.7109375" style="1" customWidth="1"/>
    <col min="1795" max="1795" width="176.7109375" style="1" customWidth="1"/>
    <col min="1796" max="1796" width="11.42578125" style="1"/>
    <col min="1797" max="1797" width="176.7109375" style="1" customWidth="1"/>
    <col min="1798" max="1798" width="11.42578125" style="1"/>
    <col min="1799" max="1799" width="88.7109375" style="1" customWidth="1"/>
    <col min="1800" max="2049" width="11.42578125" style="1"/>
    <col min="2050" max="2050" width="2.7109375" style="1" customWidth="1"/>
    <col min="2051" max="2051" width="176.7109375" style="1" customWidth="1"/>
    <col min="2052" max="2052" width="11.42578125" style="1"/>
    <col min="2053" max="2053" width="176.7109375" style="1" customWidth="1"/>
    <col min="2054" max="2054" width="11.42578125" style="1"/>
    <col min="2055" max="2055" width="88.7109375" style="1" customWidth="1"/>
    <col min="2056" max="2305" width="11.42578125" style="1"/>
    <col min="2306" max="2306" width="2.7109375" style="1" customWidth="1"/>
    <col min="2307" max="2307" width="176.7109375" style="1" customWidth="1"/>
    <col min="2308" max="2308" width="11.42578125" style="1"/>
    <col min="2309" max="2309" width="176.7109375" style="1" customWidth="1"/>
    <col min="2310" max="2310" width="11.42578125" style="1"/>
    <col min="2311" max="2311" width="88.7109375" style="1" customWidth="1"/>
    <col min="2312" max="2561" width="11.42578125" style="1"/>
    <col min="2562" max="2562" width="2.7109375" style="1" customWidth="1"/>
    <col min="2563" max="2563" width="176.7109375" style="1" customWidth="1"/>
    <col min="2564" max="2564" width="11.42578125" style="1"/>
    <col min="2565" max="2565" width="176.7109375" style="1" customWidth="1"/>
    <col min="2566" max="2566" width="11.42578125" style="1"/>
    <col min="2567" max="2567" width="88.7109375" style="1" customWidth="1"/>
    <col min="2568" max="2817" width="11.42578125" style="1"/>
    <col min="2818" max="2818" width="2.7109375" style="1" customWidth="1"/>
    <col min="2819" max="2819" width="176.7109375" style="1" customWidth="1"/>
    <col min="2820" max="2820" width="11.42578125" style="1"/>
    <col min="2821" max="2821" width="176.7109375" style="1" customWidth="1"/>
    <col min="2822" max="2822" width="11.42578125" style="1"/>
    <col min="2823" max="2823" width="88.7109375" style="1" customWidth="1"/>
    <col min="2824" max="3073" width="11.42578125" style="1"/>
    <col min="3074" max="3074" width="2.7109375" style="1" customWidth="1"/>
    <col min="3075" max="3075" width="176.7109375" style="1" customWidth="1"/>
    <col min="3076" max="3076" width="11.42578125" style="1"/>
    <col min="3077" max="3077" width="176.7109375" style="1" customWidth="1"/>
    <col min="3078" max="3078" width="11.42578125" style="1"/>
    <col min="3079" max="3079" width="88.7109375" style="1" customWidth="1"/>
    <col min="3080" max="3329" width="11.42578125" style="1"/>
    <col min="3330" max="3330" width="2.7109375" style="1" customWidth="1"/>
    <col min="3331" max="3331" width="176.7109375" style="1" customWidth="1"/>
    <col min="3332" max="3332" width="11.42578125" style="1"/>
    <col min="3333" max="3333" width="176.7109375" style="1" customWidth="1"/>
    <col min="3334" max="3334" width="11.42578125" style="1"/>
    <col min="3335" max="3335" width="88.7109375" style="1" customWidth="1"/>
    <col min="3336" max="3585" width="11.42578125" style="1"/>
    <col min="3586" max="3586" width="2.7109375" style="1" customWidth="1"/>
    <col min="3587" max="3587" width="176.7109375" style="1" customWidth="1"/>
    <col min="3588" max="3588" width="11.42578125" style="1"/>
    <col min="3589" max="3589" width="176.7109375" style="1" customWidth="1"/>
    <col min="3590" max="3590" width="11.42578125" style="1"/>
    <col min="3591" max="3591" width="88.7109375" style="1" customWidth="1"/>
    <col min="3592" max="3841" width="11.42578125" style="1"/>
    <col min="3842" max="3842" width="2.7109375" style="1" customWidth="1"/>
    <col min="3843" max="3843" width="176.7109375" style="1" customWidth="1"/>
    <col min="3844" max="3844" width="11.42578125" style="1"/>
    <col min="3845" max="3845" width="176.7109375" style="1" customWidth="1"/>
    <col min="3846" max="3846" width="11.42578125" style="1"/>
    <col min="3847" max="3847" width="88.7109375" style="1" customWidth="1"/>
    <col min="3848" max="4097" width="11.42578125" style="1"/>
    <col min="4098" max="4098" width="2.7109375" style="1" customWidth="1"/>
    <col min="4099" max="4099" width="176.7109375" style="1" customWidth="1"/>
    <col min="4100" max="4100" width="11.42578125" style="1"/>
    <col min="4101" max="4101" width="176.7109375" style="1" customWidth="1"/>
    <col min="4102" max="4102" width="11.42578125" style="1"/>
    <col min="4103" max="4103" width="88.7109375" style="1" customWidth="1"/>
    <col min="4104" max="4353" width="11.42578125" style="1"/>
    <col min="4354" max="4354" width="2.7109375" style="1" customWidth="1"/>
    <col min="4355" max="4355" width="176.7109375" style="1" customWidth="1"/>
    <col min="4356" max="4356" width="11.42578125" style="1"/>
    <col min="4357" max="4357" width="176.7109375" style="1" customWidth="1"/>
    <col min="4358" max="4358" width="11.42578125" style="1"/>
    <col min="4359" max="4359" width="88.7109375" style="1" customWidth="1"/>
    <col min="4360" max="4609" width="11.42578125" style="1"/>
    <col min="4610" max="4610" width="2.7109375" style="1" customWidth="1"/>
    <col min="4611" max="4611" width="176.7109375" style="1" customWidth="1"/>
    <col min="4612" max="4612" width="11.42578125" style="1"/>
    <col min="4613" max="4613" width="176.7109375" style="1" customWidth="1"/>
    <col min="4614" max="4614" width="11.42578125" style="1"/>
    <col min="4615" max="4615" width="88.7109375" style="1" customWidth="1"/>
    <col min="4616" max="4865" width="11.42578125" style="1"/>
    <col min="4866" max="4866" width="2.7109375" style="1" customWidth="1"/>
    <col min="4867" max="4867" width="176.7109375" style="1" customWidth="1"/>
    <col min="4868" max="4868" width="11.42578125" style="1"/>
    <col min="4869" max="4869" width="176.7109375" style="1" customWidth="1"/>
    <col min="4870" max="4870" width="11.42578125" style="1"/>
    <col min="4871" max="4871" width="88.7109375" style="1" customWidth="1"/>
    <col min="4872" max="5121" width="11.42578125" style="1"/>
    <col min="5122" max="5122" width="2.7109375" style="1" customWidth="1"/>
    <col min="5123" max="5123" width="176.7109375" style="1" customWidth="1"/>
    <col min="5124" max="5124" width="11.42578125" style="1"/>
    <col min="5125" max="5125" width="176.7109375" style="1" customWidth="1"/>
    <col min="5126" max="5126" width="11.42578125" style="1"/>
    <col min="5127" max="5127" width="88.7109375" style="1" customWidth="1"/>
    <col min="5128" max="5377" width="11.42578125" style="1"/>
    <col min="5378" max="5378" width="2.7109375" style="1" customWidth="1"/>
    <col min="5379" max="5379" width="176.7109375" style="1" customWidth="1"/>
    <col min="5380" max="5380" width="11.42578125" style="1"/>
    <col min="5381" max="5381" width="176.7109375" style="1" customWidth="1"/>
    <col min="5382" max="5382" width="11.42578125" style="1"/>
    <col min="5383" max="5383" width="88.7109375" style="1" customWidth="1"/>
    <col min="5384" max="5633" width="11.42578125" style="1"/>
    <col min="5634" max="5634" width="2.7109375" style="1" customWidth="1"/>
    <col min="5635" max="5635" width="176.7109375" style="1" customWidth="1"/>
    <col min="5636" max="5636" width="11.42578125" style="1"/>
    <col min="5637" max="5637" width="176.7109375" style="1" customWidth="1"/>
    <col min="5638" max="5638" width="11.42578125" style="1"/>
    <col min="5639" max="5639" width="88.7109375" style="1" customWidth="1"/>
    <col min="5640" max="5889" width="11.42578125" style="1"/>
    <col min="5890" max="5890" width="2.7109375" style="1" customWidth="1"/>
    <col min="5891" max="5891" width="176.7109375" style="1" customWidth="1"/>
    <col min="5892" max="5892" width="11.42578125" style="1"/>
    <col min="5893" max="5893" width="176.7109375" style="1" customWidth="1"/>
    <col min="5894" max="5894" width="11.42578125" style="1"/>
    <col min="5895" max="5895" width="88.7109375" style="1" customWidth="1"/>
    <col min="5896" max="6145" width="11.42578125" style="1"/>
    <col min="6146" max="6146" width="2.7109375" style="1" customWidth="1"/>
    <col min="6147" max="6147" width="176.7109375" style="1" customWidth="1"/>
    <col min="6148" max="6148" width="11.42578125" style="1"/>
    <col min="6149" max="6149" width="176.7109375" style="1" customWidth="1"/>
    <col min="6150" max="6150" width="11.42578125" style="1"/>
    <col min="6151" max="6151" width="88.7109375" style="1" customWidth="1"/>
    <col min="6152" max="6401" width="11.42578125" style="1"/>
    <col min="6402" max="6402" width="2.7109375" style="1" customWidth="1"/>
    <col min="6403" max="6403" width="176.7109375" style="1" customWidth="1"/>
    <col min="6404" max="6404" width="11.42578125" style="1"/>
    <col min="6405" max="6405" width="176.7109375" style="1" customWidth="1"/>
    <col min="6406" max="6406" width="11.42578125" style="1"/>
    <col min="6407" max="6407" width="88.7109375" style="1" customWidth="1"/>
    <col min="6408" max="6657" width="11.42578125" style="1"/>
    <col min="6658" max="6658" width="2.7109375" style="1" customWidth="1"/>
    <col min="6659" max="6659" width="176.7109375" style="1" customWidth="1"/>
    <col min="6660" max="6660" width="11.42578125" style="1"/>
    <col min="6661" max="6661" width="176.7109375" style="1" customWidth="1"/>
    <col min="6662" max="6662" width="11.42578125" style="1"/>
    <col min="6663" max="6663" width="88.7109375" style="1" customWidth="1"/>
    <col min="6664" max="6913" width="11.42578125" style="1"/>
    <col min="6914" max="6914" width="2.7109375" style="1" customWidth="1"/>
    <col min="6915" max="6915" width="176.7109375" style="1" customWidth="1"/>
    <col min="6916" max="6916" width="11.42578125" style="1"/>
    <col min="6917" max="6917" width="176.7109375" style="1" customWidth="1"/>
    <col min="6918" max="6918" width="11.42578125" style="1"/>
    <col min="6919" max="6919" width="88.7109375" style="1" customWidth="1"/>
    <col min="6920" max="7169" width="11.42578125" style="1"/>
    <col min="7170" max="7170" width="2.7109375" style="1" customWidth="1"/>
    <col min="7171" max="7171" width="176.7109375" style="1" customWidth="1"/>
    <col min="7172" max="7172" width="11.42578125" style="1"/>
    <col min="7173" max="7173" width="176.7109375" style="1" customWidth="1"/>
    <col min="7174" max="7174" width="11.42578125" style="1"/>
    <col min="7175" max="7175" width="88.7109375" style="1" customWidth="1"/>
    <col min="7176" max="7425" width="11.42578125" style="1"/>
    <col min="7426" max="7426" width="2.7109375" style="1" customWidth="1"/>
    <col min="7427" max="7427" width="176.7109375" style="1" customWidth="1"/>
    <col min="7428" max="7428" width="11.42578125" style="1"/>
    <col min="7429" max="7429" width="176.7109375" style="1" customWidth="1"/>
    <col min="7430" max="7430" width="11.42578125" style="1"/>
    <col min="7431" max="7431" width="88.7109375" style="1" customWidth="1"/>
    <col min="7432" max="7681" width="11.42578125" style="1"/>
    <col min="7682" max="7682" width="2.7109375" style="1" customWidth="1"/>
    <col min="7683" max="7683" width="176.7109375" style="1" customWidth="1"/>
    <col min="7684" max="7684" width="11.42578125" style="1"/>
    <col min="7685" max="7685" width="176.7109375" style="1" customWidth="1"/>
    <col min="7686" max="7686" width="11.42578125" style="1"/>
    <col min="7687" max="7687" width="88.7109375" style="1" customWidth="1"/>
    <col min="7688" max="7937" width="11.42578125" style="1"/>
    <col min="7938" max="7938" width="2.7109375" style="1" customWidth="1"/>
    <col min="7939" max="7939" width="176.7109375" style="1" customWidth="1"/>
    <col min="7940" max="7940" width="11.42578125" style="1"/>
    <col min="7941" max="7941" width="176.7109375" style="1" customWidth="1"/>
    <col min="7942" max="7942" width="11.42578125" style="1"/>
    <col min="7943" max="7943" width="88.7109375" style="1" customWidth="1"/>
    <col min="7944" max="8193" width="11.42578125" style="1"/>
    <col min="8194" max="8194" width="2.7109375" style="1" customWidth="1"/>
    <col min="8195" max="8195" width="176.7109375" style="1" customWidth="1"/>
    <col min="8196" max="8196" width="11.42578125" style="1"/>
    <col min="8197" max="8197" width="176.7109375" style="1" customWidth="1"/>
    <col min="8198" max="8198" width="11.42578125" style="1"/>
    <col min="8199" max="8199" width="88.7109375" style="1" customWidth="1"/>
    <col min="8200" max="8449" width="11.42578125" style="1"/>
    <col min="8450" max="8450" width="2.7109375" style="1" customWidth="1"/>
    <col min="8451" max="8451" width="176.7109375" style="1" customWidth="1"/>
    <col min="8452" max="8452" width="11.42578125" style="1"/>
    <col min="8453" max="8453" width="176.7109375" style="1" customWidth="1"/>
    <col min="8454" max="8454" width="11.42578125" style="1"/>
    <col min="8455" max="8455" width="88.7109375" style="1" customWidth="1"/>
    <col min="8456" max="8705" width="11.42578125" style="1"/>
    <col min="8706" max="8706" width="2.7109375" style="1" customWidth="1"/>
    <col min="8707" max="8707" width="176.7109375" style="1" customWidth="1"/>
    <col min="8708" max="8708" width="11.42578125" style="1"/>
    <col min="8709" max="8709" width="176.7109375" style="1" customWidth="1"/>
    <col min="8710" max="8710" width="11.42578125" style="1"/>
    <col min="8711" max="8711" width="88.7109375" style="1" customWidth="1"/>
    <col min="8712" max="8961" width="11.42578125" style="1"/>
    <col min="8962" max="8962" width="2.7109375" style="1" customWidth="1"/>
    <col min="8963" max="8963" width="176.7109375" style="1" customWidth="1"/>
    <col min="8964" max="8964" width="11.42578125" style="1"/>
    <col min="8965" max="8965" width="176.7109375" style="1" customWidth="1"/>
    <col min="8966" max="8966" width="11.42578125" style="1"/>
    <col min="8967" max="8967" width="88.7109375" style="1" customWidth="1"/>
    <col min="8968" max="9217" width="11.42578125" style="1"/>
    <col min="9218" max="9218" width="2.7109375" style="1" customWidth="1"/>
    <col min="9219" max="9219" width="176.7109375" style="1" customWidth="1"/>
    <col min="9220" max="9220" width="11.42578125" style="1"/>
    <col min="9221" max="9221" width="176.7109375" style="1" customWidth="1"/>
    <col min="9222" max="9222" width="11.42578125" style="1"/>
    <col min="9223" max="9223" width="88.7109375" style="1" customWidth="1"/>
    <col min="9224" max="9473" width="11.42578125" style="1"/>
    <col min="9474" max="9474" width="2.7109375" style="1" customWidth="1"/>
    <col min="9475" max="9475" width="176.7109375" style="1" customWidth="1"/>
    <col min="9476" max="9476" width="11.42578125" style="1"/>
    <col min="9477" max="9477" width="176.7109375" style="1" customWidth="1"/>
    <col min="9478" max="9478" width="11.42578125" style="1"/>
    <col min="9479" max="9479" width="88.7109375" style="1" customWidth="1"/>
    <col min="9480" max="9729" width="11.42578125" style="1"/>
    <col min="9730" max="9730" width="2.7109375" style="1" customWidth="1"/>
    <col min="9731" max="9731" width="176.7109375" style="1" customWidth="1"/>
    <col min="9732" max="9732" width="11.42578125" style="1"/>
    <col min="9733" max="9733" width="176.7109375" style="1" customWidth="1"/>
    <col min="9734" max="9734" width="11.42578125" style="1"/>
    <col min="9735" max="9735" width="88.7109375" style="1" customWidth="1"/>
    <col min="9736" max="9985" width="11.42578125" style="1"/>
    <col min="9986" max="9986" width="2.7109375" style="1" customWidth="1"/>
    <col min="9987" max="9987" width="176.7109375" style="1" customWidth="1"/>
    <col min="9988" max="9988" width="11.42578125" style="1"/>
    <col min="9989" max="9989" width="176.7109375" style="1" customWidth="1"/>
    <col min="9990" max="9990" width="11.42578125" style="1"/>
    <col min="9991" max="9991" width="88.7109375" style="1" customWidth="1"/>
    <col min="9992" max="10241" width="11.42578125" style="1"/>
    <col min="10242" max="10242" width="2.7109375" style="1" customWidth="1"/>
    <col min="10243" max="10243" width="176.7109375" style="1" customWidth="1"/>
    <col min="10244" max="10244" width="11.42578125" style="1"/>
    <col min="10245" max="10245" width="176.7109375" style="1" customWidth="1"/>
    <col min="10246" max="10246" width="11.42578125" style="1"/>
    <col min="10247" max="10247" width="88.7109375" style="1" customWidth="1"/>
    <col min="10248" max="10497" width="11.42578125" style="1"/>
    <col min="10498" max="10498" width="2.7109375" style="1" customWidth="1"/>
    <col min="10499" max="10499" width="176.7109375" style="1" customWidth="1"/>
    <col min="10500" max="10500" width="11.42578125" style="1"/>
    <col min="10501" max="10501" width="176.7109375" style="1" customWidth="1"/>
    <col min="10502" max="10502" width="11.42578125" style="1"/>
    <col min="10503" max="10503" width="88.7109375" style="1" customWidth="1"/>
    <col min="10504" max="10753" width="11.42578125" style="1"/>
    <col min="10754" max="10754" width="2.7109375" style="1" customWidth="1"/>
    <col min="10755" max="10755" width="176.7109375" style="1" customWidth="1"/>
    <col min="10756" max="10756" width="11.42578125" style="1"/>
    <col min="10757" max="10757" width="176.7109375" style="1" customWidth="1"/>
    <col min="10758" max="10758" width="11.42578125" style="1"/>
    <col min="10759" max="10759" width="88.7109375" style="1" customWidth="1"/>
    <col min="10760" max="11009" width="11.42578125" style="1"/>
    <col min="11010" max="11010" width="2.7109375" style="1" customWidth="1"/>
    <col min="11011" max="11011" width="176.7109375" style="1" customWidth="1"/>
    <col min="11012" max="11012" width="11.42578125" style="1"/>
    <col min="11013" max="11013" width="176.7109375" style="1" customWidth="1"/>
    <col min="11014" max="11014" width="11.42578125" style="1"/>
    <col min="11015" max="11015" width="88.7109375" style="1" customWidth="1"/>
    <col min="11016" max="11265" width="11.42578125" style="1"/>
    <col min="11266" max="11266" width="2.7109375" style="1" customWidth="1"/>
    <col min="11267" max="11267" width="176.7109375" style="1" customWidth="1"/>
    <col min="11268" max="11268" width="11.42578125" style="1"/>
    <col min="11269" max="11269" width="176.7109375" style="1" customWidth="1"/>
    <col min="11270" max="11270" width="11.42578125" style="1"/>
    <col min="11271" max="11271" width="88.7109375" style="1" customWidth="1"/>
    <col min="11272" max="11521" width="11.42578125" style="1"/>
    <col min="11522" max="11522" width="2.7109375" style="1" customWidth="1"/>
    <col min="11523" max="11523" width="176.7109375" style="1" customWidth="1"/>
    <col min="11524" max="11524" width="11.42578125" style="1"/>
    <col min="11525" max="11525" width="176.7109375" style="1" customWidth="1"/>
    <col min="11526" max="11526" width="11.42578125" style="1"/>
    <col min="11527" max="11527" width="88.7109375" style="1" customWidth="1"/>
    <col min="11528" max="11777" width="11.42578125" style="1"/>
    <col min="11778" max="11778" width="2.7109375" style="1" customWidth="1"/>
    <col min="11779" max="11779" width="176.7109375" style="1" customWidth="1"/>
    <col min="11780" max="11780" width="11.42578125" style="1"/>
    <col min="11781" max="11781" width="176.7109375" style="1" customWidth="1"/>
    <col min="11782" max="11782" width="11.42578125" style="1"/>
    <col min="11783" max="11783" width="88.7109375" style="1" customWidth="1"/>
    <col min="11784" max="12033" width="11.42578125" style="1"/>
    <col min="12034" max="12034" width="2.7109375" style="1" customWidth="1"/>
    <col min="12035" max="12035" width="176.7109375" style="1" customWidth="1"/>
    <col min="12036" max="12036" width="11.42578125" style="1"/>
    <col min="12037" max="12037" width="176.7109375" style="1" customWidth="1"/>
    <col min="12038" max="12038" width="11.42578125" style="1"/>
    <col min="12039" max="12039" width="88.7109375" style="1" customWidth="1"/>
    <col min="12040" max="12289" width="11.42578125" style="1"/>
    <col min="12290" max="12290" width="2.7109375" style="1" customWidth="1"/>
    <col min="12291" max="12291" width="176.7109375" style="1" customWidth="1"/>
    <col min="12292" max="12292" width="11.42578125" style="1"/>
    <col min="12293" max="12293" width="176.7109375" style="1" customWidth="1"/>
    <col min="12294" max="12294" width="11.42578125" style="1"/>
    <col min="12295" max="12295" width="88.7109375" style="1" customWidth="1"/>
    <col min="12296" max="12545" width="11.42578125" style="1"/>
    <col min="12546" max="12546" width="2.7109375" style="1" customWidth="1"/>
    <col min="12547" max="12547" width="176.7109375" style="1" customWidth="1"/>
    <col min="12548" max="12548" width="11.42578125" style="1"/>
    <col min="12549" max="12549" width="176.7109375" style="1" customWidth="1"/>
    <col min="12550" max="12550" width="11.42578125" style="1"/>
    <col min="12551" max="12551" width="88.7109375" style="1" customWidth="1"/>
    <col min="12552" max="12801" width="11.42578125" style="1"/>
    <col min="12802" max="12802" width="2.7109375" style="1" customWidth="1"/>
    <col min="12803" max="12803" width="176.7109375" style="1" customWidth="1"/>
    <col min="12804" max="12804" width="11.42578125" style="1"/>
    <col min="12805" max="12805" width="176.7109375" style="1" customWidth="1"/>
    <col min="12806" max="12806" width="11.42578125" style="1"/>
    <col min="12807" max="12807" width="88.7109375" style="1" customWidth="1"/>
    <col min="12808" max="13057" width="11.42578125" style="1"/>
    <col min="13058" max="13058" width="2.7109375" style="1" customWidth="1"/>
    <col min="13059" max="13059" width="176.7109375" style="1" customWidth="1"/>
    <col min="13060" max="13060" width="11.42578125" style="1"/>
    <col min="13061" max="13061" width="176.7109375" style="1" customWidth="1"/>
    <col min="13062" max="13062" width="11.42578125" style="1"/>
    <col min="13063" max="13063" width="88.7109375" style="1" customWidth="1"/>
    <col min="13064" max="13313" width="11.42578125" style="1"/>
    <col min="13314" max="13314" width="2.7109375" style="1" customWidth="1"/>
    <col min="13315" max="13315" width="176.7109375" style="1" customWidth="1"/>
    <col min="13316" max="13316" width="11.42578125" style="1"/>
    <col min="13317" max="13317" width="176.7109375" style="1" customWidth="1"/>
    <col min="13318" max="13318" width="11.42578125" style="1"/>
    <col min="13319" max="13319" width="88.7109375" style="1" customWidth="1"/>
    <col min="13320" max="13569" width="11.42578125" style="1"/>
    <col min="13570" max="13570" width="2.7109375" style="1" customWidth="1"/>
    <col min="13571" max="13571" width="176.7109375" style="1" customWidth="1"/>
    <col min="13572" max="13572" width="11.42578125" style="1"/>
    <col min="13573" max="13573" width="176.7109375" style="1" customWidth="1"/>
    <col min="13574" max="13574" width="11.42578125" style="1"/>
    <col min="13575" max="13575" width="88.7109375" style="1" customWidth="1"/>
    <col min="13576" max="13825" width="11.42578125" style="1"/>
    <col min="13826" max="13826" width="2.7109375" style="1" customWidth="1"/>
    <col min="13827" max="13827" width="176.7109375" style="1" customWidth="1"/>
    <col min="13828" max="13828" width="11.42578125" style="1"/>
    <col min="13829" max="13829" width="176.7109375" style="1" customWidth="1"/>
    <col min="13830" max="13830" width="11.42578125" style="1"/>
    <col min="13831" max="13831" width="88.7109375" style="1" customWidth="1"/>
    <col min="13832" max="14081" width="11.42578125" style="1"/>
    <col min="14082" max="14082" width="2.7109375" style="1" customWidth="1"/>
    <col min="14083" max="14083" width="176.7109375" style="1" customWidth="1"/>
    <col min="14084" max="14084" width="11.42578125" style="1"/>
    <col min="14085" max="14085" width="176.7109375" style="1" customWidth="1"/>
    <col min="14086" max="14086" width="11.42578125" style="1"/>
    <col min="14087" max="14087" width="88.7109375" style="1" customWidth="1"/>
    <col min="14088" max="14337" width="11.42578125" style="1"/>
    <col min="14338" max="14338" width="2.7109375" style="1" customWidth="1"/>
    <col min="14339" max="14339" width="176.7109375" style="1" customWidth="1"/>
    <col min="14340" max="14340" width="11.42578125" style="1"/>
    <col min="14341" max="14341" width="176.7109375" style="1" customWidth="1"/>
    <col min="14342" max="14342" width="11.42578125" style="1"/>
    <col min="14343" max="14343" width="88.7109375" style="1" customWidth="1"/>
    <col min="14344" max="14593" width="11.42578125" style="1"/>
    <col min="14594" max="14594" width="2.7109375" style="1" customWidth="1"/>
    <col min="14595" max="14595" width="176.7109375" style="1" customWidth="1"/>
    <col min="14596" max="14596" width="11.42578125" style="1"/>
    <col min="14597" max="14597" width="176.7109375" style="1" customWidth="1"/>
    <col min="14598" max="14598" width="11.42578125" style="1"/>
    <col min="14599" max="14599" width="88.7109375" style="1" customWidth="1"/>
    <col min="14600" max="14849" width="11.42578125" style="1"/>
    <col min="14850" max="14850" width="2.7109375" style="1" customWidth="1"/>
    <col min="14851" max="14851" width="176.7109375" style="1" customWidth="1"/>
    <col min="14852" max="14852" width="11.42578125" style="1"/>
    <col min="14853" max="14853" width="176.7109375" style="1" customWidth="1"/>
    <col min="14854" max="14854" width="11.42578125" style="1"/>
    <col min="14855" max="14855" width="88.7109375" style="1" customWidth="1"/>
    <col min="14856" max="15105" width="11.42578125" style="1"/>
    <col min="15106" max="15106" width="2.7109375" style="1" customWidth="1"/>
    <col min="15107" max="15107" width="176.7109375" style="1" customWidth="1"/>
    <col min="15108" max="15108" width="11.42578125" style="1"/>
    <col min="15109" max="15109" width="176.7109375" style="1" customWidth="1"/>
    <col min="15110" max="15110" width="11.42578125" style="1"/>
    <col min="15111" max="15111" width="88.7109375" style="1" customWidth="1"/>
    <col min="15112" max="15361" width="11.42578125" style="1"/>
    <col min="15362" max="15362" width="2.7109375" style="1" customWidth="1"/>
    <col min="15363" max="15363" width="176.7109375" style="1" customWidth="1"/>
    <col min="15364" max="15364" width="11.42578125" style="1"/>
    <col min="15365" max="15365" width="176.7109375" style="1" customWidth="1"/>
    <col min="15366" max="15366" width="11.42578125" style="1"/>
    <col min="15367" max="15367" width="88.7109375" style="1" customWidth="1"/>
    <col min="15368" max="15617" width="11.42578125" style="1"/>
    <col min="15618" max="15618" width="2.7109375" style="1" customWidth="1"/>
    <col min="15619" max="15619" width="176.7109375" style="1" customWidth="1"/>
    <col min="15620" max="15620" width="11.42578125" style="1"/>
    <col min="15621" max="15621" width="176.7109375" style="1" customWidth="1"/>
    <col min="15622" max="15622" width="11.42578125" style="1"/>
    <col min="15623" max="15623" width="88.7109375" style="1" customWidth="1"/>
    <col min="15624" max="15873" width="11.42578125" style="1"/>
    <col min="15874" max="15874" width="2.7109375" style="1" customWidth="1"/>
    <col min="15875" max="15875" width="176.7109375" style="1" customWidth="1"/>
    <col min="15876" max="15876" width="11.42578125" style="1"/>
    <col min="15877" max="15877" width="176.7109375" style="1" customWidth="1"/>
    <col min="15878" max="15878" width="11.42578125" style="1"/>
    <col min="15879" max="15879" width="88.7109375" style="1" customWidth="1"/>
    <col min="15880" max="16129" width="11.42578125" style="1"/>
    <col min="16130" max="16130" width="2.7109375" style="1" customWidth="1"/>
    <col min="16131" max="16131" width="176.7109375" style="1" customWidth="1"/>
    <col min="16132" max="16132" width="11.42578125" style="1"/>
    <col min="16133" max="16133" width="176.7109375" style="1" customWidth="1"/>
    <col min="16134" max="16134" width="11.42578125" style="1"/>
    <col min="16135" max="16135" width="88.7109375" style="1" customWidth="1"/>
    <col min="16136" max="16384" width="11.42578125" style="1"/>
  </cols>
  <sheetData>
    <row r="2" spans="1:17" x14ac:dyDescent="0.2">
      <c r="C2" s="306"/>
      <c r="D2" s="306"/>
      <c r="E2" s="306"/>
    </row>
    <row r="3" spans="1:17" x14ac:dyDescent="0.2">
      <c r="A3" s="43" t="s">
        <v>51</v>
      </c>
    </row>
    <row r="4" spans="1:17" x14ac:dyDescent="0.2">
      <c r="C4" s="306"/>
      <c r="D4" s="306"/>
      <c r="E4" s="306"/>
      <c r="F4" s="306"/>
      <c r="G4" s="306"/>
      <c r="H4" s="306"/>
      <c r="I4" s="306"/>
      <c r="J4" s="306"/>
      <c r="K4" s="306"/>
    </row>
    <row r="6" spans="1:17" ht="15.75" x14ac:dyDescent="0.25">
      <c r="C6" s="313" t="s">
        <v>16</v>
      </c>
      <c r="D6" s="3"/>
      <c r="E6" s="313"/>
    </row>
    <row r="7" spans="1:17" ht="18.75" customHeight="1" x14ac:dyDescent="0.2">
      <c r="C7" s="3"/>
      <c r="D7" s="3"/>
      <c r="E7" s="50"/>
    </row>
    <row r="8" spans="1:17" ht="15.75" x14ac:dyDescent="0.25">
      <c r="B8" s="307">
        <v>1</v>
      </c>
      <c r="C8" s="308" t="s">
        <v>327</v>
      </c>
      <c r="E8" s="317"/>
    </row>
    <row r="9" spans="1:17" ht="31.5" x14ac:dyDescent="0.2">
      <c r="B9" s="307">
        <v>2</v>
      </c>
      <c r="C9" s="310" t="s">
        <v>253</v>
      </c>
      <c r="E9" s="8"/>
      <c r="Q9" s="3"/>
    </row>
    <row r="10" spans="1:17" ht="47.25" x14ac:dyDescent="0.2">
      <c r="B10" s="307">
        <v>3</v>
      </c>
      <c r="C10" s="308" t="s">
        <v>254</v>
      </c>
      <c r="E10" s="8"/>
    </row>
    <row r="11" spans="1:17" ht="47.25" x14ac:dyDescent="0.2">
      <c r="B11" s="307">
        <v>4</v>
      </c>
      <c r="C11" s="310" t="s">
        <v>255</v>
      </c>
      <c r="E11" s="8"/>
    </row>
    <row r="12" spans="1:17" ht="31.5" x14ac:dyDescent="0.2">
      <c r="B12" s="307">
        <v>5</v>
      </c>
      <c r="C12" s="308" t="s">
        <v>21</v>
      </c>
      <c r="E12" s="3"/>
    </row>
    <row r="13" spans="1:17" ht="15.75" x14ac:dyDescent="0.2">
      <c r="B13" s="307">
        <v>6</v>
      </c>
      <c r="C13" s="308" t="s">
        <v>328</v>
      </c>
      <c r="E13" s="3"/>
    </row>
    <row r="14" spans="1:17" ht="15.75" x14ac:dyDescent="0.2">
      <c r="B14" s="307">
        <v>7</v>
      </c>
      <c r="C14" s="308" t="s">
        <v>17</v>
      </c>
    </row>
    <row r="15" spans="1:17" ht="18.75" customHeight="1" x14ac:dyDescent="0.2">
      <c r="B15" s="307">
        <v>8</v>
      </c>
      <c r="C15" s="308" t="s">
        <v>18</v>
      </c>
    </row>
    <row r="16" spans="1:17" ht="18.75" customHeight="1" x14ac:dyDescent="0.2">
      <c r="B16" s="307">
        <v>9</v>
      </c>
      <c r="C16" s="308" t="s">
        <v>22</v>
      </c>
    </row>
    <row r="17" spans="2:9" ht="63" x14ac:dyDescent="0.25">
      <c r="B17" s="307">
        <v>10</v>
      </c>
      <c r="C17" s="308" t="s">
        <v>337</v>
      </c>
      <c r="E17" s="313"/>
    </row>
    <row r="18" spans="2:9" ht="15.75" x14ac:dyDescent="0.2">
      <c r="B18" s="307">
        <v>11</v>
      </c>
      <c r="C18" s="308" t="s">
        <v>19</v>
      </c>
      <c r="E18" s="8"/>
    </row>
    <row r="19" spans="2:9" ht="15.75" x14ac:dyDescent="0.2">
      <c r="B19" s="307">
        <v>12</v>
      </c>
      <c r="C19" s="308" t="s">
        <v>257</v>
      </c>
      <c r="E19" s="8"/>
    </row>
    <row r="20" spans="2:9" ht="15.75" x14ac:dyDescent="0.2">
      <c r="B20" s="307">
        <v>13</v>
      </c>
      <c r="C20" s="308" t="s">
        <v>20</v>
      </c>
      <c r="E20" s="3"/>
    </row>
    <row r="21" spans="2:9" ht="47.25" x14ac:dyDescent="0.2">
      <c r="B21" s="307">
        <v>14</v>
      </c>
      <c r="C21" s="308" t="s">
        <v>258</v>
      </c>
      <c r="E21" s="318"/>
    </row>
    <row r="22" spans="2:9" ht="31.5" x14ac:dyDescent="0.2">
      <c r="B22" s="307">
        <v>15</v>
      </c>
      <c r="C22" s="310" t="s">
        <v>316</v>
      </c>
      <c r="E22" s="3"/>
    </row>
    <row r="23" spans="2:9" ht="15.75" x14ac:dyDescent="0.25">
      <c r="B23" s="307">
        <v>16</v>
      </c>
      <c r="C23" s="312" t="s">
        <v>256</v>
      </c>
      <c r="D23" s="311"/>
      <c r="E23" s="306"/>
      <c r="F23" s="311"/>
      <c r="G23" s="2"/>
      <c r="H23" s="2"/>
      <c r="I23" s="2"/>
    </row>
    <row r="24" spans="2:9" ht="18.75" customHeight="1" x14ac:dyDescent="0.25">
      <c r="B24" s="309">
        <v>17</v>
      </c>
      <c r="C24" s="312" t="s">
        <v>259</v>
      </c>
    </row>
    <row r="25" spans="2:9" ht="18.75" customHeight="1" x14ac:dyDescent="0.25">
      <c r="B25" s="673">
        <v>18</v>
      </c>
      <c r="C25" s="674" t="s">
        <v>417</v>
      </c>
    </row>
    <row r="26" spans="2:9" ht="18.75" customHeight="1" x14ac:dyDescent="0.25">
      <c r="B26" s="309"/>
      <c r="C26" s="330"/>
    </row>
    <row r="27" spans="2:9" ht="18.75" customHeight="1" x14ac:dyDescent="0.2">
      <c r="C27" s="315"/>
    </row>
    <row r="28" spans="2:9" ht="18.75" customHeight="1" x14ac:dyDescent="0.2">
      <c r="C28" s="315"/>
    </row>
    <row r="29" spans="2:9" ht="18.75" customHeight="1" x14ac:dyDescent="0.2">
      <c r="C29" s="315"/>
    </row>
    <row r="31" spans="2:9" ht="18.75" customHeight="1" x14ac:dyDescent="0.2"/>
    <row r="32" spans="2:9" ht="18.75" customHeight="1" x14ac:dyDescent="0.2"/>
    <row r="33" spans="1:14" ht="18.75" customHeight="1" x14ac:dyDescent="0.2"/>
    <row r="34" spans="1:14" ht="18.75" customHeight="1" x14ac:dyDescent="0.2"/>
    <row r="35" spans="1:14" ht="18.75" customHeight="1" x14ac:dyDescent="0.2"/>
    <row r="36" spans="1:14" ht="18.75" customHeight="1" x14ac:dyDescent="0.2"/>
    <row r="37" spans="1:14" ht="18.75" customHeight="1" x14ac:dyDescent="0.2">
      <c r="D37" s="3"/>
      <c r="E37" s="3"/>
      <c r="F37" s="3"/>
      <c r="G37" s="3"/>
      <c r="H37" s="3"/>
      <c r="I37" s="3"/>
      <c r="J37" s="3"/>
      <c r="K37" s="3"/>
      <c r="L37" s="3"/>
      <c r="M37" s="3"/>
      <c r="N37" s="3"/>
    </row>
    <row r="38" spans="1:14" ht="18.75" customHeight="1" x14ac:dyDescent="0.2">
      <c r="D38" s="3"/>
      <c r="E38" s="3"/>
      <c r="F38" s="3"/>
      <c r="G38" s="3"/>
      <c r="H38" s="3"/>
      <c r="I38" s="3"/>
      <c r="J38" s="3"/>
      <c r="K38" s="3"/>
      <c r="L38" s="3"/>
      <c r="M38" s="3"/>
      <c r="N38" s="3"/>
    </row>
    <row r="39" spans="1:14" ht="18.75" customHeight="1" x14ac:dyDescent="0.2">
      <c r="A39" s="4"/>
      <c r="D39" s="3"/>
      <c r="E39" s="3"/>
      <c r="F39" s="3"/>
      <c r="G39" s="3"/>
      <c r="H39" s="3"/>
      <c r="I39" s="3"/>
      <c r="J39" s="3"/>
      <c r="K39" s="3"/>
      <c r="L39" s="3"/>
      <c r="M39" s="3"/>
      <c r="N39" s="3"/>
    </row>
    <row r="40" spans="1:14" ht="18.75" customHeight="1" x14ac:dyDescent="0.2">
      <c r="A40" s="4"/>
      <c r="B40" s="8"/>
      <c r="D40" s="3"/>
      <c r="E40" s="3"/>
      <c r="F40" s="3"/>
      <c r="G40" s="3"/>
      <c r="H40" s="3"/>
      <c r="I40" s="3"/>
      <c r="J40" s="3"/>
      <c r="K40" s="3"/>
      <c r="L40" s="3"/>
      <c r="M40" s="3"/>
      <c r="N40" s="3"/>
    </row>
    <row r="41" spans="1:14" ht="18.75" customHeight="1" x14ac:dyDescent="0.2">
      <c r="A41" s="4"/>
      <c r="B41" s="8"/>
      <c r="D41" s="3"/>
      <c r="E41" s="3"/>
      <c r="F41" s="3"/>
      <c r="G41" s="3"/>
      <c r="H41" s="3"/>
      <c r="I41" s="3"/>
      <c r="J41" s="3"/>
      <c r="K41" s="3"/>
      <c r="L41" s="3"/>
      <c r="M41" s="3"/>
      <c r="N41" s="3"/>
    </row>
    <row r="42" spans="1:14" ht="18.75" customHeight="1" x14ac:dyDescent="0.2">
      <c r="A42" s="4"/>
      <c r="B42" s="8"/>
      <c r="C42" s="4"/>
      <c r="D42" s="3"/>
      <c r="E42" s="3"/>
      <c r="F42" s="3"/>
      <c r="G42" s="3"/>
      <c r="H42" s="3"/>
      <c r="I42" s="3"/>
      <c r="J42" s="3"/>
      <c r="K42" s="3"/>
      <c r="L42" s="3"/>
      <c r="M42" s="3"/>
      <c r="N42" s="3"/>
    </row>
    <row r="43" spans="1:14" ht="18.75" customHeight="1" x14ac:dyDescent="0.2">
      <c r="A43" s="4"/>
      <c r="B43" s="316"/>
      <c r="D43" s="3"/>
      <c r="E43" s="3"/>
      <c r="F43" s="3"/>
      <c r="G43" s="3"/>
      <c r="H43" s="3"/>
      <c r="I43" s="3"/>
      <c r="J43" s="3"/>
      <c r="K43" s="3"/>
      <c r="L43" s="3"/>
      <c r="M43" s="3"/>
      <c r="N43" s="3"/>
    </row>
    <row r="44" spans="1:14" ht="18.75" customHeight="1" x14ac:dyDescent="0.2">
      <c r="B44" s="8"/>
      <c r="D44" s="3"/>
      <c r="E44" s="3"/>
      <c r="F44" s="3"/>
      <c r="G44" s="3"/>
      <c r="H44" s="3"/>
      <c r="I44" s="3"/>
      <c r="J44" s="3"/>
      <c r="K44" s="3"/>
      <c r="L44" s="3"/>
      <c r="M44" s="3"/>
      <c r="N44" s="3"/>
    </row>
    <row r="45" spans="1:14" ht="18.75" customHeight="1" x14ac:dyDescent="0.2">
      <c r="B45" s="8"/>
      <c r="D45" s="3"/>
      <c r="E45" s="3"/>
      <c r="F45" s="3"/>
      <c r="G45" s="3"/>
      <c r="H45" s="3"/>
      <c r="I45" s="3"/>
      <c r="J45" s="3"/>
      <c r="K45" s="3"/>
      <c r="L45" s="3"/>
      <c r="M45" s="3"/>
      <c r="N45" s="3"/>
    </row>
    <row r="46" spans="1:14" ht="18.75" customHeight="1" x14ac:dyDescent="0.2">
      <c r="D46" s="3"/>
      <c r="E46" s="3"/>
      <c r="F46" s="3"/>
      <c r="G46" s="3"/>
      <c r="H46" s="3"/>
      <c r="I46" s="3"/>
      <c r="J46" s="3"/>
      <c r="K46" s="3"/>
      <c r="L46" s="3"/>
      <c r="M46" s="3"/>
      <c r="N46" s="3"/>
    </row>
    <row r="47" spans="1:14" ht="18.75" customHeight="1" x14ac:dyDescent="0.2">
      <c r="D47" s="3"/>
      <c r="E47" s="3"/>
      <c r="F47" s="3"/>
      <c r="G47" s="3"/>
      <c r="H47" s="3"/>
      <c r="I47" s="3"/>
      <c r="J47" s="3"/>
      <c r="K47" s="3"/>
      <c r="L47" s="3"/>
      <c r="M47" s="3"/>
      <c r="N47" s="3"/>
    </row>
    <row r="48" spans="1:14" ht="18.75" customHeight="1" x14ac:dyDescent="0.2">
      <c r="D48" s="3"/>
      <c r="E48" s="3"/>
      <c r="F48" s="3"/>
      <c r="G48" s="3"/>
      <c r="H48" s="3"/>
      <c r="I48" s="3"/>
      <c r="J48" s="3"/>
      <c r="K48" s="3"/>
      <c r="L48" s="3"/>
      <c r="M48" s="3"/>
      <c r="N48" s="3"/>
    </row>
    <row r="49" spans="4:14" ht="18.75" customHeight="1" x14ac:dyDescent="0.2">
      <c r="D49" s="3"/>
      <c r="E49" s="3"/>
      <c r="F49" s="3"/>
      <c r="G49" s="3"/>
      <c r="H49" s="3"/>
      <c r="I49" s="3"/>
      <c r="J49" s="3"/>
      <c r="K49" s="3"/>
      <c r="L49" s="3"/>
      <c r="M49" s="3"/>
      <c r="N49" s="3"/>
    </row>
    <row r="50" spans="4:14" ht="18.75" customHeight="1" x14ac:dyDescent="0.2">
      <c r="D50" s="306"/>
      <c r="E50" s="306"/>
      <c r="F50" s="306"/>
      <c r="G50" s="306"/>
      <c r="H50" s="306"/>
      <c r="I50" s="306"/>
      <c r="J50" s="306"/>
      <c r="K50" s="306"/>
      <c r="L50" s="306"/>
      <c r="M50" s="306"/>
      <c r="N50" s="306"/>
    </row>
    <row r="51" spans="4:14" ht="18.75" customHeight="1" x14ac:dyDescent="0.2"/>
    <row r="52" spans="4:14" ht="18.75" customHeight="1" x14ac:dyDescent="0.2"/>
    <row r="53" spans="4:14" ht="18.75" customHeight="1" x14ac:dyDescent="0.2"/>
    <row r="54" spans="4:14" ht="18.75" customHeight="1" x14ac:dyDescent="0.2"/>
    <row r="55" spans="4:14" ht="18.75" customHeight="1" x14ac:dyDescent="0.2"/>
    <row r="56" spans="4:14" ht="18.75" customHeight="1" x14ac:dyDescent="0.2"/>
    <row r="57" spans="4:14" ht="18.75" customHeight="1" x14ac:dyDescent="0.2"/>
    <row r="58" spans="4:14" ht="18.75" customHeight="1" x14ac:dyDescent="0.2"/>
    <row r="59" spans="4:14" ht="18.75" customHeight="1" x14ac:dyDescent="0.2"/>
    <row r="60" spans="4:14" ht="18.75" customHeight="1" x14ac:dyDescent="0.2"/>
    <row r="61" spans="4:14" ht="18.75" customHeight="1" x14ac:dyDescent="0.2"/>
    <row r="62" spans="4:14" ht="18.75" customHeight="1" x14ac:dyDescent="0.2"/>
    <row r="63" spans="4:14" ht="18.75" customHeight="1" x14ac:dyDescent="0.2"/>
    <row r="64" spans="4:14" ht="18.75" customHeight="1" x14ac:dyDescent="0.2"/>
    <row r="65" ht="18.75" customHeight="1" x14ac:dyDescent="0.2"/>
  </sheetData>
  <sortState xmlns:xlrd2="http://schemas.microsoft.com/office/spreadsheetml/2017/richdata2" ref="B5:E41">
    <sortCondition ref="B5:B41"/>
  </sortState>
  <pageMargins left="0.78740157480314965" right="0.78740157480314965" top="0.98425196850393704" bottom="0.98425196850393704" header="0.51181102362204722" footer="0.51181102362204722"/>
  <pageSetup paperSize="9" scale="65" fitToWidth="3" orientation="portrait" r:id="rId1"/>
  <headerFooter alignWithMargins="0"/>
  <colBreaks count="2" manualBreakCount="2">
    <brk id="1" max="42" man="1"/>
    <brk id="3" min="4" max="5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1:IA116"/>
  <sheetViews>
    <sheetView showGridLines="0" showZeros="0" zoomScale="70" zoomScaleNormal="70" workbookViewId="0">
      <pane xSplit="1" ySplit="7" topLeftCell="B32" activePane="bottomRight" state="frozen"/>
      <selection activeCell="L39" sqref="L39"/>
      <selection pane="topRight" activeCell="L39" sqref="L39"/>
      <selection pane="bottomLeft" activeCell="L39" sqref="L39"/>
      <selection pane="bottomRight" activeCell="A53" sqref="A53"/>
    </sheetView>
  </sheetViews>
  <sheetFormatPr baseColWidth="10" defaultColWidth="11.42578125" defaultRowHeight="12.75" x14ac:dyDescent="0.2"/>
  <cols>
    <col min="1" max="1" width="49" style="87" customWidth="1"/>
    <col min="2" max="3" width="15.7109375" style="87" customWidth="1"/>
    <col min="4" max="4" width="8.7109375" style="87" customWidth="1"/>
    <col min="5" max="5" width="9" style="87" bestFit="1" customWidth="1"/>
    <col min="6" max="6" width="4.7109375" style="87" customWidth="1"/>
    <col min="7" max="7" width="18.42578125" style="87" customWidth="1"/>
    <col min="8" max="8" width="17.7109375" style="87" customWidth="1"/>
    <col min="9" max="9" width="8.7109375" style="87" customWidth="1"/>
    <col min="10" max="10" width="9.140625" style="87" customWidth="1"/>
    <col min="11" max="11" width="13.42578125" style="87" customWidth="1"/>
    <col min="12" max="14" width="11.42578125" style="87" customWidth="1"/>
    <col min="15" max="16384" width="11.42578125" style="87"/>
  </cols>
  <sheetData>
    <row r="1" spans="1:12" ht="20.25" x14ac:dyDescent="0.3">
      <c r="A1" s="80" t="s">
        <v>76</v>
      </c>
      <c r="B1" s="73" t="s">
        <v>52</v>
      </c>
      <c r="C1" s="74"/>
      <c r="D1" s="74"/>
      <c r="E1" s="74"/>
      <c r="F1" s="74"/>
      <c r="G1" s="74"/>
      <c r="H1" s="74"/>
      <c r="I1" s="74"/>
      <c r="J1" s="74"/>
      <c r="K1" s="74"/>
    </row>
    <row r="2" spans="1:12" ht="20.25" x14ac:dyDescent="0.3">
      <c r="A2" s="80" t="s">
        <v>77</v>
      </c>
      <c r="B2" s="74"/>
      <c r="C2" s="74"/>
      <c r="D2" s="74"/>
      <c r="E2" s="74"/>
      <c r="F2" s="74"/>
      <c r="G2" s="74"/>
      <c r="H2" s="74"/>
      <c r="I2" s="74"/>
      <c r="J2" s="74"/>
      <c r="K2" s="74"/>
    </row>
    <row r="3" spans="1:12" ht="18.75" x14ac:dyDescent="0.3">
      <c r="A3" s="676" t="s">
        <v>78</v>
      </c>
      <c r="B3" s="676"/>
      <c r="C3" s="74"/>
      <c r="D3" s="74"/>
      <c r="E3" s="74"/>
      <c r="F3" s="74"/>
      <c r="G3" s="74"/>
      <c r="H3" s="74"/>
      <c r="I3" s="74"/>
      <c r="J3" s="74"/>
      <c r="K3" s="74"/>
    </row>
    <row r="4" spans="1:12" ht="18.75" x14ac:dyDescent="0.3">
      <c r="A4" s="82" t="s">
        <v>414</v>
      </c>
      <c r="B4" s="83"/>
      <c r="C4" s="84"/>
      <c r="D4" s="84"/>
      <c r="E4" s="85"/>
      <c r="F4" s="86"/>
      <c r="G4" s="83"/>
      <c r="H4" s="84"/>
      <c r="I4" s="84"/>
      <c r="J4" s="85"/>
      <c r="K4" s="112"/>
    </row>
    <row r="5" spans="1:12" ht="22.5" x14ac:dyDescent="0.3">
      <c r="A5" s="88"/>
      <c r="B5" s="677" t="s">
        <v>79</v>
      </c>
      <c r="C5" s="678"/>
      <c r="D5" s="678"/>
      <c r="E5" s="679"/>
      <c r="F5" s="90"/>
      <c r="G5" s="677" t="s">
        <v>371</v>
      </c>
      <c r="H5" s="678"/>
      <c r="I5" s="678"/>
      <c r="J5" s="679"/>
      <c r="K5" s="89"/>
    </row>
    <row r="6" spans="1:12" ht="18.75" x14ac:dyDescent="0.3">
      <c r="A6" s="91"/>
      <c r="B6" s="92"/>
      <c r="C6" s="93"/>
      <c r="D6" s="93" t="s">
        <v>80</v>
      </c>
      <c r="E6" s="94" t="s">
        <v>29</v>
      </c>
      <c r="F6" s="95"/>
      <c r="G6" s="92"/>
      <c r="H6" s="93"/>
      <c r="I6" s="93" t="s">
        <v>80</v>
      </c>
      <c r="J6" s="94" t="s">
        <v>29</v>
      </c>
      <c r="K6" s="100"/>
      <c r="L6" s="664"/>
    </row>
    <row r="7" spans="1:12" ht="15.75" x14ac:dyDescent="0.25">
      <c r="A7" s="96" t="s">
        <v>81</v>
      </c>
      <c r="B7" s="97">
        <v>2020</v>
      </c>
      <c r="C7" s="97">
        <v>2021</v>
      </c>
      <c r="D7" s="98" t="s">
        <v>82</v>
      </c>
      <c r="E7" s="99" t="s">
        <v>30</v>
      </c>
      <c r="F7" s="95"/>
      <c r="G7" s="97">
        <v>2020</v>
      </c>
      <c r="H7" s="97">
        <v>2021</v>
      </c>
      <c r="I7" s="98" t="s">
        <v>82</v>
      </c>
      <c r="J7" s="99" t="s">
        <v>30</v>
      </c>
      <c r="K7" s="100"/>
    </row>
    <row r="8" spans="1:12" ht="18.75" x14ac:dyDescent="0.3">
      <c r="A8" s="101" t="s">
        <v>0</v>
      </c>
      <c r="B8" s="129"/>
      <c r="C8" s="103"/>
      <c r="D8" s="104"/>
      <c r="E8" s="383"/>
      <c r="F8" s="176"/>
      <c r="G8" s="129"/>
      <c r="H8" s="129"/>
      <c r="I8" s="103"/>
      <c r="J8" s="383"/>
      <c r="K8" s="139"/>
    </row>
    <row r="9" spans="1:12" ht="18.75" x14ac:dyDescent="0.3">
      <c r="A9" s="190" t="s">
        <v>396</v>
      </c>
      <c r="B9" s="176">
        <f>'Codan Forsikring'!B7+'Codan Forsikring'!B22+'Codan Forsikring'!B36+'Codan Forsikring'!B47+'Codan Forsikring'!B66+'Codan Forsikring'!B135</f>
        <v>0</v>
      </c>
      <c r="C9" s="177">
        <f>'Codan Forsikring'!C7+'Codan Forsikring'!C22+'Codan Forsikring'!C36+'Codan Forsikring'!C47+'Codan Forsikring'!C66+'Codan Forsikring'!C135</f>
        <v>47791</v>
      </c>
      <c r="D9" s="104" t="str">
        <f>IF(B9=0, "    ---- ", IF(ABS(ROUND(100/B9*C9-100,1))&lt;999,ROUND(100/B9*C9-100,1),IF(ROUND(100/B9*C9-100,1)&gt;999,999,-999)))</f>
        <v xml:space="preserve">    ---- </v>
      </c>
      <c r="E9" s="383">
        <f>100/C$34*C9</f>
        <v>0.28806408935470168</v>
      </c>
      <c r="F9" s="103"/>
      <c r="G9" s="176">
        <f>'Codan Forsikring'!B10+'Codan Forsikring'!B29+'Codan Forsikring'!B37+'Codan Forsikring'!B87+'Codan Forsikring'!B136</f>
        <v>0</v>
      </c>
      <c r="H9" s="176">
        <f>'Codan Forsikring'!C10+'Codan Forsikring'!C29+'Codan Forsikring'!C37+'Codan Forsikring'!C87+'Codan Forsikring'!C136</f>
        <v>0</v>
      </c>
      <c r="I9" s="104"/>
      <c r="J9" s="383">
        <f>100/H$34*H9</f>
        <v>0</v>
      </c>
      <c r="K9" s="139"/>
    </row>
    <row r="10" spans="1:12" ht="18.75" x14ac:dyDescent="0.3">
      <c r="A10" s="190" t="s">
        <v>83</v>
      </c>
      <c r="B10" s="176">
        <f>'Danica Pensjonsforsikring'!B7+'Danica Pensjonsforsikring'!B22+'Danica Pensjonsforsikring'!B36+'Danica Pensjonsforsikring'!B47+'Danica Pensjonsforsikring'!B66+'Danica Pensjonsforsikring'!B135</f>
        <v>109603.56300000001</v>
      </c>
      <c r="C10" s="177">
        <f>'Danica Pensjonsforsikring'!C7+'Danica Pensjonsforsikring'!C22+'Danica Pensjonsforsikring'!C36+'Danica Pensjonsforsikring'!C47+'Danica Pensjonsforsikring'!C66+'Danica Pensjonsforsikring'!C135</f>
        <v>105984.141</v>
      </c>
      <c r="D10" s="104">
        <f t="shared" ref="D10:D33" si="0">IF(B10=0, "    ---- ", IF(ABS(ROUND(100/B10*C10-100,1))&lt;999,ROUND(100/B10*C10-100,1),IF(ROUND(100/B10*C10-100,1)&gt;999,999,-999)))</f>
        <v>-3.3</v>
      </c>
      <c r="E10" s="383">
        <f t="shared" ref="E10:E32" si="1">100/C$34*C10</f>
        <v>0.63882791871283928</v>
      </c>
      <c r="F10" s="103"/>
      <c r="G10" s="176">
        <f>'Danica Pensjonsforsikring'!B10+'Danica Pensjonsforsikring'!B29+'Danica Pensjonsforsikring'!B37+'Danica Pensjonsforsikring'!B87+'Danica Pensjonsforsikring'!B136</f>
        <v>1183791.0419999999</v>
      </c>
      <c r="H10" s="176">
        <f>'Danica Pensjonsforsikring'!C10+'Danica Pensjonsforsikring'!C29+'Danica Pensjonsforsikring'!C37+'Danica Pensjonsforsikring'!C87+'Danica Pensjonsforsikring'!C136</f>
        <v>1351956.0279999999</v>
      </c>
      <c r="I10" s="104">
        <f t="shared" ref="I10:I30" si="2">IF(G10=0, "    ---- ", IF(ABS(ROUND(100/G10*H10-100,1))&lt;999,ROUND(100/G10*H10-100,1),IF(ROUND(100/G10*H10-100,1)&gt;999,999,-999)))</f>
        <v>14.2</v>
      </c>
      <c r="J10" s="383">
        <f>100/H$34*H10</f>
        <v>0.12361385881630498</v>
      </c>
      <c r="K10" s="204"/>
    </row>
    <row r="11" spans="1:12" ht="18.75" x14ac:dyDescent="0.3">
      <c r="A11" s="108" t="s">
        <v>392</v>
      </c>
      <c r="B11" s="176">
        <f>'DNB Bedriftspensjon'!B7+'DNB Bedriftspensjon'!B22+'DNB Bedriftspensjon'!B36+'DNB Bedriftspensjon'!B47+'DNB Bedriftspensjon'!B66+'DNB Bedriftspensjon'!B135</f>
        <v>24444</v>
      </c>
      <c r="C11" s="177">
        <f>'DNB Bedriftspensjon'!C7+'DNB Bedriftspensjon'!C22+'DNB Bedriftspensjon'!C36+'DNB Bedriftspensjon'!C47+'DNB Bedriftspensjon'!C66+'DNB Bedriftspensjon'!C135</f>
        <v>0</v>
      </c>
      <c r="D11" s="104">
        <f>IF(B11=0, "    ---- ", IF(ABS(ROUND(100/B11*C11-100,1))&lt;999,ROUND(100/B11*C11-100,1),IF(ROUND(100/B11*C11-100,1)&gt;999,999,-999)))</f>
        <v>-100</v>
      </c>
      <c r="E11" s="383">
        <f t="shared" si="1"/>
        <v>0</v>
      </c>
      <c r="F11" s="103"/>
      <c r="G11" s="176">
        <f>'DNB Bedriftspensjon'!B10+'DNB Bedriftspensjon'!B29+'DNB Bedriftspensjon'!B37+'DNB Bedriftspensjon'!B87+'DNB Bedriftspensjon'!B136</f>
        <v>1780872</v>
      </c>
      <c r="H11" s="176">
        <f>'DNB Bedriftspensjon'!C10+'DNB Bedriftspensjon'!C29+'DNB Bedriftspensjon'!C37+'DNB Bedriftspensjon'!C87+'DNB Bedriftspensjon'!C136</f>
        <v>0</v>
      </c>
      <c r="I11" s="104">
        <f t="shared" si="2"/>
        <v>-100</v>
      </c>
      <c r="J11" s="383">
        <f t="shared" ref="J11:J31" si="3">100/H$34*H11</f>
        <v>0</v>
      </c>
      <c r="K11" s="139"/>
    </row>
    <row r="12" spans="1:12" ht="18.75" x14ac:dyDescent="0.3">
      <c r="A12" s="190" t="s">
        <v>84</v>
      </c>
      <c r="B12" s="176">
        <f>'DNB Livsforsikring'!B7+'DNB Livsforsikring'!B22+'DNB Livsforsikring'!B36+'DNB Livsforsikring'!B47+'DNB Livsforsikring'!B66+'DNB Livsforsikring'!B135</f>
        <v>1392573.169</v>
      </c>
      <c r="C12" s="177">
        <f>'DNB Livsforsikring'!C7+'DNB Livsforsikring'!C22+'DNB Livsforsikring'!C36+'DNB Livsforsikring'!C47+'DNB Livsforsikring'!C66+'DNB Livsforsikring'!C135</f>
        <v>1343575.8687400001</v>
      </c>
      <c r="D12" s="104">
        <f t="shared" si="0"/>
        <v>-3.5</v>
      </c>
      <c r="E12" s="383">
        <f t="shared" si="1"/>
        <v>8.0985114165332455</v>
      </c>
      <c r="F12" s="103"/>
      <c r="G12" s="176">
        <f>'DNB Livsforsikring'!B10+'DNB Livsforsikring'!B29+'DNB Livsforsikring'!B37+'DNB Livsforsikring'!B87+'DNB Livsforsikring'!B136</f>
        <v>197164195.84099999</v>
      </c>
      <c r="H12" s="176">
        <f>'DNB Livsforsikring'!C10+'DNB Livsforsikring'!C29+'DNB Livsforsikring'!C37+'DNB Livsforsikring'!C87+'DNB Livsforsikring'!C136</f>
        <v>196590138.16999999</v>
      </c>
      <c r="I12" s="104">
        <f t="shared" si="2"/>
        <v>-0.3</v>
      </c>
      <c r="J12" s="383">
        <f t="shared" si="3"/>
        <v>17.974893473698295</v>
      </c>
      <c r="K12" s="205"/>
    </row>
    <row r="13" spans="1:12" ht="18.75" x14ac:dyDescent="0.3">
      <c r="A13" s="190" t="s">
        <v>85</v>
      </c>
      <c r="B13" s="176">
        <f>'Eika Forsikring AS'!B7+'Eika Forsikring AS'!B22+'Eika Forsikring AS'!B36+'Eika Forsikring AS'!B47+'Eika Forsikring AS'!B66+'Eika Forsikring AS'!B135</f>
        <v>79342</v>
      </c>
      <c r="C13" s="177">
        <f>'Eika Forsikring AS'!C7+'Eika Forsikring AS'!C22+'Eika Forsikring AS'!C36+'Eika Forsikring AS'!C47+'Eika Forsikring AS'!C66+'Eika Forsikring AS'!C135</f>
        <v>86830</v>
      </c>
      <c r="D13" s="104">
        <f t="shared" si="0"/>
        <v>9.4</v>
      </c>
      <c r="E13" s="383">
        <f t="shared" si="1"/>
        <v>0.5233747960634586</v>
      </c>
      <c r="F13" s="103"/>
      <c r="G13" s="176">
        <f>'Eika Forsikring AS'!B10+'Eika Forsikring AS'!B29+'Eika Forsikring AS'!B37+'Eika Forsikring AS'!B87+'Eika Forsikring AS'!B136</f>
        <v>0</v>
      </c>
      <c r="H13" s="176">
        <f>'Eika Forsikring AS'!C10+'Eika Forsikring AS'!C29+'Eika Forsikring AS'!C37+'Eika Forsikring AS'!C87+'Eika Forsikring AS'!C136</f>
        <v>0</v>
      </c>
      <c r="I13" s="104"/>
      <c r="J13" s="383">
        <f t="shared" si="3"/>
        <v>0</v>
      </c>
    </row>
    <row r="14" spans="1:12" ht="18.75" x14ac:dyDescent="0.3">
      <c r="A14" s="190" t="s">
        <v>397</v>
      </c>
      <c r="B14" s="176">
        <f>'Euro Accident'!B7+'Euro Accident'!B22+'Euro Accident'!B36+'Euro Accident'!B47+'Euro Accident'!B66+'Euro Accident'!B135</f>
        <v>0</v>
      </c>
      <c r="C14" s="177">
        <f>'Euro Accident'!C7+'Euro Accident'!C22+'Euro Accident'!C36+'Euro Accident'!C47+'Euro Accident'!C66+'Euro Accident'!C135</f>
        <v>8328</v>
      </c>
      <c r="D14" s="104" t="str">
        <f>IF(B14=0, "    ---- ", IF(ABS(ROUND(100/B14*C14-100,1))&lt;999,ROUND(100/B14*C14-100,1),IF(ROUND(100/B14*C14-100,1)&gt;999,999,-999)))</f>
        <v xml:space="preserve">    ---- </v>
      </c>
      <c r="E14" s="383">
        <f t="shared" si="1"/>
        <v>5.0197688605510569E-2</v>
      </c>
      <c r="F14" s="103"/>
      <c r="G14" s="176">
        <f>'Euro Accident'!B10+'Euro Accident'!B29+'Euro Accident'!B37+'Euro Accident'!B87+'Euro Accident'!B136</f>
        <v>0</v>
      </c>
      <c r="H14" s="176">
        <f>'Euro Accident'!C10+'Euro Accident'!C29+'Euro Accident'!C37+'Euro Accident'!C87+'Euro Accident'!C136</f>
        <v>0</v>
      </c>
      <c r="I14" s="104"/>
      <c r="J14" s="383">
        <f t="shared" si="3"/>
        <v>0</v>
      </c>
    </row>
    <row r="15" spans="1:12" ht="18.75" x14ac:dyDescent="0.3">
      <c r="A15" s="108" t="s">
        <v>378</v>
      </c>
      <c r="B15" s="176">
        <f>'Fremtind Livsforsikring'!B7+'Fremtind Livsforsikring'!B22+'Fremtind Livsforsikring'!B36+'Fremtind Livsforsikring'!B47+'Fremtind Livsforsikring'!B66+'Fremtind Livsforsikring'!B135</f>
        <v>825203.29516999994</v>
      </c>
      <c r="C15" s="177">
        <f>'Fremtind Livsforsikring'!C7+'Fremtind Livsforsikring'!C22+'Fremtind Livsforsikring'!C36+'Fremtind Livsforsikring'!C47+'Fremtind Livsforsikring'!C66+'Fremtind Livsforsikring'!C135</f>
        <v>846741.58648000006</v>
      </c>
      <c r="D15" s="104">
        <f t="shared" si="0"/>
        <v>2.6</v>
      </c>
      <c r="E15" s="383">
        <f t="shared" si="1"/>
        <v>5.1038028923461871</v>
      </c>
      <c r="F15" s="103"/>
      <c r="G15" s="176">
        <f>'Fremtind Livsforsikring'!B10+'Fremtind Livsforsikring'!B29+'Fremtind Livsforsikring'!B37+'Fremtind Livsforsikring'!B87+'Fremtind Livsforsikring'!B136</f>
        <v>3426723.5940800002</v>
      </c>
      <c r="H15" s="176">
        <f>'Fremtind Livsforsikring'!C10+'Fremtind Livsforsikring'!C29+'Fremtind Livsforsikring'!C37+'Fremtind Livsforsikring'!C87+'Fremtind Livsforsikring'!C136</f>
        <v>3914911.94576</v>
      </c>
      <c r="I15" s="104">
        <f t="shared" si="2"/>
        <v>14.2</v>
      </c>
      <c r="J15" s="383">
        <f t="shared" si="3"/>
        <v>0.35795348555629392</v>
      </c>
    </row>
    <row r="16" spans="1:12" ht="18.75" x14ac:dyDescent="0.3">
      <c r="A16" s="190" t="s">
        <v>86</v>
      </c>
      <c r="B16" s="177">
        <f>'Frende Livsforsikring'!B7+'Frende Livsforsikring'!B22+'Frende Livsforsikring'!B36+'Frende Livsforsikring'!B47+'Frende Livsforsikring'!B66+'Frende Livsforsikring'!B135</f>
        <v>508634</v>
      </c>
      <c r="C16" s="177">
        <f>'Frende Livsforsikring'!C7+'Frende Livsforsikring'!C22+'Frende Livsforsikring'!C36+'Frende Livsforsikring'!C47+'Frende Livsforsikring'!C66+'Frende Livsforsikring'!C135</f>
        <v>462024</v>
      </c>
      <c r="D16" s="104">
        <f t="shared" si="0"/>
        <v>-9.1999999999999993</v>
      </c>
      <c r="E16" s="383">
        <f t="shared" si="1"/>
        <v>2.784886753154709</v>
      </c>
      <c r="F16" s="103"/>
      <c r="G16" s="176">
        <f>'Frende Livsforsikring'!B10+'Frende Livsforsikring'!B29+'Frende Livsforsikring'!B37+'Frende Livsforsikring'!B87+'Frende Livsforsikring'!B136</f>
        <v>1243833</v>
      </c>
      <c r="H16" s="176">
        <f>'Frende Livsforsikring'!C10+'Frende Livsforsikring'!C29+'Frende Livsforsikring'!C37+'Frende Livsforsikring'!C87+'Frende Livsforsikring'!C136</f>
        <v>1220716</v>
      </c>
      <c r="I16" s="104">
        <f t="shared" si="2"/>
        <v>-1.9</v>
      </c>
      <c r="J16" s="383">
        <f t="shared" si="3"/>
        <v>0.11161414436091745</v>
      </c>
    </row>
    <row r="17" spans="1:13" ht="18.75" x14ac:dyDescent="0.3">
      <c r="A17" s="190" t="s">
        <v>87</v>
      </c>
      <c r="B17" s="176">
        <f>'Frende Skadeforsikring'!B7+'Frende Skadeforsikring'!B22+'Frende Skadeforsikring'!B36+'Frende Skadeforsikring'!B47+'Frende Skadeforsikring'!B66+'Frende Skadeforsikring'!B135</f>
        <v>838</v>
      </c>
      <c r="C17" s="177">
        <f>'Frende Skadeforsikring'!C7+'Frende Skadeforsikring'!C22+'Frende Skadeforsikring'!C36+'Frende Skadeforsikring'!C47+'Frende Skadeforsikring'!C66+'Frende Skadeforsikring'!C135</f>
        <v>5032.16</v>
      </c>
      <c r="D17" s="104">
        <f t="shared" si="0"/>
        <v>500.5</v>
      </c>
      <c r="E17" s="383">
        <f t="shared" si="1"/>
        <v>3.0331748402150104E-2</v>
      </c>
      <c r="F17" s="103"/>
      <c r="G17" s="176">
        <f>'Frende Skadeforsikring'!B10+'Frende Skadeforsikring'!B29+'Frende Skadeforsikring'!B37+'Frende Skadeforsikring'!B87+'Frende Skadeforsikring'!B136</f>
        <v>0</v>
      </c>
      <c r="H17" s="176">
        <f>'Frende Skadeforsikring'!C10+'Frende Skadeforsikring'!C29+'Frende Skadeforsikring'!C37+'Frende Skadeforsikring'!C87+'Frende Skadeforsikring'!C136</f>
        <v>0</v>
      </c>
      <c r="I17" s="104"/>
      <c r="J17" s="383">
        <f t="shared" si="3"/>
        <v>0</v>
      </c>
    </row>
    <row r="18" spans="1:13" ht="18.75" x14ac:dyDescent="0.3">
      <c r="A18" s="190" t="s">
        <v>88</v>
      </c>
      <c r="B18" s="176">
        <f>'Gjensidige Forsikring'!B7+'Gjensidige Forsikring'!B22+'Gjensidige Forsikring'!B36+'Gjensidige Forsikring'!B47+'Gjensidige Forsikring'!B66+'Gjensidige Forsikring'!B135</f>
        <v>1082036</v>
      </c>
      <c r="C18" s="177">
        <f>'Gjensidige Forsikring'!C7+'Gjensidige Forsikring'!C22+'Gjensidige Forsikring'!C36+'Gjensidige Forsikring'!C47+'Gjensidige Forsikring'!C66+'Gjensidige Forsikring'!C135</f>
        <v>1275735.1170000001</v>
      </c>
      <c r="D18" s="104">
        <f t="shared" si="0"/>
        <v>17.899999999999999</v>
      </c>
      <c r="E18" s="383">
        <f t="shared" si="1"/>
        <v>7.6895958388905621</v>
      </c>
      <c r="F18" s="103"/>
      <c r="G18" s="176">
        <f>'Gjensidige Forsikring'!B10+'Gjensidige Forsikring'!B29+'Gjensidige Forsikring'!B37+'Gjensidige Forsikring'!B87+'Gjensidige Forsikring'!B136</f>
        <v>0</v>
      </c>
      <c r="H18" s="176">
        <f>'Gjensidige Forsikring'!C10+'Gjensidige Forsikring'!C29+'Gjensidige Forsikring'!C37+'Gjensidige Forsikring'!C87+'Gjensidige Forsikring'!C136</f>
        <v>0</v>
      </c>
      <c r="I18" s="104"/>
      <c r="J18" s="383">
        <f t="shared" si="3"/>
        <v>0</v>
      </c>
    </row>
    <row r="19" spans="1:13" ht="18.75" x14ac:dyDescent="0.3">
      <c r="A19" s="190" t="s">
        <v>89</v>
      </c>
      <c r="B19" s="176">
        <f>'Gjensidige Pensjon'!B7+'Gjensidige Pensjon'!B22+'Gjensidige Pensjon'!B36+'Gjensidige Pensjon'!B47+'Gjensidige Pensjon'!B66+'Gjensidige Pensjon'!B135</f>
        <v>209475</v>
      </c>
      <c r="C19" s="177">
        <f>'Gjensidige Pensjon'!C7+'Gjensidige Pensjon'!C22+'Gjensidige Pensjon'!C36+'Gjensidige Pensjon'!C47+'Gjensidige Pensjon'!C66+'Gjensidige Pensjon'!C135</f>
        <v>228732</v>
      </c>
      <c r="D19" s="104">
        <f t="shared" si="0"/>
        <v>9.1999999999999993</v>
      </c>
      <c r="E19" s="383">
        <f t="shared" si="1"/>
        <v>1.3787004935297362</v>
      </c>
      <c r="F19" s="103"/>
      <c r="G19" s="176">
        <f>'Gjensidige Pensjon'!B10+'Gjensidige Pensjon'!B29+'Gjensidige Pensjon'!B37+'Gjensidige Pensjon'!B87+'Gjensidige Pensjon'!B136</f>
        <v>7257458</v>
      </c>
      <c r="H19" s="176">
        <f>'Gjensidige Pensjon'!C10+'Gjensidige Pensjon'!C29+'Gjensidige Pensjon'!C37+'Gjensidige Pensjon'!C87+'Gjensidige Pensjon'!C136</f>
        <v>7864328</v>
      </c>
      <c r="I19" s="104">
        <f t="shared" si="2"/>
        <v>8.4</v>
      </c>
      <c r="J19" s="383">
        <f t="shared" si="3"/>
        <v>0.7190617970876152</v>
      </c>
    </row>
    <row r="20" spans="1:13" ht="18.75" x14ac:dyDescent="0.3">
      <c r="A20" s="190" t="s">
        <v>90</v>
      </c>
      <c r="B20" s="176">
        <f>'Handelsbanken Liv'!B7+'Handelsbanken Liv'!B22+'Handelsbanken Liv'!B36+'Handelsbanken Liv'!B47+'Handelsbanken Liv'!B66+'Handelsbanken Liv'!B135</f>
        <v>8969.8688000000002</v>
      </c>
      <c r="C20" s="177">
        <f>'Handelsbanken Liv'!C7+'Handelsbanken Liv'!C22+'Handelsbanken Liv'!C36+'Handelsbanken Liv'!C47+'Handelsbanken Liv'!C66+'Handelsbanken Liv'!C135</f>
        <v>8840.2157599999991</v>
      </c>
      <c r="D20" s="104">
        <f t="shared" si="0"/>
        <v>-1.4</v>
      </c>
      <c r="E20" s="383">
        <f t="shared" si="1"/>
        <v>5.3285110221662699E-2</v>
      </c>
      <c r="F20" s="103"/>
      <c r="G20" s="176">
        <f>'Handelsbanken Liv'!B10+'Handelsbanken Liv'!B29+'Handelsbanken Liv'!B37+'Handelsbanken Liv'!B87+'Handelsbanken Liv'!B136</f>
        <v>27018.357819261299</v>
      </c>
      <c r="H20" s="176">
        <f>'Handelsbanken Liv'!C10+'Handelsbanken Liv'!C29+'Handelsbanken Liv'!C37+'Handelsbanken Liv'!C87+'Handelsbanken Liv'!C136</f>
        <v>18807.375</v>
      </c>
      <c r="I20" s="104">
        <f t="shared" si="2"/>
        <v>-30.4</v>
      </c>
      <c r="J20" s="383">
        <f t="shared" si="3"/>
        <v>1.7196211635629498E-3</v>
      </c>
    </row>
    <row r="21" spans="1:13" ht="18.75" x14ac:dyDescent="0.3">
      <c r="A21" s="190" t="s">
        <v>91</v>
      </c>
      <c r="B21" s="176">
        <f>'If Skadeforsikring NUF'!B7+'If Skadeforsikring NUF'!B22+'If Skadeforsikring NUF'!B36+'If Skadeforsikring NUF'!B47+'If Skadeforsikring NUF'!B66+'If Skadeforsikring NUF'!B135</f>
        <v>161371.50699999998</v>
      </c>
      <c r="C21" s="177">
        <f>'If Skadeforsikring NUF'!C7+'If Skadeforsikring NUF'!C22+'If Skadeforsikring NUF'!C36+'If Skadeforsikring NUF'!C47+'If Skadeforsikring NUF'!C66+'If Skadeforsikring NUF'!C135</f>
        <v>170115.003490506</v>
      </c>
      <c r="D21" s="104">
        <f t="shared" si="0"/>
        <v>5.4</v>
      </c>
      <c r="E21" s="383">
        <f t="shared" si="1"/>
        <v>1.0253818410592896</v>
      </c>
      <c r="F21" s="103"/>
      <c r="G21" s="176">
        <f>'If Skadeforsikring NUF'!B10+'If Skadeforsikring NUF'!B29+'If Skadeforsikring NUF'!B37+'If Skadeforsikring NUF'!B87+'If Skadeforsikring NUF'!B136</f>
        <v>0</v>
      </c>
      <c r="H21" s="176">
        <f>'If Skadeforsikring NUF'!C10+'If Skadeforsikring NUF'!C29+'If Skadeforsikring NUF'!C37+'If Skadeforsikring NUF'!C87+'If Skadeforsikring NUF'!C136</f>
        <v>0</v>
      </c>
      <c r="I21" s="104"/>
      <c r="J21" s="383">
        <f t="shared" si="3"/>
        <v>0</v>
      </c>
      <c r="K21" s="139"/>
    </row>
    <row r="22" spans="1:13" ht="18.75" x14ac:dyDescent="0.3">
      <c r="A22" s="190" t="s">
        <v>383</v>
      </c>
      <c r="B22" s="176">
        <f>Insr!B7+Insr!B22+Insr!B36+Insr!B47+Insr!B66+Insr!B135</f>
        <v>3495.9480000000003</v>
      </c>
      <c r="C22" s="177">
        <f>Insr!C7+Insr!C22+Insr!C36+Insr!C47+Insr!C66+Insr!C135</f>
        <v>9365</v>
      </c>
      <c r="D22" s="104">
        <f t="shared" si="0"/>
        <v>167.9</v>
      </c>
      <c r="E22" s="383">
        <f t="shared" si="1"/>
        <v>5.6448289360063221E-2</v>
      </c>
      <c r="F22" s="103"/>
      <c r="G22" s="176">
        <f>Insr!B10+Insr!B29+Insr!B37+Insr!B87+Insr!B136</f>
        <v>0</v>
      </c>
      <c r="H22" s="176">
        <f>Insr!C10+Insr!C29+Insr!C37+Insr!C87+Insr!C136</f>
        <v>0</v>
      </c>
      <c r="I22" s="104"/>
      <c r="J22" s="383">
        <f t="shared" si="3"/>
        <v>0</v>
      </c>
      <c r="K22" s="139"/>
    </row>
    <row r="23" spans="1:13" ht="18.75" x14ac:dyDescent="0.3">
      <c r="A23" s="190" t="s">
        <v>63</v>
      </c>
      <c r="B23" s="176">
        <f>KLP!B7+KLP!B22+KLP!B36+KLP!B47+KLP!B66+KLP!B135</f>
        <v>7072533.2508100001</v>
      </c>
      <c r="C23" s="177">
        <f>KLP!C7+KLP!C22+KLP!C36+KLP!C47+KLP!C66+KLP!C135</f>
        <v>7029637.7149999999</v>
      </c>
      <c r="D23" s="104">
        <f t="shared" si="0"/>
        <v>-0.6</v>
      </c>
      <c r="E23" s="383">
        <f t="shared" si="1"/>
        <v>42.371705694899482</v>
      </c>
      <c r="F23" s="103"/>
      <c r="G23" s="176">
        <f>KLP!B10+KLP!B29+KLP!B37+KLP!B87+KLP!B136</f>
        <v>508505466.93022001</v>
      </c>
      <c r="H23" s="176">
        <f>KLP!C10+KLP!C29+KLP!C37+KLP!C87+KLP!C136</f>
        <v>532252570.11264002</v>
      </c>
      <c r="I23" s="104">
        <f t="shared" si="2"/>
        <v>4.7</v>
      </c>
      <c r="J23" s="383">
        <f t="shared" si="3"/>
        <v>48.665631643249981</v>
      </c>
      <c r="K23" s="139"/>
    </row>
    <row r="24" spans="1:13" ht="18.75" x14ac:dyDescent="0.3">
      <c r="A24" s="108" t="s">
        <v>93</v>
      </c>
      <c r="B24" s="176">
        <f>'KLP Skadeforsikring AS'!B7+'KLP Skadeforsikring AS'!B22+'KLP Skadeforsikring AS'!B36+'KLP Skadeforsikring AS'!B47+'KLP Skadeforsikring AS'!B66+'KLP Skadeforsikring AS'!B135</f>
        <v>156137.83600000001</v>
      </c>
      <c r="C24" s="177">
        <f>'KLP Skadeforsikring AS'!C7+'KLP Skadeforsikring AS'!C22+'KLP Skadeforsikring AS'!C36+'KLP Skadeforsikring AS'!C47+'KLP Skadeforsikring AS'!C66+'KLP Skadeforsikring AS'!C135</f>
        <v>181165.234</v>
      </c>
      <c r="D24" s="104">
        <f t="shared" si="0"/>
        <v>16</v>
      </c>
      <c r="E24" s="383">
        <f t="shared" si="1"/>
        <v>1.0919879926124467</v>
      </c>
      <c r="F24" s="103"/>
      <c r="G24" s="176">
        <f>'KLP Skadeforsikring AS'!B10+'KLP Skadeforsikring AS'!B29+'KLP Skadeforsikring AS'!B37+'KLP Skadeforsikring AS'!B87+'KLP Skadeforsikring AS'!B136</f>
        <v>39904.18694</v>
      </c>
      <c r="H24" s="176">
        <f>'KLP Skadeforsikring AS'!C10+'KLP Skadeforsikring AS'!C29+'KLP Skadeforsikring AS'!C37+'KLP Skadeforsikring AS'!C87+'KLP Skadeforsikring AS'!C136</f>
        <v>61664.775000000001</v>
      </c>
      <c r="I24" s="104">
        <f t="shared" si="2"/>
        <v>54.5</v>
      </c>
      <c r="J24" s="383">
        <f t="shared" si="3"/>
        <v>5.6382165047672789E-3</v>
      </c>
      <c r="K24" s="139"/>
    </row>
    <row r="25" spans="1:13" ht="18.75" x14ac:dyDescent="0.3">
      <c r="A25" s="108" t="s">
        <v>389</v>
      </c>
      <c r="B25" s="176">
        <f>'Landkreditt Forsikring'!B7+'Landkreditt Forsikring'!B22+'Landkreditt Forsikring'!B36+'Landkreditt Forsikring'!B47+'Landkreditt Forsikring'!B66+'Landkreditt Forsikring'!B135</f>
        <v>30906</v>
      </c>
      <c r="C25" s="177">
        <f>'Landkreditt Forsikring'!C7+'Landkreditt Forsikring'!C22+'Landkreditt Forsikring'!C36+'Landkreditt Forsikring'!C47+'Landkreditt Forsikring'!C66+'Landkreditt Forsikring'!C135</f>
        <v>32788</v>
      </c>
      <c r="D25" s="104">
        <f t="shared" si="0"/>
        <v>6.1</v>
      </c>
      <c r="E25" s="383">
        <f t="shared" si="1"/>
        <v>0.19763230235320373</v>
      </c>
      <c r="F25" s="103"/>
      <c r="G25" s="176">
        <f>'Landkreditt Forsikring'!B10+'Landkreditt Forsikring'!B29+'Landkreditt Forsikring'!B37+'Landkreditt Forsikring'!B87+'Landkreditt Forsikring'!B136</f>
        <v>0</v>
      </c>
      <c r="H25" s="176">
        <f>'Landkreditt Forsikring'!C10+'Landkreditt Forsikring'!C29+'Landkreditt Forsikring'!C37+'Landkreditt Forsikring'!C87+'Landkreditt Forsikring'!C136</f>
        <v>0</v>
      </c>
      <c r="I25" s="104"/>
      <c r="J25" s="383">
        <f t="shared" si="3"/>
        <v>0</v>
      </c>
      <c r="K25" s="139"/>
    </row>
    <row r="26" spans="1:13" ht="18.75" x14ac:dyDescent="0.3">
      <c r="A26" s="108" t="s">
        <v>94</v>
      </c>
      <c r="B26" s="176">
        <f>'Nordea Liv '!B7+'Nordea Liv '!B22+'Nordea Liv '!B36+'Nordea Liv '!B47+'Nordea Liv '!B66+'Nordea Liv '!B135</f>
        <v>629530.54245577473</v>
      </c>
      <c r="C26" s="177">
        <f>'Nordea Liv '!C7+'Nordea Liv '!C22+'Nordea Liv '!C36+'Nordea Liv '!C47+'Nordea Liv '!C66+'Nordea Liv '!C135</f>
        <v>640623</v>
      </c>
      <c r="D26" s="104">
        <f t="shared" si="0"/>
        <v>1.8</v>
      </c>
      <c r="E26" s="383">
        <f t="shared" si="1"/>
        <v>3.8614065643045148</v>
      </c>
      <c r="F26" s="103"/>
      <c r="G26" s="177">
        <f>'Nordea Liv '!B10+'Nordea Liv '!B29+'Nordea Liv '!B37+'Nordea Liv '!B87+'Nordea Liv '!B136</f>
        <v>51184490.000153631</v>
      </c>
      <c r="H26" s="177">
        <f>'Nordea Liv '!C10+'Nordea Liv '!C29+'Nordea Liv '!C37+'Nordea Liv '!C87+'Nordea Liv '!C136</f>
        <v>54236300.000061981</v>
      </c>
      <c r="I26" s="104">
        <f t="shared" si="2"/>
        <v>6</v>
      </c>
      <c r="J26" s="383">
        <f t="shared" si="3"/>
        <v>4.9590062043988485</v>
      </c>
      <c r="K26" s="139"/>
    </row>
    <row r="27" spans="1:13" ht="18.75" x14ac:dyDescent="0.3">
      <c r="A27" s="108" t="s">
        <v>95</v>
      </c>
      <c r="B27" s="176">
        <f>'Oslo Pensjonsforsikring'!B7+'Oslo Pensjonsforsikring'!B22+'Oslo Pensjonsforsikring'!B36+'Oslo Pensjonsforsikring'!B47+'Oslo Pensjonsforsikring'!B66+'Oslo Pensjonsforsikring'!B135</f>
        <v>595788.33617999998</v>
      </c>
      <c r="C27" s="177">
        <f>'Oslo Pensjonsforsikring'!C7+'Oslo Pensjonsforsikring'!C22+'Oslo Pensjonsforsikring'!C36+'Oslo Pensjonsforsikring'!C47+'Oslo Pensjonsforsikring'!C66+'Oslo Pensjonsforsikring'!C135</f>
        <v>823365</v>
      </c>
      <c r="D27" s="104">
        <f t="shared" si="0"/>
        <v>38.200000000000003</v>
      </c>
      <c r="E27" s="383">
        <f t="shared" si="1"/>
        <v>4.9628986405711109</v>
      </c>
      <c r="F27" s="103"/>
      <c r="G27" s="176">
        <f>'Oslo Pensjonsforsikring'!B10+'Oslo Pensjonsforsikring'!B29+'Oslo Pensjonsforsikring'!B37+'Oslo Pensjonsforsikring'!B87+'Oslo Pensjonsforsikring'!B136</f>
        <v>78512396.264768496</v>
      </c>
      <c r="H27" s="176">
        <f>'Oslo Pensjonsforsikring'!C10+'Oslo Pensjonsforsikring'!C29+'Oslo Pensjonsforsikring'!C37+'Oslo Pensjonsforsikring'!C87+'Oslo Pensjonsforsikring'!C136</f>
        <v>84956302</v>
      </c>
      <c r="I27" s="104">
        <f t="shared" si="2"/>
        <v>8.1999999999999993</v>
      </c>
      <c r="J27" s="383">
        <f t="shared" si="3"/>
        <v>7.7678386748414043</v>
      </c>
      <c r="K27" s="139"/>
    </row>
    <row r="28" spans="1:13" ht="18.75" x14ac:dyDescent="0.3">
      <c r="A28" s="108" t="s">
        <v>340</v>
      </c>
      <c r="B28" s="176">
        <f>'Protector Forsikring'!B7+'Protector Forsikring'!B22+'Protector Forsikring'!B36+'Protector Forsikring'!B47+'Protector Forsikring'!B66+'Protector Forsikring'!B135</f>
        <v>196210.82700126772</v>
      </c>
      <c r="C28" s="177">
        <f>'Protector Forsikring'!C7+'Protector Forsikring'!C22+'Protector Forsikring'!C36+'Protector Forsikring'!C47+'Protector Forsikring'!C66+'Protector Forsikring'!C135</f>
        <v>212752.66328546518</v>
      </c>
      <c r="D28" s="104">
        <f t="shared" si="0"/>
        <v>8.4</v>
      </c>
      <c r="E28" s="383">
        <f t="shared" si="1"/>
        <v>1.2823837585971209</v>
      </c>
      <c r="F28" s="103"/>
      <c r="G28" s="176">
        <f>'Protector Forsikring'!B10+'Protector Forsikring'!B29+'Protector Forsikring'!B37+'Protector Forsikring'!B87+'Protector Forsikring'!B136</f>
        <v>0</v>
      </c>
      <c r="H28" s="176">
        <f>'Protector Forsikring'!C10+'Protector Forsikring'!C29+'Protector Forsikring'!C37+'Protector Forsikring'!C87+'Protector Forsikring'!C136</f>
        <v>0</v>
      </c>
      <c r="I28" s="104"/>
      <c r="J28" s="383">
        <f t="shared" si="3"/>
        <v>0</v>
      </c>
      <c r="K28" s="139"/>
    </row>
    <row r="29" spans="1:13" ht="18.75" x14ac:dyDescent="0.3">
      <c r="A29" s="190" t="s">
        <v>67</v>
      </c>
      <c r="B29" s="176">
        <f>'Sparebank 1'!B7+'Sparebank 1'!B22+'Sparebank 1'!B36+'Sparebank 1'!B47+'Sparebank 1'!B66+'Sparebank 1'!B135</f>
        <v>250321.98676</v>
      </c>
      <c r="C29" s="177">
        <f>'Sparebank 1'!C7+'Sparebank 1'!C22+'Sparebank 1'!C36+'Sparebank 1'!C47+'Sparebank 1'!C66+'Sparebank 1'!C135</f>
        <v>267941.32840000006</v>
      </c>
      <c r="D29" s="104">
        <f t="shared" si="0"/>
        <v>7</v>
      </c>
      <c r="E29" s="383">
        <f t="shared" si="1"/>
        <v>1.6150378683441462</v>
      </c>
      <c r="F29" s="103"/>
      <c r="G29" s="176">
        <f>'Sparebank 1'!B10+'Sparebank 1'!B29+'Sparebank 1'!B37+'Sparebank 1'!B87+'Sparebank 1'!B136</f>
        <v>19224127.527090002</v>
      </c>
      <c r="H29" s="176">
        <f>'Sparebank 1'!C10+'Sparebank 1'!C29+'Sparebank 1'!C37+'Sparebank 1'!C87+'Sparebank 1'!C136</f>
        <v>19627923.643070001</v>
      </c>
      <c r="I29" s="104">
        <f t="shared" si="2"/>
        <v>2.1</v>
      </c>
      <c r="J29" s="383">
        <f t="shared" si="3"/>
        <v>1.7946466688424498</v>
      </c>
      <c r="K29" s="139"/>
    </row>
    <row r="30" spans="1:13" ht="18.75" x14ac:dyDescent="0.3">
      <c r="A30" s="108" t="s">
        <v>96</v>
      </c>
      <c r="B30" s="176">
        <f>'Storebrand Livsforsikring'!B7+'Storebrand Livsforsikring'!B22+'Storebrand Livsforsikring'!B36+'Storebrand Livsforsikring'!B47+'Storebrand Livsforsikring'!B66+'Storebrand Livsforsikring'!B135</f>
        <v>2540938.0070000002</v>
      </c>
      <c r="C30" s="177">
        <f>'Storebrand Livsforsikring'!C7+'Storebrand Livsforsikring'!C22+'Storebrand Livsforsikring'!C36+'Storebrand Livsforsikring'!C47+'Storebrand Livsforsikring'!C66+'Storebrand Livsforsikring'!C135</f>
        <v>2282188.585</v>
      </c>
      <c r="D30" s="104">
        <f t="shared" si="0"/>
        <v>-10.199999999999999</v>
      </c>
      <c r="E30" s="383">
        <f t="shared" si="1"/>
        <v>13.75607491941412</v>
      </c>
      <c r="F30" s="103"/>
      <c r="G30" s="176">
        <f>'Storebrand Livsforsikring'!B10+'Storebrand Livsforsikring'!B29+'Storebrand Livsforsikring'!B37+'Storebrand Livsforsikring'!B87+'Storebrand Livsforsikring'!B136</f>
        <v>182275775.57800004</v>
      </c>
      <c r="H30" s="176">
        <f>'Storebrand Livsforsikring'!C10+'Storebrand Livsforsikring'!C29+'Storebrand Livsforsikring'!C37+'Storebrand Livsforsikring'!C87+'Storebrand Livsforsikring'!C136</f>
        <v>191597306.794</v>
      </c>
      <c r="I30" s="104">
        <f t="shared" si="2"/>
        <v>5.0999999999999996</v>
      </c>
      <c r="J30" s="383">
        <f t="shared" si="3"/>
        <v>17.51838221147958</v>
      </c>
      <c r="K30" s="139"/>
    </row>
    <row r="31" spans="1:13" ht="18.75" x14ac:dyDescent="0.3">
      <c r="A31" s="108" t="s">
        <v>97</v>
      </c>
      <c r="B31" s="176">
        <f>'Telenor Forsikring'!B7+'Telenor Forsikring'!B22+'Telenor Forsikring'!B36+'Telenor Forsikring'!B47+'Telenor Forsikring'!B66+'Telenor Forsikring'!B135</f>
        <v>0</v>
      </c>
      <c r="C31" s="177">
        <f>'Telenor Forsikring'!C7+'Telenor Forsikring'!C22+'Telenor Forsikring'!C36+'Telenor Forsikring'!C47+'Telenor Forsikring'!C66+'Telenor Forsikring'!C135</f>
        <v>364</v>
      </c>
      <c r="D31" s="104" t="str">
        <f t="shared" si="0"/>
        <v xml:space="preserve">    ---- </v>
      </c>
      <c r="E31" s="383">
        <f t="shared" si="1"/>
        <v>2.1940392233916724E-3</v>
      </c>
      <c r="F31" s="103"/>
      <c r="G31" s="176">
        <f>'Telenor Forsikring'!B10+'Telenor Forsikring'!B29+'Telenor Forsikring'!B37+'Telenor Forsikring'!B87+'Telenor Forsikring'!B136</f>
        <v>0</v>
      </c>
      <c r="H31" s="176">
        <f>'Telenor Forsikring'!C10+'Telenor Forsikring'!C29+'Telenor Forsikring'!C37+'Telenor Forsikring'!C87+'Telenor Forsikring'!C136</f>
        <v>0</v>
      </c>
      <c r="I31" s="104"/>
      <c r="J31" s="383">
        <f t="shared" si="3"/>
        <v>0</v>
      </c>
      <c r="K31" s="139"/>
      <c r="M31" s="628"/>
    </row>
    <row r="32" spans="1:13" ht="18.75" x14ac:dyDescent="0.3">
      <c r="A32" s="108" t="s">
        <v>98</v>
      </c>
      <c r="B32" s="176">
        <f>'Tryg Forsikring'!B7+'Tryg Forsikring'!B22+'Tryg Forsikring'!B36+'Tryg Forsikring'!B47+'Tryg Forsikring'!B66+'Tryg Forsikring'!B135</f>
        <v>510830.81199999998</v>
      </c>
      <c r="C32" s="177">
        <f>'Tryg Forsikring'!C7+'Tryg Forsikring'!C22+'Tryg Forsikring'!C36+'Tryg Forsikring'!C47+'Tryg Forsikring'!C66+'Tryg Forsikring'!C135</f>
        <v>519007.69999999995</v>
      </c>
      <c r="D32" s="104">
        <f t="shared" si="0"/>
        <v>1.6</v>
      </c>
      <c r="E32" s="383">
        <f t="shared" si="1"/>
        <v>3.1283605797865328</v>
      </c>
      <c r="F32" s="103"/>
      <c r="I32" s="104"/>
      <c r="J32" s="383">
        <f t="shared" ref="J32" si="4">100/H$34*H31</f>
        <v>0</v>
      </c>
      <c r="K32" s="204"/>
    </row>
    <row r="33" spans="1:16" ht="18.75" x14ac:dyDescent="0.3">
      <c r="A33" s="190" t="s">
        <v>393</v>
      </c>
      <c r="B33" s="176">
        <f>'WaterCircle F'!B7+'WaterCircle F'!B22+'WaterCircle F'!B36+'WaterCircle F'!B47+'WaterCircle F'!B66+'WaterCircle F'!B137</f>
        <v>1050</v>
      </c>
      <c r="C33" s="176">
        <f>'WaterCircle F'!C7+'WaterCircle F'!C22+'WaterCircle F'!C36+'WaterCircle F'!C47+'WaterCircle F'!C66+'WaterCircle F'!C137</f>
        <v>1478</v>
      </c>
      <c r="D33" s="104">
        <f t="shared" si="0"/>
        <v>40.799999999999997</v>
      </c>
      <c r="E33" s="383">
        <f>100/C$34*C33</f>
        <v>8.9087636598156363E-3</v>
      </c>
      <c r="F33" s="190"/>
      <c r="G33" s="103">
        <f>'WaterCircle F'!B10+'WaterCircle F'!B29+'WaterCircle F'!B37+'WaterCircle F'!B87+'WaterCircle F'!B136</f>
        <v>0</v>
      </c>
      <c r="H33" s="103">
        <f>'WaterCircle F'!C10+'WaterCircle F'!C29+'WaterCircle F'!C37+'WaterCircle F'!C87+'WaterCircle F'!C136</f>
        <v>0</v>
      </c>
      <c r="I33" s="104"/>
      <c r="J33" s="383">
        <f>100/H$34*H33</f>
        <v>0</v>
      </c>
      <c r="K33" s="204"/>
    </row>
    <row r="34" spans="1:16" s="111" customFormat="1" ht="18.75" x14ac:dyDescent="0.3">
      <c r="A34" s="137" t="s">
        <v>99</v>
      </c>
      <c r="B34" s="178">
        <f>SUM(B10:B33)</f>
        <v>16390233.949177044</v>
      </c>
      <c r="C34" s="660">
        <f>SUM(C9:C33)</f>
        <v>16590405.31815597</v>
      </c>
      <c r="D34" s="104">
        <f>IF(B34=0, "    ---- ", IF(ABS(ROUND(100/B34*C34-100,1))&lt;999,ROUND(100/B34*C34-100,1),IF(ROUND(100/B34*C34-100,1)&gt;999,999,-999)))</f>
        <v>1.2</v>
      </c>
      <c r="E34" s="384">
        <f>SUM(E9:E32)</f>
        <v>99.991091236340182</v>
      </c>
      <c r="F34" s="109"/>
      <c r="G34" s="178">
        <f>SUM(G9:G33)</f>
        <v>1051826052.3220714</v>
      </c>
      <c r="H34" s="178">
        <f>SUM(H9:H33)</f>
        <v>1093692924.8435318</v>
      </c>
      <c r="I34" s="104">
        <f>IF(G34=0, "    ---- ", IF(ABS(ROUND(100/G34*H34-100,1))&lt;999,ROUND(100/G34*H34-100,1),IF(ROUND(100/G34*H34-100,1)&gt;999,999,-999)))</f>
        <v>4</v>
      </c>
      <c r="J34" s="384">
        <f>SUM(J9:J33)</f>
        <v>100</v>
      </c>
      <c r="K34" s="206"/>
      <c r="P34" s="202"/>
    </row>
    <row r="35" spans="1:16" ht="18.75" x14ac:dyDescent="0.3">
      <c r="A35" s="86"/>
      <c r="B35" s="176"/>
      <c r="C35" s="139"/>
      <c r="D35" s="104"/>
      <c r="E35" s="383"/>
      <c r="F35" s="103"/>
      <c r="G35" s="176"/>
      <c r="H35" s="103"/>
      <c r="I35" s="104"/>
      <c r="J35" s="383"/>
      <c r="K35" s="204"/>
    </row>
    <row r="36" spans="1:16" ht="18.75" x14ac:dyDescent="0.3">
      <c r="A36" s="101" t="s">
        <v>1</v>
      </c>
      <c r="B36" s="176"/>
      <c r="C36" s="139"/>
      <c r="D36" s="104"/>
      <c r="E36" s="383"/>
      <c r="F36" s="103"/>
      <c r="G36" s="176"/>
      <c r="H36" s="103"/>
      <c r="I36" s="104"/>
      <c r="J36" s="383"/>
      <c r="K36" s="204"/>
    </row>
    <row r="37" spans="1:16" ht="18.75" x14ac:dyDescent="0.3">
      <c r="A37" s="107" t="s">
        <v>83</v>
      </c>
      <c r="B37" s="130">
        <f>'Danica Pensjonsforsikring'!F7+'Danica Pensjonsforsikring'!F22+'Danica Pensjonsforsikring'!F66+'Danica Pensjonsforsikring'!F135</f>
        <v>556076.75199999998</v>
      </c>
      <c r="C37" s="130">
        <f>'Danica Pensjonsforsikring'!G7+'Danica Pensjonsforsikring'!G22+'Danica Pensjonsforsikring'!G66+'Danica Pensjonsforsikring'!G135</f>
        <v>605624.35699999996</v>
      </c>
      <c r="D37" s="104">
        <f t="shared" ref="D37:D47" si="5">IF(B37=0, "    ---- ", IF(ABS(ROUND(100/B37*C37-100,1))&lt;999,ROUND(100/B37*C37-100,1),IF(ROUND(100/B37*C37-100,1)&gt;999,999,-999)))</f>
        <v>8.9</v>
      </c>
      <c r="E37" s="383">
        <f t="shared" ref="E37:E46" si="6">100/C$47*C37</f>
        <v>4.3665572462980577</v>
      </c>
      <c r="F37" s="103"/>
      <c r="G37" s="176">
        <f>'Danica Pensjonsforsikring'!F10+'Danica Pensjonsforsikring'!F29+'Danica Pensjonsforsikring'!F87+'Danica Pensjonsforsikring'!F136</f>
        <v>18526269.5</v>
      </c>
      <c r="H37" s="176">
        <f>'Danica Pensjonsforsikring'!G10+'Danica Pensjonsforsikring'!G29+'Danica Pensjonsforsikring'!G87+'Danica Pensjonsforsikring'!G136</f>
        <v>25191577.335999999</v>
      </c>
      <c r="I37" s="104">
        <f t="shared" ref="I37:I47" si="7">IF(G37=0, "    ---- ", IF(ABS(ROUND(100/G37*H37-100,1))&lt;999,ROUND(100/G37*H37-100,1),IF(ROUND(100/G37*H37-100,1)&gt;999,999,-999)))</f>
        <v>36</v>
      </c>
      <c r="J37" s="383">
        <f t="shared" ref="J37:J46" si="8">100/H$47*H37</f>
        <v>5.1803401288150956</v>
      </c>
      <c r="K37" s="204"/>
    </row>
    <row r="38" spans="1:16" ht="18.75" x14ac:dyDescent="0.3">
      <c r="A38" s="107" t="s">
        <v>392</v>
      </c>
      <c r="B38" s="130">
        <f>'DNB Bedriftspensjon'!F7+'DNB Bedriftspensjon'!F22+'DNB Bedriftspensjon'!F66+'DNB Bedriftspensjon'!F135</f>
        <v>155790</v>
      </c>
      <c r="C38" s="130">
        <f>'DNB Bedriftspensjon'!G7+'DNB Bedriftspensjon'!G22+'DNB Bedriftspensjon'!G66+'DNB Bedriftspensjon'!G135</f>
        <v>0</v>
      </c>
      <c r="D38" s="104">
        <f>IF(B38=0, "    ---- ", IF(ABS(ROUND(100/B38*C38-100,1))&lt;999,ROUND(100/B38*C38-100,1),IF(ROUND(100/B38*C38-100,1)&gt;999,999,-999)))</f>
        <v>-100</v>
      </c>
      <c r="E38" s="383">
        <f t="shared" si="6"/>
        <v>0</v>
      </c>
      <c r="F38" s="103"/>
      <c r="G38" s="176">
        <f>'DNB Bedriftspensjon'!F10+'DNB Bedriftspensjon'!F29+'DNB Bedriftspensjon'!F87+'DNB Bedriftspensjon'!F136</f>
        <v>4535748</v>
      </c>
      <c r="H38" s="176">
        <f>'DNB Bedriftspensjon'!G10+'DNB Bedriftspensjon'!G29+'DNB Bedriftspensjon'!G87+'DNB Bedriftspensjon'!G136</f>
        <v>0</v>
      </c>
      <c r="I38" s="104">
        <f>IF(G38=0, "    ---- ", IF(ABS(ROUND(100/G38*H38-100,1))&lt;999,ROUND(100/G38*H38-100,1),IF(ROUND(100/G38*H38-100,1)&gt;999,999,-999)))</f>
        <v>-100</v>
      </c>
      <c r="J38" s="383">
        <f t="shared" si="8"/>
        <v>0</v>
      </c>
    </row>
    <row r="39" spans="1:16" ht="18.75" x14ac:dyDescent="0.3">
      <c r="A39" s="86" t="s">
        <v>84</v>
      </c>
      <c r="B39" s="130">
        <f>'DNB Livsforsikring'!F7+'DNB Livsforsikring'!F22+'DNB Livsforsikring'!F66+'DNB Livsforsikring'!F135</f>
        <v>2457225.304</v>
      </c>
      <c r="C39" s="130">
        <f>'DNB Livsforsikring'!G7+'DNB Livsforsikring'!G22+'DNB Livsforsikring'!G66+'DNB Livsforsikring'!G135</f>
        <v>2864053.5292500001</v>
      </c>
      <c r="D39" s="104">
        <f t="shared" si="5"/>
        <v>16.600000000000001</v>
      </c>
      <c r="E39" s="383">
        <f t="shared" si="6"/>
        <v>20.649852581692176</v>
      </c>
      <c r="F39" s="103"/>
      <c r="G39" s="176">
        <f>'DNB Livsforsikring'!F10+'DNB Livsforsikring'!F29+'DNB Livsforsikring'!F87+'DNB Livsforsikring'!F136</f>
        <v>84790630.706</v>
      </c>
      <c r="H39" s="176">
        <f>'DNB Livsforsikring'!G10+'DNB Livsforsikring'!G29+'DNB Livsforsikring'!G87+'DNB Livsforsikring'!G136</f>
        <v>122659439.22629599</v>
      </c>
      <c r="I39" s="104">
        <f t="shared" si="7"/>
        <v>44.7</v>
      </c>
      <c r="J39" s="383">
        <f t="shared" si="8"/>
        <v>25.223415220367905</v>
      </c>
    </row>
    <row r="40" spans="1:16" ht="18.75" x14ac:dyDescent="0.3">
      <c r="A40" s="107" t="s">
        <v>86</v>
      </c>
      <c r="B40" s="130">
        <f>'Frende Livsforsikring'!F7+'Frende Livsforsikring'!F22+'Frende Livsforsikring'!F66+'Frende Livsforsikring'!F135</f>
        <v>105771</v>
      </c>
      <c r="C40" s="130">
        <f>'Frende Livsforsikring'!G7+'Frende Livsforsikring'!G22+'Frende Livsforsikring'!G66+'Frende Livsforsikring'!G135</f>
        <v>0</v>
      </c>
      <c r="D40" s="104">
        <f t="shared" si="5"/>
        <v>-100</v>
      </c>
      <c r="E40" s="383">
        <f t="shared" si="6"/>
        <v>0</v>
      </c>
      <c r="F40" s="103"/>
      <c r="G40" s="176">
        <f>'Frende Livsforsikring'!F10+'Frende Livsforsikring'!F29+'Frende Livsforsikring'!F87+'Frende Livsforsikring'!F136</f>
        <v>3863942</v>
      </c>
      <c r="H40" s="176">
        <f>'Frende Livsforsikring'!G10+'Frende Livsforsikring'!G29+'Frende Livsforsikring'!G87+'Frende Livsforsikring'!G136</f>
        <v>0</v>
      </c>
      <c r="I40" s="104">
        <f t="shared" si="7"/>
        <v>-100</v>
      </c>
      <c r="J40" s="383">
        <f t="shared" si="8"/>
        <v>0</v>
      </c>
    </row>
    <row r="41" spans="1:16" ht="18.75" x14ac:dyDescent="0.3">
      <c r="A41" s="107" t="s">
        <v>89</v>
      </c>
      <c r="B41" s="130">
        <f>'Gjensidige Pensjon'!F7+'Gjensidige Pensjon'!F22+'Gjensidige Pensjon'!F66+'Gjensidige Pensjon'!F135</f>
        <v>826794</v>
      </c>
      <c r="C41" s="130">
        <f>'Gjensidige Pensjon'!G7+'Gjensidige Pensjon'!G22+'Gjensidige Pensjon'!G66+'Gjensidige Pensjon'!G135</f>
        <v>917875</v>
      </c>
      <c r="D41" s="104">
        <f t="shared" si="5"/>
        <v>11</v>
      </c>
      <c r="E41" s="383">
        <f t="shared" si="6"/>
        <v>6.6178872862701423</v>
      </c>
      <c r="F41" s="103"/>
      <c r="G41" s="176">
        <f>'Gjensidige Pensjon'!F10+'Gjensidige Pensjon'!F29+'Gjensidige Pensjon'!F87+'Gjensidige Pensjon'!F136</f>
        <v>26206027</v>
      </c>
      <c r="H41" s="176">
        <f>'Gjensidige Pensjon'!G10+'Gjensidige Pensjon'!G29+'Gjensidige Pensjon'!G87+'Gjensidige Pensjon'!G136</f>
        <v>36333371</v>
      </c>
      <c r="I41" s="104">
        <f t="shared" si="7"/>
        <v>38.6</v>
      </c>
      <c r="J41" s="383">
        <f t="shared" si="8"/>
        <v>7.471513883231605</v>
      </c>
    </row>
    <row r="42" spans="1:16" ht="18.75" x14ac:dyDescent="0.3">
      <c r="A42" s="107" t="s">
        <v>63</v>
      </c>
      <c r="B42" s="130">
        <f>KLP!F7+KLP!F22+KLP!F66+KLP!F135</f>
        <v>13284.058000000001</v>
      </c>
      <c r="C42" s="130">
        <f>KLP!G7+KLP!G22+KLP!G66+KLP!G135</f>
        <v>13768.486000000001</v>
      </c>
      <c r="D42" s="104">
        <f t="shared" si="5"/>
        <v>3.6</v>
      </c>
      <c r="E42" s="383">
        <f t="shared" si="6"/>
        <v>9.9270912107409445E-2</v>
      </c>
      <c r="F42" s="103"/>
      <c r="G42" s="176">
        <f>KLP!F10+KLP!F29+KLP!F87+KLP!F136</f>
        <v>2151789.0251500001</v>
      </c>
      <c r="H42" s="176">
        <f>KLP!G10+KLP!G29+KLP!G87+KLP!G136</f>
        <v>2073544.89796</v>
      </c>
      <c r="I42" s="104">
        <f t="shared" si="7"/>
        <v>-3.6</v>
      </c>
      <c r="J42" s="383">
        <f t="shared" si="8"/>
        <v>0.42639917701586794</v>
      </c>
    </row>
    <row r="43" spans="1:16" ht="18.75" x14ac:dyDescent="0.3">
      <c r="A43" s="107" t="s">
        <v>94</v>
      </c>
      <c r="B43" s="130">
        <f>'Nordea Liv '!F7+'Nordea Liv '!F22+'Nordea Liv '!F66+'Nordea Liv '!F135</f>
        <v>3056093.7786399997</v>
      </c>
      <c r="C43" s="130">
        <f>'Nordea Liv '!G7+'Nordea Liv '!G22+'Nordea Liv '!G66+'Nordea Liv '!G135</f>
        <v>4591987.8017199999</v>
      </c>
      <c r="D43" s="104">
        <f t="shared" si="5"/>
        <v>50.3</v>
      </c>
      <c r="E43" s="383">
        <f t="shared" si="6"/>
        <v>33.10827475605106</v>
      </c>
      <c r="F43" s="103"/>
      <c r="G43" s="176">
        <f>'Nordea Liv '!F10+'Nordea Liv '!F29+'Nordea Liv '!F87+'Nordea Liv '!F136</f>
        <v>70145270</v>
      </c>
      <c r="H43" s="176">
        <f>'Nordea Liv '!G10+'Nordea Liv '!G29+'Nordea Liv '!G87+'Nordea Liv '!G136</f>
        <v>105547000</v>
      </c>
      <c r="I43" s="104">
        <f t="shared" si="7"/>
        <v>50.5</v>
      </c>
      <c r="J43" s="383">
        <f t="shared" si="8"/>
        <v>21.704451145847333</v>
      </c>
      <c r="K43" s="204"/>
    </row>
    <row r="44" spans="1:16" ht="18.75" x14ac:dyDescent="0.3">
      <c r="A44" s="107" t="s">
        <v>71</v>
      </c>
      <c r="B44" s="130">
        <f>'SHB Liv'!F7+'SHB Liv'!F22+'SHB Liv'!F66+'SHB Liv'!F135</f>
        <v>40693.550899999995</v>
      </c>
      <c r="C44" s="130">
        <f>'SHB Liv'!G7+'SHB Liv'!G22+'SHB Liv'!G66+'SHB Liv'!G135</f>
        <v>43468.250899999999</v>
      </c>
      <c r="D44" s="104">
        <f t="shared" si="5"/>
        <v>6.8</v>
      </c>
      <c r="E44" s="383">
        <f t="shared" si="6"/>
        <v>0.31340649324527919</v>
      </c>
      <c r="F44" s="103"/>
      <c r="G44" s="176">
        <f>'SHB Liv'!F10+'SHB Liv'!F29+'SHB Liv'!F87+'SHB Liv'!F136</f>
        <v>2269628.5062499996</v>
      </c>
      <c r="H44" s="176">
        <f>'SHB Liv'!G10+'SHB Liv'!G29+'SHB Liv'!G87+'SHB Liv'!G136</f>
        <v>3051253.7135600001</v>
      </c>
      <c r="I44" s="104">
        <f t="shared" si="7"/>
        <v>34.4</v>
      </c>
      <c r="J44" s="383">
        <f t="shared" si="8"/>
        <v>0.62745305086405367</v>
      </c>
      <c r="K44" s="204"/>
    </row>
    <row r="45" spans="1:16" ht="18.75" x14ac:dyDescent="0.3">
      <c r="A45" s="86" t="s">
        <v>67</v>
      </c>
      <c r="B45" s="130">
        <f>'Sparebank 1'!F7+'Sparebank 1'!F22+'Sparebank 1'!F66+'Sparebank 1'!F135</f>
        <v>1184786.1743300001</v>
      </c>
      <c r="C45" s="130">
        <f>'Sparebank 1'!G7+'Sparebank 1'!G22+'Sparebank 1'!G66+'Sparebank 1'!G135</f>
        <v>1354315.19411</v>
      </c>
      <c r="D45" s="104">
        <f t="shared" si="5"/>
        <v>14.3</v>
      </c>
      <c r="E45" s="383">
        <f t="shared" si="6"/>
        <v>9.7646251447125678</v>
      </c>
      <c r="F45" s="103"/>
      <c r="G45" s="176">
        <f>'Sparebank 1'!F10+'Sparebank 1'!F29+'Sparebank 1'!F87+'Sparebank 1'!F136</f>
        <v>31469716.431260001</v>
      </c>
      <c r="H45" s="176">
        <f>'Sparebank 1'!G10+'Sparebank 1'!G29+'Sparebank 1'!G87+'Sparebank 1'!G136</f>
        <v>47144820.956519999</v>
      </c>
      <c r="I45" s="104">
        <f t="shared" si="7"/>
        <v>49.8</v>
      </c>
      <c r="J45" s="383">
        <f t="shared" si="8"/>
        <v>9.6947564898150382</v>
      </c>
      <c r="K45" s="139"/>
    </row>
    <row r="46" spans="1:16" ht="18.75" x14ac:dyDescent="0.3">
      <c r="A46" s="86" t="s">
        <v>96</v>
      </c>
      <c r="B46" s="130">
        <f>'Storebrand Livsforsikring'!F7+'Storebrand Livsforsikring'!F22+'Storebrand Livsforsikring'!F66+'Storebrand Livsforsikring'!F135</f>
        <v>3276242.0279999999</v>
      </c>
      <c r="C46" s="130">
        <f>'Storebrand Livsforsikring'!G7+'Storebrand Livsforsikring'!G22+'Storebrand Livsforsikring'!G66+'Storebrand Livsforsikring'!G135</f>
        <v>3478515.0109999999</v>
      </c>
      <c r="D46" s="104">
        <f t="shared" si="5"/>
        <v>6.2</v>
      </c>
      <c r="E46" s="383">
        <f t="shared" si="6"/>
        <v>25.080125579623306</v>
      </c>
      <c r="F46" s="103"/>
      <c r="G46" s="176">
        <f>'Storebrand Livsforsikring'!F10+'Storebrand Livsforsikring'!F29+'Storebrand Livsforsikring'!F87+'Storebrand Livsforsikring'!F136</f>
        <v>105148557.005</v>
      </c>
      <c r="H46" s="176">
        <f>'Storebrand Livsforsikring'!G10+'Storebrand Livsforsikring'!G29+'Storebrand Livsforsikring'!G87+'Storebrand Livsforsikring'!G136</f>
        <v>144290948.79499999</v>
      </c>
      <c r="I46" s="104">
        <f t="shared" si="7"/>
        <v>37.200000000000003</v>
      </c>
      <c r="J46" s="383">
        <f t="shared" si="8"/>
        <v>29.671670904043093</v>
      </c>
      <c r="K46" s="139"/>
    </row>
    <row r="47" spans="1:16" s="111" customFormat="1" ht="18.75" x14ac:dyDescent="0.3">
      <c r="A47" s="101" t="s">
        <v>100</v>
      </c>
      <c r="B47" s="219">
        <f>SUM(B37:B46)</f>
        <v>11672756.64587</v>
      </c>
      <c r="C47" s="219">
        <f>SUM(C37:C46)</f>
        <v>13869607.62998</v>
      </c>
      <c r="D47" s="104">
        <f t="shared" si="5"/>
        <v>18.8</v>
      </c>
      <c r="E47" s="384">
        <f>SUM(E37:E46)</f>
        <v>100</v>
      </c>
      <c r="F47" s="109"/>
      <c r="G47" s="178">
        <f>SUM(G37:G46)</f>
        <v>349107578.17365998</v>
      </c>
      <c r="H47" s="178">
        <f>SUM(H37:H46)</f>
        <v>486291955.925336</v>
      </c>
      <c r="I47" s="104">
        <f t="shared" si="7"/>
        <v>39.299999999999997</v>
      </c>
      <c r="J47" s="384">
        <f>SUM(J37:J46)</f>
        <v>100</v>
      </c>
      <c r="K47" s="139"/>
    </row>
    <row r="48" spans="1:16" ht="18.75" x14ac:dyDescent="0.3">
      <c r="A48" s="101"/>
      <c r="B48" s="130"/>
      <c r="C48" s="109"/>
      <c r="D48" s="110"/>
      <c r="E48" s="383"/>
      <c r="F48" s="109"/>
      <c r="G48" s="178"/>
      <c r="H48" s="109"/>
      <c r="I48" s="110"/>
      <c r="J48" s="384"/>
      <c r="K48" s="139"/>
    </row>
    <row r="49" spans="1:15" ht="18.75" x14ac:dyDescent="0.3">
      <c r="A49" s="86"/>
      <c r="B49" s="130"/>
      <c r="C49" s="103"/>
      <c r="D49" s="104"/>
      <c r="E49" s="383"/>
      <c r="F49" s="103"/>
      <c r="G49" s="176"/>
      <c r="H49" s="103"/>
      <c r="I49" s="104"/>
      <c r="J49" s="383"/>
      <c r="K49" s="139"/>
    </row>
    <row r="50" spans="1:15" ht="18.75" x14ac:dyDescent="0.3">
      <c r="A50" s="101" t="s">
        <v>101</v>
      </c>
      <c r="B50" s="130"/>
      <c r="C50" s="103"/>
      <c r="D50" s="104"/>
      <c r="E50" s="383"/>
      <c r="F50" s="103"/>
      <c r="G50" s="176"/>
      <c r="H50" s="103"/>
      <c r="I50" s="104"/>
      <c r="J50" s="383"/>
      <c r="K50" s="139"/>
      <c r="L50" s="204"/>
      <c r="M50" s="204"/>
      <c r="N50" s="181"/>
      <c r="O50" s="139"/>
    </row>
    <row r="51" spans="1:15" ht="18.75" x14ac:dyDescent="0.3">
      <c r="A51" s="86" t="s">
        <v>396</v>
      </c>
      <c r="B51" s="130">
        <f>B9</f>
        <v>0</v>
      </c>
      <c r="C51" s="130">
        <f>C9</f>
        <v>47791</v>
      </c>
      <c r="D51" s="104" t="str">
        <f>IF(B51=0, "    ---- ", IF(ABS(ROUND(100/B51*C51-100,1))&lt;999,ROUND(100/B51*C51-100,1),IF(ROUND(100/B51*C51-100,1)&gt;999,999,-999)))</f>
        <v xml:space="preserve">    ---- </v>
      </c>
      <c r="E51" s="383">
        <f>100/C$77*C51</f>
        <v>0.15689750388935611</v>
      </c>
      <c r="F51" s="103"/>
      <c r="G51" s="176">
        <f>G9</f>
        <v>0</v>
      </c>
      <c r="H51" s="176">
        <f>H9</f>
        <v>0</v>
      </c>
      <c r="I51" s="104"/>
      <c r="J51" s="383">
        <f>100/H$77*H51</f>
        <v>0</v>
      </c>
      <c r="K51" s="139"/>
      <c r="L51" s="204"/>
      <c r="M51" s="204"/>
      <c r="N51" s="181"/>
      <c r="O51" s="139"/>
    </row>
    <row r="52" spans="1:15" ht="18.75" x14ac:dyDescent="0.3">
      <c r="A52" s="107" t="s">
        <v>83</v>
      </c>
      <c r="B52" s="130">
        <f>B10+B37</f>
        <v>665680.31499999994</v>
      </c>
      <c r="C52" s="103">
        <f>C10+C37</f>
        <v>711608.49799999991</v>
      </c>
      <c r="D52" s="104">
        <f t="shared" ref="D52:D76" si="9">IF(B52=0, "    ---- ", IF(ABS(ROUND(100/B52*C52-100,1))&lt;999,ROUND(100/B52*C52-100,1),IF(ROUND(100/B52*C52-100,1)&gt;999,999,-999)))</f>
        <v>6.9</v>
      </c>
      <c r="E52" s="383">
        <f t="shared" ref="E52:E75" si="10">100/C$77*C52</f>
        <v>2.3362055006728011</v>
      </c>
      <c r="F52" s="103"/>
      <c r="G52" s="176">
        <f>G10+G37</f>
        <v>19710060.541999999</v>
      </c>
      <c r="H52" s="176">
        <f>H10+H37</f>
        <v>26543533.364</v>
      </c>
      <c r="I52" s="104">
        <f t="shared" ref="I52:I73" si="11">IF(G52=0, "    ---- ", IF(ABS(ROUND(100/G52*H52-100,1))&lt;999,ROUND(100/G52*H52-100,1),IF(ROUND(100/G52*H52-100,1)&gt;999,999,-999)))</f>
        <v>34.700000000000003</v>
      </c>
      <c r="J52" s="383">
        <f t="shared" ref="J52:J75" si="12">100/H$77*H52</f>
        <v>1.6799865420916635</v>
      </c>
      <c r="K52" s="139"/>
      <c r="L52" s="204"/>
      <c r="M52" s="204"/>
      <c r="N52" s="181"/>
      <c r="O52" s="139"/>
    </row>
    <row r="53" spans="1:15" ht="18.75" x14ac:dyDescent="0.3">
      <c r="A53" s="86" t="s">
        <v>392</v>
      </c>
      <c r="B53" s="103">
        <f>B11+B38</f>
        <v>180234</v>
      </c>
      <c r="C53" s="103">
        <f>+C11+C38</f>
        <v>0</v>
      </c>
      <c r="D53" s="104">
        <f>IF(B53=0, "    ---- ", IF(ABS(ROUND(100/B53*C53-100,1))&lt;999,ROUND(100/B53*C53-100,1),IF(ROUND(100/B53*C53-100,1)&gt;999,999,-999)))</f>
        <v>-100</v>
      </c>
      <c r="E53" s="383">
        <f t="shared" si="10"/>
        <v>0</v>
      </c>
      <c r="F53" s="103"/>
      <c r="G53" s="176">
        <f>G11+G38</f>
        <v>6316620</v>
      </c>
      <c r="H53" s="176">
        <f>H11+H38</f>
        <v>0</v>
      </c>
      <c r="I53" s="104">
        <f>IF(G53=0, "    ---- ", IF(ABS(ROUND(100/G53*H53-100,1))&lt;999,ROUND(100/G53*H53-100,1),IF(ROUND(100/G53*H53-100,1)&gt;999,999,-999)))</f>
        <v>-100</v>
      </c>
      <c r="J53" s="383">
        <f t="shared" si="12"/>
        <v>0</v>
      </c>
      <c r="K53" s="139"/>
      <c r="L53" s="204"/>
      <c r="M53" s="204"/>
      <c r="N53" s="181"/>
      <c r="O53" s="139"/>
    </row>
    <row r="54" spans="1:15" ht="18.75" x14ac:dyDescent="0.3">
      <c r="A54" s="86" t="s">
        <v>84</v>
      </c>
      <c r="B54" s="130">
        <f>B12+B39</f>
        <v>3849798.4730000002</v>
      </c>
      <c r="C54" s="103">
        <f>+C12+C39</f>
        <v>4207629.3979900004</v>
      </c>
      <c r="D54" s="104">
        <f t="shared" si="9"/>
        <v>9.3000000000000007</v>
      </c>
      <c r="E54" s="383">
        <f t="shared" si="10"/>
        <v>13.813616577098307</v>
      </c>
      <c r="F54" s="103"/>
      <c r="G54" s="176">
        <f>+G12+G39</f>
        <v>281954826.54699999</v>
      </c>
      <c r="H54" s="176">
        <f>+H12+H39</f>
        <v>319249577.39629596</v>
      </c>
      <c r="I54" s="104">
        <f t="shared" si="11"/>
        <v>13.2</v>
      </c>
      <c r="J54" s="383">
        <f t="shared" si="12"/>
        <v>20.205862808063046</v>
      </c>
      <c r="K54" s="139"/>
      <c r="L54" s="204"/>
      <c r="M54" s="204"/>
      <c r="N54" s="181"/>
      <c r="O54" s="139"/>
    </row>
    <row r="55" spans="1:15" ht="18.75" x14ac:dyDescent="0.3">
      <c r="A55" s="86" t="s">
        <v>85</v>
      </c>
      <c r="B55" s="130">
        <f t="shared" ref="B55:C57" si="13">B13</f>
        <v>79342</v>
      </c>
      <c r="C55" s="103">
        <f t="shared" si="13"/>
        <v>86830</v>
      </c>
      <c r="D55" s="104">
        <f t="shared" si="9"/>
        <v>9.4</v>
      </c>
      <c r="E55" s="383">
        <f t="shared" si="10"/>
        <v>0.28506225571159405</v>
      </c>
      <c r="F55" s="103"/>
      <c r="G55" s="176">
        <f t="shared" ref="G55:H57" si="14">G13</f>
        <v>0</v>
      </c>
      <c r="H55" s="176">
        <f t="shared" si="14"/>
        <v>0</v>
      </c>
      <c r="I55" s="104"/>
      <c r="J55" s="383">
        <f t="shared" si="12"/>
        <v>0</v>
      </c>
      <c r="K55" s="139"/>
      <c r="L55" s="204"/>
      <c r="M55" s="204"/>
      <c r="N55" s="181"/>
      <c r="O55" s="139"/>
    </row>
    <row r="56" spans="1:15" ht="18.75" x14ac:dyDescent="0.3">
      <c r="A56" s="86" t="s">
        <v>397</v>
      </c>
      <c r="B56" s="130">
        <f t="shared" si="13"/>
        <v>0</v>
      </c>
      <c r="C56" s="130">
        <f t="shared" si="13"/>
        <v>8328</v>
      </c>
      <c r="D56" s="104" t="str">
        <f>IF(B56=0, "    ---- ", IF(ABS(ROUND(100/B56*C56-100,1))&lt;999,ROUND(100/B56*C56-100,1),IF(ROUND(100/B56*C56-100,1)&gt;999,999,-999)))</f>
        <v xml:space="preserve">    ---- </v>
      </c>
      <c r="E56" s="383">
        <f t="shared" si="10"/>
        <v>2.7340763164415006E-2</v>
      </c>
      <c r="F56" s="103"/>
      <c r="G56" s="176">
        <f t="shared" si="14"/>
        <v>0</v>
      </c>
      <c r="H56" s="176">
        <f t="shared" si="14"/>
        <v>0</v>
      </c>
      <c r="I56" s="104"/>
      <c r="J56" s="383">
        <f t="shared" si="12"/>
        <v>0</v>
      </c>
      <c r="K56" s="139"/>
      <c r="L56" s="204"/>
      <c r="M56" s="204"/>
      <c r="N56" s="181"/>
      <c r="O56" s="139"/>
    </row>
    <row r="57" spans="1:15" ht="18.75" x14ac:dyDescent="0.3">
      <c r="A57" s="107" t="s">
        <v>378</v>
      </c>
      <c r="B57" s="130">
        <f t="shared" si="13"/>
        <v>825203.29516999994</v>
      </c>
      <c r="C57" s="130">
        <f t="shared" si="13"/>
        <v>846741.58648000006</v>
      </c>
      <c r="D57" s="104">
        <f>IF(B57=0, "    ---- ", IF(ABS(ROUND(100/B57*C57-100,1))&lt;999,ROUND(100/B57*C57-100,1),IF(ROUND(100/B57*C57-100,1)&gt;999,999,-999)))</f>
        <v>2.6</v>
      </c>
      <c r="E57" s="383">
        <f t="shared" si="10"/>
        <v>2.7798464430128131</v>
      </c>
      <c r="F57" s="103"/>
      <c r="G57" s="176">
        <f t="shared" si="14"/>
        <v>3426723.5940800002</v>
      </c>
      <c r="H57" s="176">
        <f t="shared" si="14"/>
        <v>3914911.94576</v>
      </c>
      <c r="I57" s="104">
        <f>IF(G57=0, "    ---- ", IF(ABS(ROUND(100/G57*H57-100,1))&lt;999,ROUND(100/G57*H57-100,1),IF(ROUND(100/G57*H57-100,1)&gt;999,999,-999)))</f>
        <v>14.2</v>
      </c>
      <c r="J57" s="383">
        <f t="shared" si="12"/>
        <v>0.24778160812873642</v>
      </c>
      <c r="K57" s="139"/>
      <c r="L57" s="204"/>
      <c r="M57" s="204"/>
      <c r="N57" s="181"/>
      <c r="O57" s="139"/>
    </row>
    <row r="58" spans="1:15" ht="18.75" x14ac:dyDescent="0.3">
      <c r="A58" s="107" t="s">
        <v>86</v>
      </c>
      <c r="B58" s="130">
        <f>B16+B40</f>
        <v>614405</v>
      </c>
      <c r="C58" s="105">
        <f>C16+C40</f>
        <v>462024</v>
      </c>
      <c r="D58" s="106">
        <f t="shared" si="9"/>
        <v>-24.8</v>
      </c>
      <c r="E58" s="385">
        <f t="shared" si="10"/>
        <v>1.516821416939923</v>
      </c>
      <c r="F58" s="105"/>
      <c r="G58" s="177">
        <f>G16+G40</f>
        <v>5107775</v>
      </c>
      <c r="H58" s="177">
        <f>H16+H40</f>
        <v>1220716</v>
      </c>
      <c r="I58" s="104">
        <f t="shared" si="11"/>
        <v>-76.099999999999994</v>
      </c>
      <c r="J58" s="383">
        <f t="shared" si="12"/>
        <v>7.7261245652297819E-2</v>
      </c>
      <c r="K58" s="139"/>
      <c r="L58" s="207"/>
      <c r="M58" s="207"/>
      <c r="N58" s="181"/>
      <c r="O58" s="139"/>
    </row>
    <row r="59" spans="1:15" ht="18.75" x14ac:dyDescent="0.3">
      <c r="A59" s="107" t="s">
        <v>87</v>
      </c>
      <c r="B59" s="130">
        <f>B17</f>
        <v>838</v>
      </c>
      <c r="C59" s="105">
        <f>C17</f>
        <v>5032.16</v>
      </c>
      <c r="D59" s="106">
        <f t="shared" si="9"/>
        <v>500.5</v>
      </c>
      <c r="E59" s="385">
        <f t="shared" si="10"/>
        <v>1.6520544520346136E-2</v>
      </c>
      <c r="F59" s="105"/>
      <c r="G59" s="177">
        <f>G17</f>
        <v>0</v>
      </c>
      <c r="H59" s="177">
        <f>H17</f>
        <v>0</v>
      </c>
      <c r="I59" s="104"/>
      <c r="J59" s="383">
        <f t="shared" si="12"/>
        <v>0</v>
      </c>
      <c r="K59" s="139"/>
      <c r="L59" s="207"/>
      <c r="M59" s="207"/>
      <c r="N59" s="181"/>
      <c r="O59" s="139"/>
    </row>
    <row r="60" spans="1:15" ht="18.75" x14ac:dyDescent="0.3">
      <c r="A60" s="86" t="s">
        <v>88</v>
      </c>
      <c r="B60" s="103">
        <f>B18</f>
        <v>1082036</v>
      </c>
      <c r="C60" s="103">
        <f>+C18</f>
        <v>1275735.1170000001</v>
      </c>
      <c r="D60" s="104">
        <f t="shared" si="9"/>
        <v>17.899999999999999</v>
      </c>
      <c r="E60" s="383">
        <f t="shared" si="10"/>
        <v>4.1882290699356712</v>
      </c>
      <c r="F60" s="103"/>
      <c r="G60" s="176">
        <f>+G18</f>
        <v>0</v>
      </c>
      <c r="H60" s="176">
        <f>+H18</f>
        <v>0</v>
      </c>
      <c r="I60" s="104"/>
      <c r="J60" s="383">
        <f t="shared" si="12"/>
        <v>0</v>
      </c>
      <c r="K60" s="139"/>
      <c r="L60" s="204"/>
      <c r="M60" s="204"/>
      <c r="N60" s="181"/>
      <c r="O60" s="139"/>
    </row>
    <row r="61" spans="1:15" ht="18.75" x14ac:dyDescent="0.3">
      <c r="A61" s="86" t="s">
        <v>89</v>
      </c>
      <c r="B61" s="103">
        <f>B19+B41</f>
        <v>1036269</v>
      </c>
      <c r="C61" s="103">
        <f>C19+C41</f>
        <v>1146607</v>
      </c>
      <c r="D61" s="104">
        <f t="shared" si="9"/>
        <v>10.6</v>
      </c>
      <c r="E61" s="383">
        <f t="shared" si="10"/>
        <v>3.7643024050985106</v>
      </c>
      <c r="F61" s="103"/>
      <c r="G61" s="176">
        <f>G19+G41</f>
        <v>33463485</v>
      </c>
      <c r="H61" s="176">
        <f>H19+H41</f>
        <v>44197699</v>
      </c>
      <c r="I61" s="104">
        <f t="shared" si="11"/>
        <v>32.1</v>
      </c>
      <c r="J61" s="383">
        <f t="shared" si="12"/>
        <v>2.7973494897300584</v>
      </c>
      <c r="K61" s="139"/>
      <c r="L61" s="204"/>
      <c r="M61" s="204"/>
      <c r="N61" s="181"/>
      <c r="O61" s="139"/>
    </row>
    <row r="62" spans="1:15" ht="18.75" x14ac:dyDescent="0.3">
      <c r="A62" s="86" t="s">
        <v>90</v>
      </c>
      <c r="B62" s="103">
        <f>B20</f>
        <v>8969.8688000000002</v>
      </c>
      <c r="C62" s="103">
        <f>+C20</f>
        <v>8840.2157599999991</v>
      </c>
      <c r="D62" s="104">
        <f t="shared" si="9"/>
        <v>-1.4</v>
      </c>
      <c r="E62" s="383">
        <f t="shared" si="10"/>
        <v>2.9022363762786864E-2</v>
      </c>
      <c r="F62" s="103"/>
      <c r="G62" s="176">
        <f>+G20</f>
        <v>27018.357819261299</v>
      </c>
      <c r="H62" s="176">
        <f>+H20</f>
        <v>18807.375</v>
      </c>
      <c r="I62" s="104">
        <f t="shared" si="11"/>
        <v>-30.4</v>
      </c>
      <c r="J62" s="383">
        <f t="shared" si="12"/>
        <v>1.1903515805067556E-3</v>
      </c>
      <c r="K62" s="139"/>
      <c r="L62" s="204"/>
      <c r="M62" s="204"/>
      <c r="N62" s="181"/>
      <c r="O62" s="139"/>
    </row>
    <row r="63" spans="1:15" ht="18.75" x14ac:dyDescent="0.3">
      <c r="A63" s="86" t="s">
        <v>91</v>
      </c>
      <c r="B63" s="103">
        <f>B21</f>
        <v>161371.50699999998</v>
      </c>
      <c r="C63" s="103">
        <f>+C21</f>
        <v>170115.003490506</v>
      </c>
      <c r="D63" s="104">
        <f t="shared" si="9"/>
        <v>5.4</v>
      </c>
      <c r="E63" s="383">
        <f t="shared" si="10"/>
        <v>0.55848631377852509</v>
      </c>
      <c r="F63" s="103"/>
      <c r="G63" s="176">
        <f>+G21</f>
        <v>0</v>
      </c>
      <c r="H63" s="176">
        <f>+H21</f>
        <v>0</v>
      </c>
      <c r="I63" s="104"/>
      <c r="J63" s="383">
        <f t="shared" si="12"/>
        <v>0</v>
      </c>
      <c r="K63" s="139"/>
      <c r="L63" s="204"/>
      <c r="M63" s="204"/>
      <c r="N63" s="181"/>
      <c r="O63" s="139"/>
    </row>
    <row r="64" spans="1:15" ht="18.75" x14ac:dyDescent="0.3">
      <c r="A64" s="86" t="s">
        <v>383</v>
      </c>
      <c r="B64" s="103">
        <f>B22</f>
        <v>3495.9480000000003</v>
      </c>
      <c r="C64" s="103">
        <f>C22</f>
        <v>9365</v>
      </c>
      <c r="D64" s="104">
        <f>IF(B64=0, "    ---- ", IF(ABS(ROUND(100/B64*C64-100,1))&lt;999,ROUND(100/B64*C64-100,1),IF(ROUND(100/B64*C64-100,1)&gt;999,999,-999)))</f>
        <v>167.9</v>
      </c>
      <c r="E64" s="383">
        <f t="shared" si="10"/>
        <v>3.0745226589186665E-2</v>
      </c>
      <c r="F64" s="103"/>
      <c r="G64" s="176">
        <f>G22</f>
        <v>0</v>
      </c>
      <c r="H64" s="176">
        <f>H22</f>
        <v>0</v>
      </c>
      <c r="I64" s="104"/>
      <c r="J64" s="383">
        <f t="shared" si="12"/>
        <v>0</v>
      </c>
      <c r="K64" s="139"/>
      <c r="L64" s="204"/>
      <c r="M64" s="204"/>
      <c r="N64" s="181"/>
      <c r="O64" s="139"/>
    </row>
    <row r="65" spans="1:235" ht="18.75" x14ac:dyDescent="0.3">
      <c r="A65" s="86" t="s">
        <v>63</v>
      </c>
      <c r="B65" s="105">
        <f>B23+B42</f>
        <v>7085817.3088100003</v>
      </c>
      <c r="C65" s="105">
        <f>C23+C42</f>
        <v>7043406.2009999994</v>
      </c>
      <c r="D65" s="106">
        <f t="shared" si="9"/>
        <v>-0.6</v>
      </c>
      <c r="E65" s="385">
        <f t="shared" si="10"/>
        <v>23.12345110618552</v>
      </c>
      <c r="F65" s="105"/>
      <c r="G65" s="177">
        <f>G23+G42</f>
        <v>510657255.95537001</v>
      </c>
      <c r="H65" s="177">
        <f>H23+H42</f>
        <v>534326115.01060003</v>
      </c>
      <c r="I65" s="104">
        <f t="shared" si="11"/>
        <v>4.5999999999999996</v>
      </c>
      <c r="J65" s="383">
        <f t="shared" si="12"/>
        <v>33.81843215807109</v>
      </c>
      <c r="K65" s="139"/>
      <c r="L65" s="207"/>
      <c r="M65" s="207"/>
      <c r="N65" s="181"/>
      <c r="O65" s="139"/>
    </row>
    <row r="66" spans="1:235" ht="18.75" x14ac:dyDescent="0.3">
      <c r="A66" s="86" t="s">
        <v>93</v>
      </c>
      <c r="B66" s="103">
        <f>B24</f>
        <v>156137.83600000001</v>
      </c>
      <c r="C66" s="103">
        <f>C24</f>
        <v>181165.234</v>
      </c>
      <c r="D66" s="104">
        <f t="shared" si="9"/>
        <v>16</v>
      </c>
      <c r="E66" s="383">
        <f t="shared" si="10"/>
        <v>0.59476413981986376</v>
      </c>
      <c r="F66" s="103"/>
      <c r="G66" s="176">
        <f>G24</f>
        <v>39904.18694</v>
      </c>
      <c r="H66" s="176">
        <f>H24</f>
        <v>61664.775000000001</v>
      </c>
      <c r="I66" s="104">
        <f t="shared" si="11"/>
        <v>54.5</v>
      </c>
      <c r="J66" s="383">
        <f t="shared" si="12"/>
        <v>3.9028712078556138E-3</v>
      </c>
      <c r="K66" s="139"/>
      <c r="L66" s="204"/>
      <c r="M66" s="204"/>
      <c r="N66" s="181"/>
      <c r="O66" s="139"/>
    </row>
    <row r="67" spans="1:235" ht="18.75" x14ac:dyDescent="0.3">
      <c r="A67" s="108" t="s">
        <v>389</v>
      </c>
      <c r="B67" s="103">
        <f>B25</f>
        <v>30906</v>
      </c>
      <c r="C67" s="103">
        <f>C25</f>
        <v>32788</v>
      </c>
      <c r="D67" s="104">
        <f t="shared" si="9"/>
        <v>6.1</v>
      </c>
      <c r="E67" s="383">
        <f t="shared" si="10"/>
        <v>0.1076427644854514</v>
      </c>
      <c r="F67" s="103"/>
      <c r="G67" s="176">
        <f>G25</f>
        <v>0</v>
      </c>
      <c r="H67" s="176">
        <f>H25</f>
        <v>0</v>
      </c>
      <c r="I67" s="104"/>
      <c r="J67" s="383">
        <f t="shared" si="12"/>
        <v>0</v>
      </c>
      <c r="K67" s="139"/>
      <c r="L67" s="204"/>
      <c r="M67" s="204"/>
      <c r="N67" s="181"/>
      <c r="O67" s="139"/>
    </row>
    <row r="68" spans="1:235" ht="18.75" x14ac:dyDescent="0.3">
      <c r="A68" s="107" t="s">
        <v>65</v>
      </c>
      <c r="B68" s="103">
        <f>B26+B43</f>
        <v>3685624.3210957744</v>
      </c>
      <c r="C68" s="103">
        <f>+C26+C43</f>
        <v>5232610.8017199999</v>
      </c>
      <c r="D68" s="104">
        <f t="shared" si="9"/>
        <v>42</v>
      </c>
      <c r="E68" s="383">
        <f t="shared" si="10"/>
        <v>17.178623038110739</v>
      </c>
      <c r="F68" s="103"/>
      <c r="G68" s="176">
        <f>+G26+G43</f>
        <v>121329760.00015363</v>
      </c>
      <c r="H68" s="176">
        <f>+H26+H43</f>
        <v>159783300.00006199</v>
      </c>
      <c r="I68" s="104">
        <f t="shared" si="11"/>
        <v>31.7</v>
      </c>
      <c r="J68" s="383">
        <f t="shared" si="12"/>
        <v>10.112963860914077</v>
      </c>
      <c r="K68" s="139"/>
      <c r="L68" s="204"/>
      <c r="M68" s="204"/>
      <c r="N68" s="181"/>
      <c r="O68" s="139"/>
    </row>
    <row r="69" spans="1:235" ht="18.75" customHeight="1" x14ac:dyDescent="0.3">
      <c r="A69" s="107" t="s">
        <v>95</v>
      </c>
      <c r="B69" s="103">
        <f>B27</f>
        <v>595788.33617999998</v>
      </c>
      <c r="C69" s="103">
        <f>C27</f>
        <v>823365</v>
      </c>
      <c r="D69" s="104">
        <f t="shared" si="9"/>
        <v>38.200000000000003</v>
      </c>
      <c r="E69" s="383">
        <f t="shared" si="10"/>
        <v>2.70310128036366</v>
      </c>
      <c r="F69" s="103"/>
      <c r="G69" s="176">
        <f>G27</f>
        <v>78512396.264768496</v>
      </c>
      <c r="H69" s="176">
        <f>H27</f>
        <v>84956302</v>
      </c>
      <c r="I69" s="104">
        <f t="shared" si="11"/>
        <v>8.1999999999999993</v>
      </c>
      <c r="J69" s="383">
        <f t="shared" si="12"/>
        <v>5.377032592783908</v>
      </c>
      <c r="K69" s="139"/>
      <c r="L69" s="204"/>
      <c r="M69" s="204"/>
      <c r="N69" s="181"/>
      <c r="O69" s="139"/>
    </row>
    <row r="70" spans="1:235" ht="18.75" customHeight="1" x14ac:dyDescent="0.3">
      <c r="A70" s="107" t="s">
        <v>340</v>
      </c>
      <c r="B70" s="103">
        <f>B28</f>
        <v>196210.82700126772</v>
      </c>
      <c r="C70" s="103">
        <f>C28</f>
        <v>212752.66328546518</v>
      </c>
      <c r="D70" s="104">
        <f>IF(B70=0, "    ---- ", IF(ABS(ROUND(100/B70*C70-100,1))&lt;999,ROUND(100/B70*C70-100,1),IF(ROUND(100/B70*C70-100,1)&gt;999,999,-999)))</f>
        <v>8.4</v>
      </c>
      <c r="E70" s="383">
        <f t="shared" si="10"/>
        <v>0.69846543941960082</v>
      </c>
      <c r="F70" s="103"/>
      <c r="G70" s="176">
        <f>G28</f>
        <v>0</v>
      </c>
      <c r="H70" s="176">
        <f>H28</f>
        <v>0</v>
      </c>
      <c r="I70" s="104"/>
      <c r="J70" s="383">
        <f t="shared" si="12"/>
        <v>0</v>
      </c>
      <c r="K70" s="139"/>
      <c r="L70" s="204"/>
      <c r="M70" s="204"/>
      <c r="N70" s="181"/>
      <c r="O70" s="139"/>
    </row>
    <row r="71" spans="1:235" ht="18.75" customHeight="1" x14ac:dyDescent="0.3">
      <c r="A71" s="107" t="s">
        <v>71</v>
      </c>
      <c r="B71" s="103">
        <f>B44</f>
        <v>40693.550899999995</v>
      </c>
      <c r="C71" s="103">
        <f>C44</f>
        <v>43468.250899999999</v>
      </c>
      <c r="D71" s="104">
        <f t="shared" si="9"/>
        <v>6.8</v>
      </c>
      <c r="E71" s="383">
        <f t="shared" si="10"/>
        <v>0.14270595017150209</v>
      </c>
      <c r="F71" s="103"/>
      <c r="G71" s="176">
        <f>G44</f>
        <v>2269628.5062499996</v>
      </c>
      <c r="H71" s="176">
        <f>H44</f>
        <v>3051253.7135600001</v>
      </c>
      <c r="I71" s="104">
        <f t="shared" si="11"/>
        <v>34.4</v>
      </c>
      <c r="J71" s="383">
        <f t="shared" si="12"/>
        <v>0.19311917162619735</v>
      </c>
      <c r="K71" s="139"/>
      <c r="L71" s="204"/>
      <c r="M71" s="204"/>
      <c r="N71" s="181"/>
      <c r="O71" s="139"/>
    </row>
    <row r="72" spans="1:235" ht="18.75" customHeight="1" x14ac:dyDescent="0.3">
      <c r="A72" s="86" t="s">
        <v>67</v>
      </c>
      <c r="B72" s="103">
        <f>B29+B45</f>
        <v>1435108.1610900001</v>
      </c>
      <c r="C72" s="103">
        <f>+C29+C45</f>
        <v>1622256.52251</v>
      </c>
      <c r="D72" s="104">
        <f t="shared" si="9"/>
        <v>13</v>
      </c>
      <c r="E72" s="383">
        <f t="shared" si="10"/>
        <v>5.3258563129050662</v>
      </c>
      <c r="F72" s="103"/>
      <c r="G72" s="176">
        <f>+G29+G45</f>
        <v>50693843.958350003</v>
      </c>
      <c r="H72" s="176">
        <f>+H29+H45</f>
        <v>66772744.599590003</v>
      </c>
      <c r="I72" s="104">
        <f t="shared" si="11"/>
        <v>31.7</v>
      </c>
      <c r="J72" s="383">
        <f t="shared" si="12"/>
        <v>4.2261635166468414</v>
      </c>
      <c r="K72" s="139"/>
      <c r="L72" s="204"/>
      <c r="M72" s="204"/>
      <c r="N72" s="181"/>
      <c r="O72" s="139"/>
    </row>
    <row r="73" spans="1:235" ht="18.75" customHeight="1" x14ac:dyDescent="0.3">
      <c r="A73" s="107" t="s">
        <v>96</v>
      </c>
      <c r="B73" s="103">
        <f>B46+B30</f>
        <v>5817180.0350000001</v>
      </c>
      <c r="C73" s="103">
        <f>+C30+C46</f>
        <v>5760703.5959999999</v>
      </c>
      <c r="D73" s="104">
        <f t="shared" si="9"/>
        <v>-1</v>
      </c>
      <c r="E73" s="383">
        <f t="shared" si="10"/>
        <v>18.912347824042971</v>
      </c>
      <c r="F73" s="103"/>
      <c r="G73" s="176">
        <f>+G30+G46</f>
        <v>287424332.58300006</v>
      </c>
      <c r="H73" s="176">
        <f>+H30+H46</f>
        <v>335888255.58899999</v>
      </c>
      <c r="I73" s="104">
        <f t="shared" si="11"/>
        <v>16.899999999999999</v>
      </c>
      <c r="J73" s="383">
        <f t="shared" si="12"/>
        <v>21.258953783503717</v>
      </c>
      <c r="K73" s="139"/>
      <c r="L73" s="204"/>
      <c r="M73" s="204"/>
      <c r="N73" s="181"/>
      <c r="O73" s="139"/>
    </row>
    <row r="74" spans="1:235" ht="18.75" customHeight="1" x14ac:dyDescent="0.3">
      <c r="A74" s="107" t="s">
        <v>97</v>
      </c>
      <c r="B74" s="103">
        <f>B31</f>
        <v>0</v>
      </c>
      <c r="C74" s="103">
        <f>+C31</f>
        <v>364</v>
      </c>
      <c r="D74" s="104" t="str">
        <f t="shared" si="9"/>
        <v xml:space="preserve">    ---- </v>
      </c>
      <c r="E74" s="383">
        <f t="shared" si="10"/>
        <v>1.1950093409998873E-3</v>
      </c>
      <c r="F74" s="103"/>
      <c r="G74" s="176">
        <f t="shared" ref="G74:H76" si="15">+G31</f>
        <v>0</v>
      </c>
      <c r="H74" s="176">
        <f t="shared" si="15"/>
        <v>0</v>
      </c>
      <c r="I74" s="104"/>
      <c r="J74" s="383">
        <f t="shared" si="12"/>
        <v>0</v>
      </c>
      <c r="K74" s="139"/>
      <c r="L74" s="204"/>
      <c r="M74" s="204"/>
      <c r="N74" s="181"/>
      <c r="O74" s="139"/>
    </row>
    <row r="75" spans="1:235" ht="18.75" customHeight="1" x14ac:dyDescent="0.3">
      <c r="A75" s="107" t="s">
        <v>98</v>
      </c>
      <c r="B75" s="103">
        <f>B32</f>
        <v>510830.81199999998</v>
      </c>
      <c r="C75" s="103">
        <f>+C32</f>
        <v>519007.69999999995</v>
      </c>
      <c r="D75" s="104">
        <f t="shared" si="9"/>
        <v>1.6</v>
      </c>
      <c r="E75" s="383">
        <f t="shared" si="10"/>
        <v>1.7038984877771077</v>
      </c>
      <c r="F75" s="103"/>
      <c r="G75" s="176">
        <f t="shared" si="15"/>
        <v>0</v>
      </c>
      <c r="H75" s="176">
        <f t="shared" si="15"/>
        <v>0</v>
      </c>
      <c r="I75" s="104"/>
      <c r="J75" s="383">
        <f t="shared" si="12"/>
        <v>0</v>
      </c>
      <c r="K75" s="139"/>
      <c r="L75" s="204"/>
      <c r="M75" s="204"/>
      <c r="N75" s="181"/>
      <c r="O75" s="139"/>
    </row>
    <row r="76" spans="1:235" ht="18.75" x14ac:dyDescent="0.3">
      <c r="A76" s="190" t="s">
        <v>393</v>
      </c>
      <c r="B76" s="103">
        <f>B33</f>
        <v>1050</v>
      </c>
      <c r="C76" s="103">
        <f>C33</f>
        <v>1478</v>
      </c>
      <c r="D76" s="104">
        <f t="shared" si="9"/>
        <v>40.799999999999997</v>
      </c>
      <c r="E76" s="383">
        <f>100/C$34*C76</f>
        <v>8.9087636598156363E-3</v>
      </c>
      <c r="F76" s="190"/>
      <c r="G76" s="176">
        <f t="shared" si="15"/>
        <v>0</v>
      </c>
      <c r="H76" s="176">
        <f t="shared" si="15"/>
        <v>0</v>
      </c>
      <c r="I76" s="190"/>
      <c r="J76" s="383">
        <f>100/H$34*H76</f>
        <v>0</v>
      </c>
      <c r="K76" s="204"/>
    </row>
    <row r="77" spans="1:235" s="111" customFormat="1" ht="18.75" customHeight="1" x14ac:dyDescent="0.3">
      <c r="A77" s="113" t="s">
        <v>2</v>
      </c>
      <c r="B77" s="114">
        <f>SUM(B51:B76)</f>
        <v>28062990.595047045</v>
      </c>
      <c r="C77" s="114">
        <f>SUM(C51:C76)</f>
        <v>30460012.948135968</v>
      </c>
      <c r="D77" s="115">
        <f>IF(B77=0, "    ---- ", IF(ABS(ROUND(100/B77*C77-100,1))&lt;999,ROUND(100/B77*C77-100,1),IF(ROUND(100/B77*C77-100,1)&gt;999,999,-999)))</f>
        <v>8.5</v>
      </c>
      <c r="E77" s="386">
        <f>SUM(E51:E75)</f>
        <v>99.995147736796724</v>
      </c>
      <c r="F77" s="109"/>
      <c r="G77" s="180">
        <f>SUM(G51:G76)</f>
        <v>1400933630.4957314</v>
      </c>
      <c r="H77" s="180">
        <f>SUM(H51:H76)</f>
        <v>1579984880.768868</v>
      </c>
      <c r="I77" s="115">
        <f>IF(G77=0, "    ---- ", IF(ABS(ROUND(100/G77*H77-100,1))&lt;999,ROUND(100/G77*H77-100,1),IF(ROUND(100/G77*H77-100,1)&gt;999,999,-999)))</f>
        <v>12.8</v>
      </c>
      <c r="J77" s="386">
        <f>SUM(J51:J75)</f>
        <v>99.999999999999986</v>
      </c>
      <c r="K77" s="179"/>
      <c r="L77" s="206"/>
      <c r="M77" s="206"/>
      <c r="N77" s="138"/>
      <c r="O77" s="179"/>
    </row>
    <row r="78" spans="1:235" ht="18.75" customHeight="1" x14ac:dyDescent="0.3">
      <c r="A78" s="112" t="s">
        <v>102</v>
      </c>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2"/>
      <c r="AW78" s="112"/>
      <c r="AX78" s="112"/>
      <c r="AY78" s="112"/>
      <c r="AZ78" s="112"/>
      <c r="BA78" s="112"/>
      <c r="BB78" s="112"/>
      <c r="BC78" s="112"/>
      <c r="BD78" s="112"/>
      <c r="BE78" s="112"/>
      <c r="BF78" s="112"/>
      <c r="BG78" s="112"/>
      <c r="BH78" s="112"/>
      <c r="BI78" s="112"/>
      <c r="BJ78" s="112"/>
      <c r="BK78" s="112"/>
      <c r="BL78" s="112"/>
      <c r="BM78" s="112"/>
      <c r="BN78" s="112"/>
      <c r="BO78" s="112"/>
      <c r="BP78" s="112"/>
      <c r="BQ78" s="112"/>
      <c r="BR78" s="112"/>
      <c r="BS78" s="112"/>
      <c r="BT78" s="112"/>
      <c r="BU78" s="112"/>
      <c r="BV78" s="112"/>
      <c r="BW78" s="112"/>
      <c r="BX78" s="112"/>
      <c r="BY78" s="112"/>
      <c r="BZ78" s="112"/>
      <c r="CA78" s="112"/>
      <c r="CB78" s="112"/>
      <c r="CC78" s="112"/>
      <c r="CD78" s="112"/>
      <c r="CE78" s="112"/>
      <c r="CF78" s="112"/>
      <c r="CG78" s="112"/>
      <c r="CH78" s="112"/>
      <c r="CI78" s="112"/>
      <c r="CJ78" s="112"/>
      <c r="CK78" s="112"/>
      <c r="CL78" s="112"/>
      <c r="CM78" s="112"/>
      <c r="CN78" s="112"/>
      <c r="CO78" s="112"/>
      <c r="CP78" s="112"/>
      <c r="CQ78" s="112"/>
      <c r="CR78" s="112"/>
      <c r="CS78" s="112"/>
      <c r="CT78" s="112"/>
      <c r="CU78" s="112"/>
      <c r="CV78" s="112"/>
      <c r="CW78" s="112"/>
      <c r="CX78" s="112"/>
      <c r="CY78" s="112"/>
      <c r="CZ78" s="112"/>
      <c r="DA78" s="112"/>
      <c r="DB78" s="112"/>
      <c r="DC78" s="112"/>
      <c r="DD78" s="112"/>
      <c r="DE78" s="112"/>
      <c r="DF78" s="112"/>
      <c r="DG78" s="112"/>
      <c r="DH78" s="112"/>
      <c r="DI78" s="112"/>
      <c r="DJ78" s="112"/>
      <c r="DK78" s="112"/>
      <c r="DL78" s="112"/>
      <c r="DM78" s="112"/>
      <c r="DN78" s="112"/>
      <c r="DO78" s="112"/>
      <c r="DP78" s="112"/>
      <c r="DQ78" s="112"/>
      <c r="DR78" s="112"/>
      <c r="DS78" s="112"/>
      <c r="DT78" s="112"/>
      <c r="DU78" s="112"/>
      <c r="DV78" s="112"/>
      <c r="DW78" s="112"/>
      <c r="DX78" s="112"/>
      <c r="DY78" s="112"/>
      <c r="DZ78" s="112"/>
      <c r="EA78" s="112"/>
      <c r="EB78" s="112"/>
      <c r="EC78" s="112"/>
      <c r="ED78" s="112"/>
      <c r="EE78" s="112"/>
      <c r="EF78" s="112"/>
      <c r="EG78" s="112"/>
      <c r="EH78" s="112"/>
      <c r="EI78" s="112"/>
      <c r="EJ78" s="112"/>
      <c r="EK78" s="112"/>
      <c r="EL78" s="112"/>
      <c r="EM78" s="112"/>
      <c r="EN78" s="112"/>
      <c r="EO78" s="112"/>
      <c r="EP78" s="112"/>
      <c r="EQ78" s="112"/>
      <c r="ER78" s="112"/>
      <c r="ES78" s="112"/>
      <c r="ET78" s="112"/>
      <c r="EU78" s="112"/>
      <c r="EV78" s="112"/>
      <c r="EW78" s="112"/>
      <c r="EX78" s="112"/>
      <c r="EY78" s="112"/>
      <c r="EZ78" s="112"/>
      <c r="FA78" s="112"/>
      <c r="FB78" s="112"/>
      <c r="FC78" s="112"/>
      <c r="FD78" s="112"/>
      <c r="FE78" s="112"/>
      <c r="FF78" s="112"/>
      <c r="FG78" s="112"/>
      <c r="FH78" s="112"/>
      <c r="FI78" s="112"/>
      <c r="FJ78" s="112"/>
      <c r="FK78" s="112"/>
      <c r="FL78" s="112"/>
      <c r="FM78" s="112"/>
      <c r="FN78" s="112"/>
      <c r="FO78" s="112"/>
      <c r="FP78" s="112"/>
      <c r="FQ78" s="112"/>
      <c r="FR78" s="112"/>
      <c r="FS78" s="112"/>
      <c r="FT78" s="112"/>
      <c r="FU78" s="112"/>
      <c r="FV78" s="112"/>
      <c r="FW78" s="112"/>
      <c r="FX78" s="112"/>
      <c r="FY78" s="112"/>
      <c r="FZ78" s="112"/>
      <c r="GA78" s="112"/>
      <c r="GB78" s="112"/>
      <c r="GC78" s="112"/>
      <c r="GD78" s="112"/>
      <c r="GE78" s="112"/>
      <c r="GF78" s="112"/>
      <c r="GG78" s="112"/>
      <c r="GH78" s="112"/>
      <c r="GI78" s="112"/>
      <c r="GJ78" s="112"/>
      <c r="GK78" s="112"/>
      <c r="GL78" s="112"/>
      <c r="GM78" s="112"/>
      <c r="GN78" s="112"/>
      <c r="GO78" s="112"/>
      <c r="GP78" s="112"/>
      <c r="GQ78" s="112"/>
      <c r="GR78" s="112"/>
      <c r="GS78" s="112"/>
      <c r="GT78" s="112"/>
      <c r="GU78" s="112"/>
      <c r="GV78" s="112"/>
      <c r="GW78" s="112"/>
      <c r="GX78" s="112"/>
      <c r="GY78" s="112"/>
      <c r="GZ78" s="112"/>
      <c r="HA78" s="112"/>
      <c r="HB78" s="112"/>
      <c r="HC78" s="112"/>
      <c r="HD78" s="112"/>
      <c r="HE78" s="112"/>
      <c r="HF78" s="112"/>
      <c r="HG78" s="112"/>
      <c r="HH78" s="112"/>
      <c r="HI78" s="112"/>
      <c r="HJ78" s="112"/>
      <c r="HK78" s="112"/>
      <c r="HL78" s="112"/>
      <c r="HM78" s="112"/>
      <c r="HN78" s="112"/>
      <c r="HO78" s="112"/>
      <c r="HP78" s="112"/>
      <c r="HQ78" s="112"/>
      <c r="HR78" s="112"/>
      <c r="HS78" s="112"/>
      <c r="HT78" s="112"/>
      <c r="HU78" s="112"/>
      <c r="HV78" s="112"/>
      <c r="HW78" s="112"/>
      <c r="HX78" s="112"/>
      <c r="HY78" s="112"/>
      <c r="HZ78" s="112"/>
      <c r="IA78" s="112"/>
    </row>
    <row r="79" spans="1:235" ht="18.75" customHeight="1" x14ac:dyDescent="0.3">
      <c r="A79" s="74"/>
      <c r="B79" s="74"/>
      <c r="C79" s="74"/>
      <c r="D79" s="74"/>
      <c r="E79" s="74"/>
      <c r="F79" s="74"/>
      <c r="G79" s="74"/>
      <c r="H79" s="74"/>
      <c r="I79" s="74"/>
      <c r="J79" s="74"/>
      <c r="K79" s="74"/>
    </row>
    <row r="80" spans="1:235" ht="18.75" customHeight="1" x14ac:dyDescent="0.3">
      <c r="A80" s="74"/>
      <c r="B80" s="74"/>
      <c r="C80" s="74"/>
      <c r="D80" s="74"/>
      <c r="E80" s="74"/>
      <c r="F80" s="74"/>
      <c r="G80" s="74"/>
      <c r="H80" s="74"/>
      <c r="I80" s="74"/>
      <c r="J80" s="74"/>
      <c r="K80" s="74"/>
    </row>
    <row r="81" spans="1:11" ht="18.75" customHeight="1" x14ac:dyDescent="0.3">
      <c r="A81" s="74"/>
      <c r="B81" s="77"/>
      <c r="C81" s="77"/>
      <c r="D81" s="74"/>
      <c r="E81" s="74"/>
      <c r="F81" s="74"/>
      <c r="G81" s="77"/>
      <c r="H81" s="77"/>
      <c r="I81" s="74"/>
      <c r="J81" s="74"/>
      <c r="K81" s="74"/>
    </row>
    <row r="82" spans="1:11" ht="18.75" customHeight="1" x14ac:dyDescent="0.3">
      <c r="A82" s="74"/>
      <c r="B82" s="74"/>
      <c r="C82" s="74"/>
      <c r="D82" s="74"/>
      <c r="E82" s="74"/>
      <c r="F82" s="74"/>
      <c r="G82" s="74"/>
      <c r="H82" s="74"/>
      <c r="I82" s="74"/>
      <c r="J82" s="74"/>
      <c r="K82" s="74"/>
    </row>
    <row r="83" spans="1:11" ht="18.75" customHeight="1" x14ac:dyDescent="0.3">
      <c r="A83" s="74"/>
      <c r="B83" s="74"/>
      <c r="C83" s="74"/>
      <c r="D83" s="74"/>
      <c r="E83" s="74"/>
      <c r="F83" s="74"/>
      <c r="G83" s="74"/>
      <c r="H83" s="74"/>
      <c r="I83" s="74"/>
      <c r="J83" s="74"/>
      <c r="K83" s="74"/>
    </row>
    <row r="84" spans="1:11" ht="18.75" customHeight="1" x14ac:dyDescent="0.3">
      <c r="A84" s="74"/>
      <c r="B84" s="74"/>
      <c r="C84" s="74"/>
      <c r="D84" s="74"/>
      <c r="E84" s="74"/>
      <c r="F84" s="74"/>
      <c r="G84" s="74"/>
      <c r="H84" s="74"/>
      <c r="I84" s="74"/>
      <c r="J84" s="74"/>
      <c r="K84" s="74"/>
    </row>
    <row r="85" spans="1:11" ht="18.75" customHeight="1" x14ac:dyDescent="0.3">
      <c r="A85" s="74"/>
      <c r="B85" s="74"/>
      <c r="C85" s="74"/>
      <c r="D85" s="74"/>
      <c r="E85" s="74"/>
      <c r="F85" s="74"/>
      <c r="G85" s="74"/>
      <c r="H85" s="74"/>
      <c r="I85" s="74"/>
      <c r="J85" s="74"/>
      <c r="K85" s="74"/>
    </row>
    <row r="86" spans="1:11" ht="18.75" x14ac:dyDescent="0.3">
      <c r="A86" s="74"/>
      <c r="B86" s="74"/>
      <c r="C86" s="74"/>
      <c r="D86" s="74"/>
      <c r="E86" s="74"/>
      <c r="F86" s="74"/>
      <c r="G86" s="74"/>
      <c r="H86" s="74"/>
      <c r="I86" s="74"/>
      <c r="J86" s="74"/>
      <c r="K86" s="74"/>
    </row>
    <row r="87" spans="1:11" ht="18.75" x14ac:dyDescent="0.3">
      <c r="A87" s="74"/>
      <c r="B87" s="74"/>
      <c r="C87" s="74"/>
      <c r="D87" s="74"/>
      <c r="E87" s="74"/>
      <c r="F87" s="74"/>
      <c r="G87" s="74"/>
      <c r="H87" s="74"/>
      <c r="I87" s="74"/>
      <c r="J87" s="74"/>
      <c r="K87" s="74"/>
    </row>
    <row r="88" spans="1:11" ht="18.75" x14ac:dyDescent="0.3">
      <c r="A88" s="74"/>
      <c r="B88" s="74"/>
      <c r="C88" s="74"/>
      <c r="D88" s="74"/>
      <c r="E88" s="74"/>
      <c r="F88" s="74"/>
      <c r="G88" s="74"/>
      <c r="H88" s="74"/>
      <c r="I88" s="74"/>
      <c r="J88" s="74"/>
      <c r="K88" s="74"/>
    </row>
    <row r="89" spans="1:11" ht="18.75" x14ac:dyDescent="0.3">
      <c r="A89" s="74"/>
      <c r="B89" s="74"/>
      <c r="C89" s="74"/>
      <c r="D89" s="74"/>
      <c r="E89" s="74"/>
      <c r="F89" s="74"/>
      <c r="G89" s="74"/>
      <c r="H89" s="74"/>
      <c r="I89" s="74"/>
      <c r="J89" s="74"/>
      <c r="K89" s="74"/>
    </row>
    <row r="90" spans="1:11" ht="18.75" x14ac:dyDescent="0.3">
      <c r="A90" s="74"/>
      <c r="B90" s="74"/>
      <c r="C90" s="74"/>
      <c r="D90" s="74"/>
      <c r="E90" s="74"/>
      <c r="F90" s="74"/>
      <c r="G90" s="74"/>
      <c r="H90" s="74"/>
      <c r="I90" s="74"/>
      <c r="J90" s="74"/>
      <c r="K90" s="74"/>
    </row>
    <row r="91" spans="1:11" ht="18.75" x14ac:dyDescent="0.3">
      <c r="A91" s="74"/>
      <c r="B91" s="74"/>
      <c r="C91" s="74"/>
      <c r="D91" s="74"/>
      <c r="E91" s="74"/>
      <c r="F91" s="74"/>
      <c r="G91" s="74"/>
      <c r="H91" s="74"/>
      <c r="I91" s="74"/>
      <c r="J91" s="74"/>
      <c r="K91" s="74"/>
    </row>
    <row r="92" spans="1:11" ht="18.75" x14ac:dyDescent="0.3">
      <c r="A92" s="74"/>
      <c r="B92" s="74"/>
      <c r="C92" s="74"/>
      <c r="D92" s="74"/>
      <c r="E92" s="74"/>
      <c r="F92" s="74"/>
      <c r="G92" s="74"/>
      <c r="H92" s="74"/>
      <c r="I92" s="74"/>
      <c r="J92" s="74"/>
      <c r="K92" s="74"/>
    </row>
    <row r="93" spans="1:11" ht="18.75" x14ac:dyDescent="0.3">
      <c r="A93" s="74"/>
      <c r="B93" s="74"/>
      <c r="C93" s="74"/>
      <c r="D93" s="74"/>
      <c r="E93" s="74"/>
      <c r="F93" s="74"/>
      <c r="G93" s="74"/>
      <c r="H93" s="74"/>
      <c r="I93" s="74"/>
      <c r="J93" s="74"/>
      <c r="K93" s="74"/>
    </row>
    <row r="94" spans="1:11" ht="18.75" x14ac:dyDescent="0.3">
      <c r="A94" s="74"/>
      <c r="B94" s="74"/>
      <c r="C94" s="74"/>
      <c r="D94" s="74"/>
      <c r="E94" s="74"/>
      <c r="F94" s="74"/>
      <c r="G94" s="74"/>
      <c r="H94" s="74"/>
      <c r="I94" s="74"/>
      <c r="J94" s="74"/>
      <c r="K94" s="74"/>
    </row>
    <row r="95" spans="1:11" ht="18.75" x14ac:dyDescent="0.3">
      <c r="A95" s="74"/>
      <c r="B95" s="74"/>
      <c r="C95" s="74"/>
      <c r="D95" s="74"/>
      <c r="E95" s="74"/>
      <c r="F95" s="74"/>
      <c r="G95" s="74"/>
      <c r="H95" s="74"/>
      <c r="I95" s="74"/>
      <c r="J95" s="74"/>
      <c r="K95" s="74"/>
    </row>
    <row r="96" spans="1:11" ht="18.75" x14ac:dyDescent="0.3">
      <c r="A96" s="74"/>
      <c r="B96" s="74"/>
      <c r="C96" s="74"/>
      <c r="D96" s="74"/>
      <c r="E96" s="74"/>
      <c r="F96" s="74"/>
      <c r="G96" s="74"/>
      <c r="H96" s="74"/>
      <c r="I96" s="74"/>
      <c r="J96" s="74"/>
      <c r="K96" s="74"/>
    </row>
    <row r="97" spans="1:11" ht="18.75" x14ac:dyDescent="0.3">
      <c r="A97" s="74"/>
      <c r="B97" s="74"/>
      <c r="C97" s="74"/>
      <c r="D97" s="74"/>
      <c r="E97" s="74"/>
      <c r="F97" s="74"/>
      <c r="G97" s="74"/>
      <c r="H97" s="74"/>
      <c r="I97" s="74"/>
      <c r="J97" s="74"/>
      <c r="K97" s="74"/>
    </row>
    <row r="98" spans="1:11" ht="18.75" x14ac:dyDescent="0.3">
      <c r="A98" s="74"/>
      <c r="B98" s="74"/>
      <c r="C98" s="74"/>
      <c r="D98" s="74"/>
      <c r="E98" s="74"/>
      <c r="F98" s="74"/>
      <c r="G98" s="74"/>
      <c r="H98" s="74"/>
      <c r="I98" s="74"/>
      <c r="J98" s="74"/>
      <c r="K98" s="74"/>
    </row>
    <row r="99" spans="1:11" ht="18.75" x14ac:dyDescent="0.3">
      <c r="A99" s="74"/>
      <c r="B99" s="74"/>
      <c r="C99" s="74"/>
      <c r="D99" s="74"/>
      <c r="E99" s="74"/>
      <c r="F99" s="74"/>
      <c r="G99" s="74"/>
      <c r="H99" s="74"/>
      <c r="I99" s="74"/>
      <c r="J99" s="74"/>
      <c r="K99" s="74"/>
    </row>
    <row r="100" spans="1:11" ht="18.75" x14ac:dyDescent="0.3">
      <c r="A100" s="74"/>
      <c r="B100" s="74"/>
      <c r="C100" s="74"/>
      <c r="D100" s="74"/>
      <c r="E100" s="74"/>
      <c r="F100" s="74"/>
      <c r="G100" s="74"/>
      <c r="H100" s="74"/>
      <c r="I100" s="74"/>
      <c r="J100" s="74"/>
      <c r="K100" s="74"/>
    </row>
    <row r="101" spans="1:11" ht="18.75" x14ac:dyDescent="0.3">
      <c r="A101" s="74"/>
      <c r="B101" s="74"/>
      <c r="C101" s="74"/>
      <c r="D101" s="74"/>
      <c r="E101" s="74"/>
      <c r="F101" s="74"/>
      <c r="G101" s="74"/>
      <c r="H101" s="74"/>
      <c r="I101" s="74"/>
      <c r="J101" s="74"/>
      <c r="K101" s="74"/>
    </row>
    <row r="102" spans="1:11" ht="18.75" x14ac:dyDescent="0.3">
      <c r="A102" s="74"/>
      <c r="B102" s="74"/>
      <c r="C102" s="74"/>
      <c r="D102" s="74"/>
      <c r="E102" s="74"/>
      <c r="F102" s="74"/>
      <c r="G102" s="74"/>
      <c r="H102" s="74"/>
      <c r="I102" s="74"/>
      <c r="J102" s="74"/>
      <c r="K102" s="74"/>
    </row>
    <row r="103" spans="1:11" ht="18.75" x14ac:dyDescent="0.3">
      <c r="A103" s="112"/>
      <c r="B103" s="112"/>
      <c r="C103" s="112"/>
      <c r="D103" s="112"/>
      <c r="E103" s="112"/>
      <c r="F103" s="112"/>
      <c r="G103" s="112"/>
      <c r="H103" s="112"/>
      <c r="I103" s="112"/>
      <c r="J103" s="112"/>
      <c r="K103" s="112"/>
    </row>
    <row r="104" spans="1:11" ht="18.75" x14ac:dyDescent="0.3">
      <c r="A104" s="116"/>
      <c r="B104" s="117"/>
      <c r="C104" s="117"/>
      <c r="D104" s="117"/>
      <c r="E104" s="74"/>
      <c r="F104" s="74"/>
      <c r="G104" s="74"/>
      <c r="H104" s="74"/>
      <c r="I104" s="74"/>
      <c r="J104" s="75"/>
      <c r="K104" s="75"/>
    </row>
    <row r="105" spans="1:11" ht="18.75" x14ac:dyDescent="0.3">
      <c r="A105" s="74"/>
      <c r="B105" s="74"/>
      <c r="C105" s="74"/>
      <c r="D105" s="74"/>
      <c r="E105" s="74"/>
      <c r="F105" s="74"/>
      <c r="G105" s="74"/>
      <c r="H105" s="74"/>
      <c r="I105" s="74"/>
      <c r="J105" s="74"/>
      <c r="K105" s="74"/>
    </row>
    <row r="106" spans="1:11" ht="18.75" x14ac:dyDescent="0.3">
      <c r="A106" s="74"/>
      <c r="B106" s="74"/>
      <c r="C106" s="74"/>
      <c r="D106" s="74"/>
      <c r="E106" s="74"/>
      <c r="F106" s="74"/>
      <c r="G106" s="74"/>
      <c r="H106" s="74"/>
      <c r="I106" s="74"/>
      <c r="J106" s="74"/>
      <c r="K106" s="74"/>
    </row>
    <row r="107" spans="1:11" ht="18.75" x14ac:dyDescent="0.3">
      <c r="A107" s="74"/>
      <c r="B107" s="74"/>
      <c r="C107" s="74"/>
      <c r="D107" s="74"/>
      <c r="E107" s="74"/>
      <c r="F107" s="74"/>
      <c r="G107" s="74"/>
      <c r="H107" s="74"/>
      <c r="I107" s="74"/>
      <c r="J107" s="74"/>
      <c r="K107" s="74"/>
    </row>
    <row r="108" spans="1:11" ht="18.75" x14ac:dyDescent="0.3">
      <c r="A108" s="74"/>
      <c r="B108" s="74"/>
      <c r="C108" s="74"/>
      <c r="D108" s="74"/>
      <c r="E108" s="74"/>
      <c r="F108" s="74"/>
      <c r="G108" s="74"/>
      <c r="H108" s="74"/>
      <c r="I108" s="74"/>
      <c r="J108" s="74"/>
      <c r="K108" s="74"/>
    </row>
    <row r="109" spans="1:11" ht="18.75" x14ac:dyDescent="0.3">
      <c r="A109" s="74"/>
      <c r="B109" s="74"/>
      <c r="C109" s="74"/>
      <c r="D109" s="74"/>
      <c r="E109" s="74"/>
      <c r="F109" s="74"/>
      <c r="G109" s="74"/>
      <c r="H109" s="74"/>
      <c r="I109" s="74"/>
      <c r="J109" s="74"/>
      <c r="K109" s="74"/>
    </row>
    <row r="110" spans="1:11" ht="18.75" x14ac:dyDescent="0.3">
      <c r="A110" s="74"/>
      <c r="B110" s="74"/>
      <c r="C110" s="74"/>
      <c r="D110" s="74"/>
      <c r="E110" s="74"/>
      <c r="F110" s="74"/>
      <c r="G110" s="74"/>
      <c r="H110" s="74"/>
      <c r="I110" s="74"/>
      <c r="J110" s="74"/>
      <c r="K110" s="74"/>
    </row>
    <row r="111" spans="1:11" ht="18.75" x14ac:dyDescent="0.3">
      <c r="A111" s="74"/>
      <c r="B111" s="74"/>
      <c r="C111" s="74"/>
      <c r="D111" s="74"/>
      <c r="E111" s="74"/>
      <c r="F111" s="74"/>
      <c r="G111" s="74"/>
      <c r="H111" s="74"/>
      <c r="I111" s="74"/>
      <c r="J111" s="74"/>
      <c r="K111" s="74"/>
    </row>
    <row r="112" spans="1:11" ht="18.75" x14ac:dyDescent="0.3">
      <c r="A112" s="74"/>
      <c r="B112" s="74"/>
      <c r="C112" s="74"/>
      <c r="D112" s="74"/>
      <c r="E112" s="74"/>
      <c r="F112" s="74"/>
      <c r="G112" s="74"/>
      <c r="H112" s="74"/>
      <c r="I112" s="74"/>
      <c r="J112" s="74"/>
      <c r="K112" s="74"/>
    </row>
    <row r="113" spans="1:11" ht="18.75" x14ac:dyDescent="0.3">
      <c r="A113" s="74"/>
      <c r="B113" s="74"/>
      <c r="C113" s="74"/>
      <c r="D113" s="74"/>
      <c r="E113" s="74"/>
      <c r="F113" s="74"/>
      <c r="G113" s="74"/>
      <c r="H113" s="74"/>
      <c r="I113" s="74"/>
      <c r="J113" s="74"/>
      <c r="K113" s="74"/>
    </row>
    <row r="114" spans="1:11" ht="18.75" x14ac:dyDescent="0.3">
      <c r="A114" s="74"/>
      <c r="B114" s="74"/>
      <c r="C114" s="74"/>
      <c r="D114" s="74"/>
      <c r="E114" s="74"/>
      <c r="F114" s="74"/>
      <c r="G114" s="74"/>
      <c r="H114" s="74"/>
      <c r="I114" s="74"/>
      <c r="J114" s="74"/>
      <c r="K114" s="74"/>
    </row>
    <row r="115" spans="1:11" ht="18.75" x14ac:dyDescent="0.3">
      <c r="A115" s="74"/>
      <c r="B115" s="74"/>
      <c r="C115" s="74"/>
      <c r="D115" s="74"/>
      <c r="E115" s="74"/>
      <c r="F115" s="74"/>
      <c r="G115" s="74"/>
      <c r="H115" s="74"/>
      <c r="I115" s="74"/>
      <c r="J115" s="74"/>
      <c r="K115" s="74"/>
    </row>
    <row r="116" spans="1:11" ht="18.75" x14ac:dyDescent="0.3">
      <c r="A116" s="74"/>
      <c r="B116" s="74"/>
      <c r="C116" s="74"/>
      <c r="D116" s="74"/>
      <c r="E116" s="74"/>
      <c r="F116" s="74"/>
      <c r="G116" s="74"/>
      <c r="H116" s="74"/>
      <c r="I116" s="74"/>
      <c r="J116" s="74"/>
      <c r="K116" s="74"/>
    </row>
  </sheetData>
  <mergeCells count="3">
    <mergeCell ref="A3:B3"/>
    <mergeCell ref="B5:E5"/>
    <mergeCell ref="G5:J5"/>
  </mergeCells>
  <hyperlinks>
    <hyperlink ref="B1" location="Innhold!A1" display="Tilbake" xr:uid="{00000000-0004-0000-0300-000000000000}"/>
  </hyperlinks>
  <pageMargins left="0.70866141732283472" right="0.70866141732283472" top="0.78740157480314965" bottom="0.78740157480314965" header="0.31496062992125984" footer="0.31496062992125984"/>
  <pageSetup paperSize="9"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dimension ref="A1:W115"/>
  <sheetViews>
    <sheetView showGridLines="0" showZeros="0" zoomScale="70" zoomScaleNormal="70" workbookViewId="0">
      <pane xSplit="1" ySplit="7" topLeftCell="B8" activePane="bottomRight" state="frozen"/>
      <selection activeCell="L39" sqref="L39"/>
      <selection pane="topRight" activeCell="L39" sqref="L39"/>
      <selection pane="bottomLeft" activeCell="L39" sqref="L39"/>
      <selection pane="bottomRight" activeCell="A4" sqref="A4"/>
    </sheetView>
  </sheetViews>
  <sheetFormatPr baseColWidth="10" defaultColWidth="11.42578125" defaultRowHeight="18" x14ac:dyDescent="0.25"/>
  <cols>
    <col min="1" max="1" width="51" style="81" customWidth="1"/>
    <col min="2" max="3" width="17.85546875" style="81" bestFit="1" customWidth="1"/>
    <col min="4" max="4" width="9.28515625" style="81" bestFit="1" customWidth="1"/>
    <col min="5" max="5" width="4.7109375" style="81" customWidth="1"/>
    <col min="6" max="7" width="16.7109375" style="81" customWidth="1"/>
    <col min="8" max="8" width="9.28515625" style="81" bestFit="1" customWidth="1"/>
    <col min="9" max="9" width="4.7109375" style="81" customWidth="1"/>
    <col min="10" max="10" width="18.7109375" style="81" customWidth="1"/>
    <col min="11" max="11" width="18" style="81" bestFit="1" customWidth="1"/>
    <col min="12" max="12" width="9.28515625" style="81" bestFit="1" customWidth="1"/>
    <col min="13" max="13" width="11.42578125" style="81"/>
    <col min="14" max="15" width="17.28515625" style="81" bestFit="1" customWidth="1"/>
    <col min="16" max="16384" width="11.42578125" style="81"/>
  </cols>
  <sheetData>
    <row r="1" spans="1:13" ht="20.25" x14ac:dyDescent="0.3">
      <c r="A1" s="80" t="s">
        <v>76</v>
      </c>
      <c r="B1" s="73" t="s">
        <v>52</v>
      </c>
      <c r="C1" s="74"/>
      <c r="D1" s="74"/>
      <c r="E1" s="74"/>
      <c r="F1" s="74"/>
      <c r="G1" s="74"/>
      <c r="H1" s="74"/>
      <c r="I1" s="74"/>
      <c r="J1" s="74"/>
      <c r="K1" s="74"/>
      <c r="L1" s="74"/>
      <c r="M1" s="74"/>
    </row>
    <row r="2" spans="1:13" ht="20.25" x14ac:dyDescent="0.3">
      <c r="A2" s="80" t="s">
        <v>103</v>
      </c>
      <c r="B2" s="73"/>
      <c r="C2" s="74"/>
      <c r="D2" s="74"/>
      <c r="E2" s="74"/>
      <c r="F2" s="74"/>
      <c r="G2" s="74"/>
      <c r="H2" s="74"/>
      <c r="I2" s="74"/>
      <c r="J2" s="74"/>
      <c r="K2" s="74"/>
      <c r="L2" s="74"/>
      <c r="M2" s="74"/>
    </row>
    <row r="3" spans="1:13" ht="18.75" x14ac:dyDescent="0.3">
      <c r="A3" s="75" t="s">
        <v>104</v>
      </c>
      <c r="B3" s="74"/>
      <c r="C3" s="74"/>
      <c r="D3" s="74"/>
      <c r="E3" s="74"/>
      <c r="F3" s="74"/>
      <c r="G3" s="74"/>
      <c r="H3" s="74"/>
      <c r="I3" s="74"/>
      <c r="J3" s="74"/>
      <c r="K3" s="74"/>
      <c r="L3" s="74"/>
      <c r="M3" s="74"/>
    </row>
    <row r="4" spans="1:13" ht="18.75" x14ac:dyDescent="0.3">
      <c r="A4" s="82" t="s">
        <v>414</v>
      </c>
      <c r="B4" s="102"/>
      <c r="C4" s="118"/>
      <c r="D4" s="119"/>
      <c r="E4" s="112"/>
      <c r="F4" s="83"/>
      <c r="G4" s="84"/>
      <c r="H4" s="85"/>
      <c r="I4" s="112"/>
      <c r="J4" s="83"/>
      <c r="K4" s="84"/>
      <c r="L4" s="85"/>
      <c r="M4" s="74"/>
    </row>
    <row r="5" spans="1:13" ht="18.75" x14ac:dyDescent="0.3">
      <c r="A5" s="120"/>
      <c r="B5" s="677" t="s">
        <v>0</v>
      </c>
      <c r="C5" s="678"/>
      <c r="D5" s="679"/>
      <c r="E5" s="89"/>
      <c r="F5" s="677" t="s">
        <v>1</v>
      </c>
      <c r="G5" s="678"/>
      <c r="H5" s="679"/>
      <c r="I5" s="121"/>
      <c r="J5" s="677" t="s">
        <v>105</v>
      </c>
      <c r="K5" s="678"/>
      <c r="L5" s="679"/>
      <c r="M5" s="74"/>
    </row>
    <row r="6" spans="1:13" ht="18.75" x14ac:dyDescent="0.3">
      <c r="A6" s="122"/>
      <c r="B6" s="123"/>
      <c r="C6" s="124"/>
      <c r="D6" s="94" t="s">
        <v>106</v>
      </c>
      <c r="E6" s="100"/>
      <c r="F6" s="123"/>
      <c r="G6" s="124"/>
      <c r="H6" s="94" t="s">
        <v>106</v>
      </c>
      <c r="I6" s="125"/>
      <c r="J6" s="123"/>
      <c r="K6" s="124"/>
      <c r="L6" s="94" t="s">
        <v>106</v>
      </c>
      <c r="M6" s="74"/>
    </row>
    <row r="7" spans="1:13" ht="18.75" x14ac:dyDescent="0.3">
      <c r="A7" s="126" t="s">
        <v>107</v>
      </c>
      <c r="B7" s="127">
        <v>2020</v>
      </c>
      <c r="C7" s="184">
        <v>2021</v>
      </c>
      <c r="D7" s="99" t="s">
        <v>82</v>
      </c>
      <c r="E7" s="100"/>
      <c r="F7" s="97">
        <v>2020</v>
      </c>
      <c r="G7" s="127">
        <v>2021</v>
      </c>
      <c r="H7" s="99" t="s">
        <v>82</v>
      </c>
      <c r="I7" s="128"/>
      <c r="J7" s="183">
        <v>2020</v>
      </c>
      <c r="K7" s="184">
        <v>2021</v>
      </c>
      <c r="L7" s="99" t="s">
        <v>82</v>
      </c>
      <c r="M7" s="74"/>
    </row>
    <row r="8" spans="1:13" ht="22.5" x14ac:dyDescent="0.3">
      <c r="A8" s="189" t="s">
        <v>108</v>
      </c>
      <c r="B8" s="209"/>
      <c r="C8" s="198"/>
      <c r="D8" s="198"/>
      <c r="E8" s="181"/>
      <c r="F8" s="198"/>
      <c r="G8" s="198"/>
      <c r="H8" s="198"/>
      <c r="I8" s="199"/>
      <c r="J8" s="198"/>
      <c r="K8" s="198"/>
      <c r="L8" s="198"/>
      <c r="M8" s="74"/>
    </row>
    <row r="9" spans="1:13" ht="18.75" x14ac:dyDescent="0.3">
      <c r="A9" s="190" t="s">
        <v>109</v>
      </c>
      <c r="B9" s="104">
        <f>'Skjema total MA'!B7</f>
        <v>1554893.9184598648</v>
      </c>
      <c r="C9" s="106">
        <f>'Skjema total MA'!C7</f>
        <v>1685097.9866931401</v>
      </c>
      <c r="D9" s="210">
        <f>IF(B9=0, "    ---- ", IF(ABS(ROUND(100/B9*C9-100,1))&lt;999,ROUND(100/B9*C9-100,1),IF(ROUND(100/B9*C9-100,1)&gt;999,999,-999)))</f>
        <v>8.4</v>
      </c>
      <c r="E9" s="181"/>
      <c r="F9" s="193">
        <f>'Skjema total MA'!E7</f>
        <v>2532534.1483199997</v>
      </c>
      <c r="G9" s="193">
        <f>'Skjema total MA'!F7</f>
        <v>3902556.8295499999</v>
      </c>
      <c r="H9" s="210">
        <f>IF(F9=0, "    ---- ", IF(ABS(ROUND(100/F9*G9-100,1))&lt;999,ROUND(100/F9*G9-100,1),IF(ROUND(100/F9*G9-100,1)&gt;999,999,-999)))</f>
        <v>54.1</v>
      </c>
      <c r="I9" s="181"/>
      <c r="J9" s="193">
        <f t="shared" ref="J9:K60" si="0">SUM(B9+F9)</f>
        <v>4087428.0667798645</v>
      </c>
      <c r="K9" s="193">
        <f t="shared" si="0"/>
        <v>5587654.81624314</v>
      </c>
      <c r="L9" s="208">
        <f>IF(J9=0, "    ---- ", IF(ABS(ROUND(100/J9*K9-100,1))&lt;999,ROUND(100/J9*K9-100,1),IF(ROUND(100/J9*K9-100,1)&gt;999,999,-999)))</f>
        <v>36.700000000000003</v>
      </c>
      <c r="M9" s="74"/>
    </row>
    <row r="10" spans="1:13" ht="18.75" x14ac:dyDescent="0.3">
      <c r="A10" s="190" t="s">
        <v>110</v>
      </c>
      <c r="B10" s="104">
        <f>'Skjema total MA'!B22</f>
        <v>694478.98208007566</v>
      </c>
      <c r="C10" s="106">
        <f>'Skjema total MA'!C22</f>
        <v>681115.47334000003</v>
      </c>
      <c r="D10" s="210">
        <f t="shared" ref="D10:D17" si="1">IF(B10=0, "    ---- ", IF(ABS(ROUND(100/B10*C10-100,1))&lt;999,ROUND(100/B10*C10-100,1),IF(ROUND(100/B10*C10-100,1)&gt;999,999,-999)))</f>
        <v>-1.9</v>
      </c>
      <c r="E10" s="181"/>
      <c r="F10" s="193">
        <f>'Skjema total MA'!E22</f>
        <v>334034.62965000002</v>
      </c>
      <c r="G10" s="193">
        <f>'Skjema total MA'!F22</f>
        <v>423299.74570999999</v>
      </c>
      <c r="H10" s="210">
        <f t="shared" ref="H10:H57" si="2">IF(F10=0, "    ---- ", IF(ABS(ROUND(100/F10*G10-100,1))&lt;999,ROUND(100/F10*G10-100,1),IF(ROUND(100/F10*G10-100,1)&gt;999,999,-999)))</f>
        <v>26.7</v>
      </c>
      <c r="I10" s="181"/>
      <c r="J10" s="193">
        <f t="shared" si="0"/>
        <v>1028513.6117300757</v>
      </c>
      <c r="K10" s="193">
        <f t="shared" si="0"/>
        <v>1104415.21905</v>
      </c>
      <c r="L10" s="208">
        <f t="shared" ref="L10:L60" si="3">IF(J10=0, "    ---- ", IF(ABS(ROUND(100/J10*K10-100,1))&lt;999,ROUND(100/J10*K10-100,1),IF(ROUND(100/J10*K10-100,1)&gt;999,999,-999)))</f>
        <v>7.4</v>
      </c>
      <c r="M10" s="74"/>
    </row>
    <row r="11" spans="1:13" ht="18.75" x14ac:dyDescent="0.3">
      <c r="A11" s="190" t="s">
        <v>111</v>
      </c>
      <c r="B11" s="104">
        <f>'Skjema total MA'!B47</f>
        <v>2885226.4238871019</v>
      </c>
      <c r="C11" s="106">
        <f>'Skjema total MA'!C47</f>
        <v>3163569.7775028311</v>
      </c>
      <c r="D11" s="210">
        <f t="shared" si="1"/>
        <v>9.6</v>
      </c>
      <c r="E11" s="181"/>
      <c r="F11" s="193"/>
      <c r="G11" s="193"/>
      <c r="H11" s="210"/>
      <c r="I11" s="181"/>
      <c r="J11" s="193">
        <f t="shared" si="0"/>
        <v>2885226.4238871019</v>
      </c>
      <c r="K11" s="193">
        <f t="shared" si="0"/>
        <v>3163569.7775028311</v>
      </c>
      <c r="L11" s="208">
        <f t="shared" si="3"/>
        <v>9.6</v>
      </c>
      <c r="M11" s="74"/>
    </row>
    <row r="12" spans="1:13" ht="18.75" x14ac:dyDescent="0.3">
      <c r="A12" s="190" t="s">
        <v>112</v>
      </c>
      <c r="B12" s="104">
        <f>'Skjema total MA'!B66</f>
        <v>3486488.05791</v>
      </c>
      <c r="C12" s="106">
        <f>'Skjema total MA'!C66</f>
        <v>3120482.7806200003</v>
      </c>
      <c r="D12" s="210">
        <f t="shared" si="1"/>
        <v>-10.5</v>
      </c>
      <c r="E12" s="181"/>
      <c r="F12" s="193">
        <f>'Skjema total MA'!E66</f>
        <v>8792903.8099000007</v>
      </c>
      <c r="G12" s="193">
        <f>'Skjema total MA'!F66</f>
        <v>9529982.5687199999</v>
      </c>
      <c r="H12" s="210">
        <f t="shared" si="2"/>
        <v>8.4</v>
      </c>
      <c r="I12" s="181"/>
      <c r="J12" s="193">
        <f t="shared" si="0"/>
        <v>12279391.86781</v>
      </c>
      <c r="K12" s="193">
        <f t="shared" si="0"/>
        <v>12650465.349339999</v>
      </c>
      <c r="L12" s="208">
        <f t="shared" si="3"/>
        <v>3</v>
      </c>
      <c r="M12" s="74"/>
    </row>
    <row r="13" spans="1:13" ht="18.75" x14ac:dyDescent="0.3">
      <c r="A13" s="190" t="s">
        <v>113</v>
      </c>
      <c r="B13" s="104">
        <f>'Skjema total MA'!B68</f>
        <v>94026.617710000006</v>
      </c>
      <c r="C13" s="106">
        <f>'Skjema total MA'!C68</f>
        <v>13805.019399999999</v>
      </c>
      <c r="D13" s="210">
        <f t="shared" si="1"/>
        <v>-85.3</v>
      </c>
      <c r="E13" s="181"/>
      <c r="F13" s="193">
        <f>'Skjema total MA'!E68</f>
        <v>8456017.5833299998</v>
      </c>
      <c r="G13" s="193">
        <f>'Skjema total MA'!F68</f>
        <v>9158643.9639200009</v>
      </c>
      <c r="H13" s="210">
        <f t="shared" si="2"/>
        <v>8.3000000000000007</v>
      </c>
      <c r="I13" s="181"/>
      <c r="J13" s="193">
        <f t="shared" si="0"/>
        <v>8550044.2010399997</v>
      </c>
      <c r="K13" s="193">
        <f t="shared" si="0"/>
        <v>9172448.9833200015</v>
      </c>
      <c r="L13" s="208">
        <f t="shared" si="3"/>
        <v>7.3</v>
      </c>
      <c r="M13" s="74"/>
    </row>
    <row r="14" spans="1:13" s="133" customFormat="1" ht="18.75" x14ac:dyDescent="0.3">
      <c r="A14" s="191" t="s">
        <v>415</v>
      </c>
      <c r="B14" s="131">
        <f>'Skjema total MA'!B75</f>
        <v>129277.69422</v>
      </c>
      <c r="C14" s="131">
        <f>'Skjema total MA'!C75</f>
        <v>148389.73579999999</v>
      </c>
      <c r="D14" s="210">
        <f t="shared" si="1"/>
        <v>14.8</v>
      </c>
      <c r="E14" s="182"/>
      <c r="F14" s="194">
        <f>'Skjema total MA'!E75</f>
        <v>336886.22657000006</v>
      </c>
      <c r="G14" s="194">
        <f>'Skjema total MA'!F75</f>
        <v>371338.60479999997</v>
      </c>
      <c r="H14" s="210">
        <f t="shared" si="2"/>
        <v>10.199999999999999</v>
      </c>
      <c r="I14" s="182"/>
      <c r="J14" s="193">
        <f t="shared" si="0"/>
        <v>466163.92079000006</v>
      </c>
      <c r="K14" s="193">
        <f t="shared" si="0"/>
        <v>519728.3406</v>
      </c>
      <c r="L14" s="208">
        <f t="shared" si="3"/>
        <v>11.5</v>
      </c>
      <c r="M14" s="132"/>
    </row>
    <row r="15" spans="1:13" ht="22.5" x14ac:dyDescent="0.3">
      <c r="A15" s="190" t="s">
        <v>329</v>
      </c>
      <c r="B15" s="104">
        <f>'Skjema total MA'!B135</f>
        <v>7768459.9588399995</v>
      </c>
      <c r="C15" s="106">
        <f>'Skjema total MA'!C135</f>
        <v>7939140.04</v>
      </c>
      <c r="D15" s="210">
        <f t="shared" si="1"/>
        <v>2.2000000000000002</v>
      </c>
      <c r="E15" s="181"/>
      <c r="F15" s="193">
        <f>'Skjema total MA'!E135</f>
        <v>13284.058000000001</v>
      </c>
      <c r="G15" s="193">
        <f>'Skjema total MA'!F135</f>
        <v>13768.486000000001</v>
      </c>
      <c r="H15" s="210">
        <f t="shared" si="2"/>
        <v>3.6</v>
      </c>
      <c r="I15" s="181"/>
      <c r="J15" s="193">
        <f t="shared" si="0"/>
        <v>7781744.0168399997</v>
      </c>
      <c r="K15" s="193">
        <f t="shared" si="0"/>
        <v>7952908.5259999996</v>
      </c>
      <c r="L15" s="208">
        <f t="shared" si="3"/>
        <v>2.2000000000000002</v>
      </c>
      <c r="M15" s="74"/>
    </row>
    <row r="16" spans="1:13" ht="18.75" x14ac:dyDescent="0.3">
      <c r="A16" s="190" t="s">
        <v>114</v>
      </c>
      <c r="B16" s="104">
        <f>'Skjema total MA'!B36</f>
        <v>686.60799999999995</v>
      </c>
      <c r="C16" s="106">
        <f>'Skjema total MA'!C36</f>
        <v>999.26</v>
      </c>
      <c r="D16" s="210">
        <f t="shared" si="1"/>
        <v>45.5</v>
      </c>
      <c r="E16" s="181"/>
      <c r="F16" s="193">
        <f>'Skjema total MA'!E36</f>
        <v>0</v>
      </c>
      <c r="G16" s="193">
        <f>'Skjema total MA'!F36</f>
        <v>0</v>
      </c>
      <c r="H16" s="210"/>
      <c r="I16" s="181"/>
      <c r="J16" s="193">
        <f t="shared" si="0"/>
        <v>686.60799999999995</v>
      </c>
      <c r="K16" s="193">
        <f t="shared" si="0"/>
        <v>999.26</v>
      </c>
      <c r="L16" s="208">
        <f t="shared" si="3"/>
        <v>45.5</v>
      </c>
      <c r="M16" s="74"/>
    </row>
    <row r="17" spans="1:23" s="135" customFormat="1" ht="18.75" customHeight="1" x14ac:dyDescent="0.3">
      <c r="A17" s="137" t="s">
        <v>115</v>
      </c>
      <c r="B17" s="110">
        <f>'Tabel 1.1'!B34</f>
        <v>16390233.949177044</v>
      </c>
      <c r="C17" s="249">
        <f>'Tabel 1.1'!C34</f>
        <v>16590405.31815597</v>
      </c>
      <c r="D17" s="210">
        <f t="shared" si="1"/>
        <v>1.2</v>
      </c>
      <c r="E17" s="138"/>
      <c r="F17" s="195">
        <f>'Tabel 1.1'!B47</f>
        <v>11672756.64587</v>
      </c>
      <c r="G17" s="195">
        <f>'Tabel 1.1'!C47</f>
        <v>13869607.62998</v>
      </c>
      <c r="H17" s="210">
        <f t="shared" si="2"/>
        <v>18.8</v>
      </c>
      <c r="I17" s="138"/>
      <c r="J17" s="195">
        <f t="shared" si="0"/>
        <v>28062990.595047042</v>
      </c>
      <c r="K17" s="249">
        <f t="shared" si="0"/>
        <v>30460012.948135972</v>
      </c>
      <c r="L17" s="208">
        <f t="shared" si="3"/>
        <v>8.5</v>
      </c>
      <c r="M17" s="75"/>
      <c r="N17" s="134"/>
      <c r="O17" s="134"/>
      <c r="Q17" s="136"/>
      <c r="R17" s="136"/>
      <c r="S17" s="136"/>
      <c r="T17" s="136"/>
      <c r="U17" s="136"/>
      <c r="V17" s="136"/>
      <c r="W17" s="136"/>
    </row>
    <row r="18" spans="1:23" ht="18.75" customHeight="1" x14ac:dyDescent="0.3">
      <c r="A18" s="137"/>
      <c r="B18" s="104"/>
      <c r="C18" s="193"/>
      <c r="D18" s="193"/>
      <c r="E18" s="181"/>
      <c r="F18" s="193"/>
      <c r="G18" s="193"/>
      <c r="H18" s="210"/>
      <c r="I18" s="181"/>
      <c r="J18" s="193"/>
      <c r="K18" s="193"/>
      <c r="L18" s="208"/>
      <c r="M18" s="74"/>
    </row>
    <row r="19" spans="1:23" ht="18.75" customHeight="1" x14ac:dyDescent="0.3">
      <c r="A19" s="189" t="s">
        <v>330</v>
      </c>
      <c r="B19" s="197"/>
      <c r="C19" s="200"/>
      <c r="D19" s="193"/>
      <c r="E19" s="181"/>
      <c r="F19" s="200"/>
      <c r="G19" s="200"/>
      <c r="H19" s="210"/>
      <c r="I19" s="181"/>
      <c r="J19" s="193"/>
      <c r="K19" s="193"/>
      <c r="L19" s="208"/>
      <c r="M19" s="74"/>
    </row>
    <row r="20" spans="1:23" ht="18.75" customHeight="1" x14ac:dyDescent="0.3">
      <c r="A20" s="190" t="s">
        <v>109</v>
      </c>
      <c r="B20" s="104">
        <f>'Skjema total MA'!B10</f>
        <v>18852684.110962451</v>
      </c>
      <c r="C20" s="104">
        <f>'Skjema total MA'!C10</f>
        <v>17645344.147628192</v>
      </c>
      <c r="D20" s="210">
        <f>IF(B20=0, "    ---- ", IF(ABS(ROUND(100/B20*C20-100,1))&lt;999,ROUND(100/B20*C20-100,1),IF(ROUND(100/B20*C20-100,1)&gt;999,999,-999)))</f>
        <v>-6.4</v>
      </c>
      <c r="E20" s="181"/>
      <c r="F20" s="193">
        <f>'Skjema total MA'!E10</f>
        <v>46610028.193619996</v>
      </c>
      <c r="G20" s="193">
        <f>'Skjema total MA'!F10</f>
        <v>65234172.387540609</v>
      </c>
      <c r="H20" s="210">
        <f t="shared" si="2"/>
        <v>40</v>
      </c>
      <c r="I20" s="181"/>
      <c r="J20" s="193">
        <f t="shared" si="0"/>
        <v>65462712.304582447</v>
      </c>
      <c r="K20" s="193">
        <f t="shared" si="0"/>
        <v>82879516.535168797</v>
      </c>
      <c r="L20" s="208">
        <f t="shared" si="3"/>
        <v>26.6</v>
      </c>
      <c r="M20" s="74"/>
    </row>
    <row r="21" spans="1:23" ht="18.75" customHeight="1" x14ac:dyDescent="0.3">
      <c r="A21" s="190" t="s">
        <v>110</v>
      </c>
      <c r="B21" s="104">
        <f>'Skjema total MA'!B29</f>
        <v>46830826.733410731</v>
      </c>
      <c r="C21" s="104">
        <f>'Skjema total MA'!C29</f>
        <v>45814072.01641719</v>
      </c>
      <c r="D21" s="210">
        <f t="shared" ref="D21:D27" si="4">IF(B21=0, "    ---- ", IF(ABS(ROUND(100/B21*C21-100,1))&lt;999,ROUND(100/B21*C21-100,1),IF(ROUND(100/B21*C21-100,1)&gt;999,999,-999)))</f>
        <v>-2.2000000000000002</v>
      </c>
      <c r="E21" s="181"/>
      <c r="F21" s="193">
        <f>'Skjema total MA'!E29</f>
        <v>20087775.560259998</v>
      </c>
      <c r="G21" s="193">
        <f>'Skjema total MA'!F29</f>
        <v>25414685.973739393</v>
      </c>
      <c r="H21" s="210">
        <f t="shared" si="2"/>
        <v>26.5</v>
      </c>
      <c r="I21" s="181"/>
      <c r="J21" s="193">
        <f t="shared" si="0"/>
        <v>66918602.293670729</v>
      </c>
      <c r="K21" s="193">
        <f t="shared" si="0"/>
        <v>71228757.990156591</v>
      </c>
      <c r="L21" s="208">
        <f t="shared" si="3"/>
        <v>6.4</v>
      </c>
      <c r="M21" s="74"/>
    </row>
    <row r="22" spans="1:23" ht="18.75" x14ac:dyDescent="0.3">
      <c r="A22" s="190" t="s">
        <v>112</v>
      </c>
      <c r="B22" s="104">
        <f>'Skjema total MA'!B87</f>
        <v>392655330.49770975</v>
      </c>
      <c r="C22" s="104">
        <f>'Skjema total MA'!C87</f>
        <v>398969561.00984657</v>
      </c>
      <c r="D22" s="210">
        <f t="shared" si="4"/>
        <v>1.6</v>
      </c>
      <c r="E22" s="181"/>
      <c r="F22" s="193">
        <f>'Skjema total MA'!E87</f>
        <v>280257985.39462996</v>
      </c>
      <c r="G22" s="193">
        <f>'Skjema total MA'!F87</f>
        <v>393569552.66609597</v>
      </c>
      <c r="H22" s="210">
        <f t="shared" si="2"/>
        <v>40.4</v>
      </c>
      <c r="I22" s="181"/>
      <c r="J22" s="193">
        <f t="shared" si="0"/>
        <v>672913315.89233971</v>
      </c>
      <c r="K22" s="193">
        <f t="shared" si="0"/>
        <v>792539113.67594254</v>
      </c>
      <c r="L22" s="208">
        <f t="shared" si="3"/>
        <v>17.8</v>
      </c>
      <c r="M22" s="74"/>
    </row>
    <row r="23" spans="1:23" ht="22.5" x14ac:dyDescent="0.3">
      <c r="A23" s="190" t="s">
        <v>116</v>
      </c>
      <c r="B23" s="104">
        <f>'Skjema total MA'!B89</f>
        <v>3100365.2542926096</v>
      </c>
      <c r="C23" s="104">
        <f>'Skjema total MA'!C89</f>
        <v>3056173.5037099998</v>
      </c>
      <c r="D23" s="210">
        <f t="shared" si="4"/>
        <v>-1.4</v>
      </c>
      <c r="E23" s="181"/>
      <c r="F23" s="193">
        <f>'Skjema total MA'!E89</f>
        <v>278595665.99615997</v>
      </c>
      <c r="G23" s="193">
        <f>'Skjema total MA'!F89</f>
        <v>389978027.86210597</v>
      </c>
      <c r="H23" s="210">
        <f t="shared" si="2"/>
        <v>40</v>
      </c>
      <c r="I23" s="181"/>
      <c r="J23" s="193">
        <f t="shared" si="0"/>
        <v>281696031.25045258</v>
      </c>
      <c r="K23" s="193">
        <f t="shared" si="0"/>
        <v>393034201.36581594</v>
      </c>
      <c r="L23" s="208">
        <f t="shared" si="3"/>
        <v>39.5</v>
      </c>
      <c r="M23" s="74"/>
    </row>
    <row r="24" spans="1:23" ht="18.75" x14ac:dyDescent="0.3">
      <c r="A24" s="191" t="s">
        <v>415</v>
      </c>
      <c r="B24" s="104">
        <f>'Skjema total MA'!B96</f>
        <v>1547559.5576300002</v>
      </c>
      <c r="C24" s="104">
        <f>'Skjema total MA'!C96</f>
        <v>2268547.0063399998</v>
      </c>
      <c r="D24" s="210">
        <f t="shared" si="4"/>
        <v>46.6</v>
      </c>
      <c r="E24" s="181"/>
      <c r="F24" s="193">
        <f>'Skjema total MA'!E96</f>
        <v>1662319.3984699999</v>
      </c>
      <c r="G24" s="193">
        <f>'Skjema total MA'!F96</f>
        <v>3591524.8039899999</v>
      </c>
      <c r="H24" s="210">
        <f t="shared" si="2"/>
        <v>116.1</v>
      </c>
      <c r="I24" s="181"/>
      <c r="J24" s="193">
        <f t="shared" si="0"/>
        <v>3209878.9561000001</v>
      </c>
      <c r="K24" s="193">
        <f t="shared" si="0"/>
        <v>5860071.8103299998</v>
      </c>
      <c r="L24" s="208">
        <f t="shared" si="3"/>
        <v>82.6</v>
      </c>
      <c r="M24" s="74"/>
    </row>
    <row r="25" spans="1:23" ht="22.5" x14ac:dyDescent="0.3">
      <c r="A25" s="190" t="s">
        <v>329</v>
      </c>
      <c r="B25" s="104">
        <f>'Skjema total MA'!B136</f>
        <v>589920574.41398847</v>
      </c>
      <c r="C25" s="104">
        <f>'Skjema total MA'!C136</f>
        <v>627915331.98663998</v>
      </c>
      <c r="D25" s="210">
        <f t="shared" si="4"/>
        <v>6.4</v>
      </c>
      <c r="E25" s="181"/>
      <c r="F25" s="193">
        <f>'Skjema total MA'!E136</f>
        <v>2151789.0251500001</v>
      </c>
      <c r="G25" s="193">
        <f>'Skjema total MA'!F136</f>
        <v>2073544.89796</v>
      </c>
      <c r="H25" s="210">
        <f t="shared" si="2"/>
        <v>-3.6</v>
      </c>
      <c r="I25" s="181"/>
      <c r="J25" s="193">
        <f t="shared" si="0"/>
        <v>592072363.43913841</v>
      </c>
      <c r="K25" s="193">
        <f t="shared" si="0"/>
        <v>629988876.88459992</v>
      </c>
      <c r="L25" s="208">
        <f t="shared" si="3"/>
        <v>6.4</v>
      </c>
      <c r="M25" s="74"/>
    </row>
    <row r="26" spans="1:23" ht="18.75" x14ac:dyDescent="0.3">
      <c r="A26" s="190" t="s">
        <v>114</v>
      </c>
      <c r="B26" s="104">
        <f>'Skjema total MA'!B37</f>
        <v>3566636.5660000001</v>
      </c>
      <c r="C26" s="104">
        <f>'Skjema total MA'!C37</f>
        <v>3348615.6830000002</v>
      </c>
      <c r="D26" s="210">
        <f t="shared" si="4"/>
        <v>-6.1</v>
      </c>
      <c r="E26" s="181"/>
      <c r="F26" s="193">
        <f>'Skjema total MA'!E37</f>
        <v>0</v>
      </c>
      <c r="G26" s="193">
        <f>'Skjema total MA'!F37</f>
        <v>0</v>
      </c>
      <c r="H26" s="210"/>
      <c r="I26" s="181"/>
      <c r="J26" s="193">
        <f t="shared" si="0"/>
        <v>3566636.5660000001</v>
      </c>
      <c r="K26" s="193">
        <f t="shared" si="0"/>
        <v>3348615.6830000002</v>
      </c>
      <c r="L26" s="208">
        <f t="shared" si="3"/>
        <v>-6.1</v>
      </c>
      <c r="M26" s="74"/>
    </row>
    <row r="27" spans="1:23" s="135" customFormat="1" ht="18.75" x14ac:dyDescent="0.3">
      <c r="A27" s="137" t="s">
        <v>117</v>
      </c>
      <c r="B27" s="110">
        <f>'Tabel 1.1'!G34</f>
        <v>1051826052.3220714</v>
      </c>
      <c r="C27" s="195">
        <f>'Tabel 1.1'!H34</f>
        <v>1093692924.8435318</v>
      </c>
      <c r="D27" s="210">
        <f t="shared" si="4"/>
        <v>4</v>
      </c>
      <c r="E27" s="138"/>
      <c r="F27" s="195">
        <f>'Tabel 1.1'!G47</f>
        <v>349107578.17365998</v>
      </c>
      <c r="G27" s="195">
        <f>'Tabel 1.1'!H47</f>
        <v>486291955.925336</v>
      </c>
      <c r="H27" s="210">
        <f t="shared" si="2"/>
        <v>39.299999999999997</v>
      </c>
      <c r="I27" s="138"/>
      <c r="J27" s="195">
        <f t="shared" si="0"/>
        <v>1400933630.4957314</v>
      </c>
      <c r="K27" s="195">
        <f t="shared" si="0"/>
        <v>1579984880.768868</v>
      </c>
      <c r="L27" s="208">
        <f t="shared" si="3"/>
        <v>12.8</v>
      </c>
      <c r="M27" s="75"/>
      <c r="N27" s="134"/>
      <c r="O27" s="134"/>
    </row>
    <row r="28" spans="1:23" ht="18.75" x14ac:dyDescent="0.3">
      <c r="A28" s="137"/>
      <c r="B28" s="104"/>
      <c r="C28" s="193"/>
      <c r="D28" s="210"/>
      <c r="E28" s="181"/>
      <c r="F28" s="193"/>
      <c r="G28" s="193"/>
      <c r="H28" s="210"/>
      <c r="I28" s="181"/>
      <c r="J28" s="193">
        <f t="shared" si="0"/>
        <v>0</v>
      </c>
      <c r="K28" s="193">
        <f t="shared" si="0"/>
        <v>0</v>
      </c>
      <c r="L28" s="208"/>
      <c r="M28" s="74"/>
    </row>
    <row r="29" spans="1:23" ht="22.5" x14ac:dyDescent="0.3">
      <c r="A29" s="189" t="s">
        <v>331</v>
      </c>
      <c r="B29" s="197"/>
      <c r="C29" s="200"/>
      <c r="D29" s="193"/>
      <c r="E29" s="181"/>
      <c r="F29" s="193"/>
      <c r="G29" s="193"/>
      <c r="H29" s="210"/>
      <c r="I29" s="181"/>
      <c r="J29" s="193"/>
      <c r="K29" s="193"/>
      <c r="L29" s="208"/>
      <c r="M29" s="74"/>
    </row>
    <row r="30" spans="1:23" ht="18.75" x14ac:dyDescent="0.3">
      <c r="A30" s="190" t="s">
        <v>109</v>
      </c>
      <c r="B30" s="104">
        <f>'Skjema total MA'!B11</f>
        <v>12545</v>
      </c>
      <c r="C30" s="104">
        <f>'Skjema total MA'!C11</f>
        <v>8831</v>
      </c>
      <c r="D30" s="210">
        <f>IF(B30=0, "    ---- ", IF(ABS(ROUND(100/B30*C30-100,1))&lt;999,ROUND(100/B30*C30-100,1),IF(ROUND(100/B30*C30-100,1)&gt;999,999,-999)))</f>
        <v>-29.6</v>
      </c>
      <c r="E30" s="181"/>
      <c r="F30" s="193">
        <f>'Skjema total MA'!E11</f>
        <v>127141.19075000001</v>
      </c>
      <c r="G30" s="193">
        <f>'Skjema total MA'!F11</f>
        <v>107247.28422</v>
      </c>
      <c r="H30" s="210">
        <f t="shared" si="2"/>
        <v>-15.6</v>
      </c>
      <c r="I30" s="181"/>
      <c r="J30" s="193">
        <f t="shared" si="0"/>
        <v>139686.19075000001</v>
      </c>
      <c r="K30" s="193">
        <f t="shared" si="0"/>
        <v>116078.28422</v>
      </c>
      <c r="L30" s="208">
        <f t="shared" si="3"/>
        <v>-16.899999999999999</v>
      </c>
      <c r="M30" s="74"/>
    </row>
    <row r="31" spans="1:23" ht="18.75" x14ac:dyDescent="0.3">
      <c r="A31" s="190" t="s">
        <v>110</v>
      </c>
      <c r="B31" s="104">
        <f>'Skjema total MA'!B34</f>
        <v>6440.9629999999997</v>
      </c>
      <c r="C31" s="104">
        <f>'Skjema total MA'!C34</f>
        <v>4439.8509999999997</v>
      </c>
      <c r="D31" s="210">
        <f t="shared" ref="D31:D38" si="5">IF(B31=0, "    ---- ", IF(ABS(ROUND(100/B31*C31-100,1))&lt;999,ROUND(100/B31*C31-100,1),IF(ROUND(100/B31*C31-100,1)&gt;999,999,-999)))</f>
        <v>-31.1</v>
      </c>
      <c r="E31" s="181"/>
      <c r="F31" s="193">
        <f>'Skjema total MA'!E34</f>
        <v>11228.54977</v>
      </c>
      <c r="G31" s="193">
        <f>'Skjema total MA'!F34</f>
        <v>-25799.089139999996</v>
      </c>
      <c r="H31" s="210">
        <f t="shared" si="2"/>
        <v>-329.8</v>
      </c>
      <c r="I31" s="181"/>
      <c r="J31" s="193">
        <f t="shared" si="0"/>
        <v>17669.512770000001</v>
      </c>
      <c r="K31" s="193">
        <f t="shared" si="0"/>
        <v>-21359.238139999998</v>
      </c>
      <c r="L31" s="208">
        <f t="shared" si="3"/>
        <v>-220.9</v>
      </c>
      <c r="M31" s="74"/>
    </row>
    <row r="32" spans="1:23" ht="18.75" x14ac:dyDescent="0.3">
      <c r="A32" s="190" t="s">
        <v>112</v>
      </c>
      <c r="B32" s="104">
        <f>'Skjema total MA'!B112</f>
        <v>394830.12543000001</v>
      </c>
      <c r="C32" s="104">
        <f>'Skjema total MA'!C112</f>
        <v>668835.44837</v>
      </c>
      <c r="D32" s="210">
        <f t="shared" si="5"/>
        <v>69.400000000000006</v>
      </c>
      <c r="E32" s="181"/>
      <c r="F32" s="193">
        <f>'Skjema total MA'!E112</f>
        <v>8919283.9669199996</v>
      </c>
      <c r="G32" s="193">
        <f>'Skjema total MA'!F112</f>
        <v>9636495.6418600008</v>
      </c>
      <c r="H32" s="210">
        <f t="shared" si="2"/>
        <v>8</v>
      </c>
      <c r="I32" s="181"/>
      <c r="J32" s="193">
        <f t="shared" si="0"/>
        <v>9314114.0923499987</v>
      </c>
      <c r="K32" s="193">
        <f t="shared" si="0"/>
        <v>10305331.090230001</v>
      </c>
      <c r="L32" s="208">
        <f t="shared" si="3"/>
        <v>10.6</v>
      </c>
      <c r="M32" s="74"/>
    </row>
    <row r="33" spans="1:15" ht="22.5" x14ac:dyDescent="0.3">
      <c r="A33" s="190" t="s">
        <v>329</v>
      </c>
      <c r="B33" s="104">
        <f>'Skjema total MA'!B137</f>
        <v>2965700.3289999999</v>
      </c>
      <c r="C33" s="104">
        <f>'Skjema total MA'!C137</f>
        <v>7005645.1660000002</v>
      </c>
      <c r="D33" s="210">
        <f t="shared" si="5"/>
        <v>136.19999999999999</v>
      </c>
      <c r="E33" s="181"/>
      <c r="F33" s="193">
        <f>'Skjema total MA'!E137</f>
        <v>-462765.72600000002</v>
      </c>
      <c r="G33" s="193">
        <f>'Skjema total MA'!F137</f>
        <v>0</v>
      </c>
      <c r="H33" s="210">
        <f t="shared" si="2"/>
        <v>-100</v>
      </c>
      <c r="I33" s="181"/>
      <c r="J33" s="193">
        <f t="shared" si="0"/>
        <v>2502934.6030000001</v>
      </c>
      <c r="K33" s="193">
        <f t="shared" si="0"/>
        <v>7005645.1660000002</v>
      </c>
      <c r="L33" s="208">
        <f t="shared" si="3"/>
        <v>179.9</v>
      </c>
      <c r="M33" s="74"/>
    </row>
    <row r="34" spans="1:15" ht="18.75" x14ac:dyDescent="0.3">
      <c r="A34" s="190" t="s">
        <v>114</v>
      </c>
      <c r="B34" s="104">
        <f>'Skjema total MA'!B38</f>
        <v>0</v>
      </c>
      <c r="C34" s="104">
        <f>'Skjema total MA'!C38</f>
        <v>0</v>
      </c>
      <c r="D34" s="210"/>
      <c r="E34" s="181"/>
      <c r="F34" s="193">
        <f>'Skjema total MA'!E38</f>
        <v>0</v>
      </c>
      <c r="G34" s="193">
        <f>'Skjema total MA'!F38</f>
        <v>0</v>
      </c>
      <c r="H34" s="210"/>
      <c r="I34" s="181"/>
      <c r="J34" s="193">
        <f t="shared" si="0"/>
        <v>0</v>
      </c>
      <c r="K34" s="193">
        <f t="shared" si="0"/>
        <v>0</v>
      </c>
      <c r="L34" s="208"/>
      <c r="M34" s="74"/>
    </row>
    <row r="35" spans="1:15" s="135" customFormat="1" ht="18.75" x14ac:dyDescent="0.3">
      <c r="A35" s="137" t="s">
        <v>118</v>
      </c>
      <c r="B35" s="110">
        <f>SUM(B30:B34)</f>
        <v>3379516.4174299999</v>
      </c>
      <c r="C35" s="195">
        <f>SUM(C30:C34)</f>
        <v>7687751.4653700003</v>
      </c>
      <c r="D35" s="210">
        <f t="shared" si="5"/>
        <v>127.5</v>
      </c>
      <c r="E35" s="138"/>
      <c r="F35" s="195">
        <f>SUM(F30:F34)</f>
        <v>8594887.9814400002</v>
      </c>
      <c r="G35" s="195">
        <f>SUM(G30:G34)</f>
        <v>9717943.8369400017</v>
      </c>
      <c r="H35" s="210">
        <f t="shared" si="2"/>
        <v>13.1</v>
      </c>
      <c r="I35" s="138"/>
      <c r="J35" s="195">
        <f t="shared" si="0"/>
        <v>11974404.398870001</v>
      </c>
      <c r="K35" s="195">
        <f t="shared" si="0"/>
        <v>17405695.302310001</v>
      </c>
      <c r="L35" s="208">
        <f t="shared" si="3"/>
        <v>45.4</v>
      </c>
      <c r="M35" s="75"/>
    </row>
    <row r="36" spans="1:15" ht="18.75" x14ac:dyDescent="0.3">
      <c r="A36" s="137"/>
      <c r="B36" s="110"/>
      <c r="C36" s="195"/>
      <c r="D36" s="210"/>
      <c r="E36" s="138"/>
      <c r="F36" s="195"/>
      <c r="G36" s="195"/>
      <c r="H36" s="210"/>
      <c r="I36" s="138"/>
      <c r="J36" s="193"/>
      <c r="K36" s="193"/>
      <c r="L36" s="208"/>
      <c r="M36" s="74"/>
    </row>
    <row r="37" spans="1:15" ht="22.5" x14ac:dyDescent="0.3">
      <c r="A37" s="137" t="s">
        <v>332</v>
      </c>
      <c r="B37" s="110"/>
      <c r="C37" s="195"/>
      <c r="D37" s="193"/>
      <c r="E37" s="138"/>
      <c r="F37" s="195"/>
      <c r="G37" s="195"/>
      <c r="H37" s="210"/>
      <c r="I37" s="138"/>
      <c r="J37" s="193"/>
      <c r="K37" s="193"/>
      <c r="L37" s="208"/>
      <c r="M37" s="74"/>
    </row>
    <row r="38" spans="1:15" s="135" customFormat="1" ht="18.75" x14ac:dyDescent="0.3">
      <c r="A38" s="137" t="s">
        <v>111</v>
      </c>
      <c r="B38" s="110">
        <f>'Skjema total MA'!B53</f>
        <v>102391.736</v>
      </c>
      <c r="C38" s="110">
        <f>'Skjema total MA'!C53</f>
        <v>219648.68387602182</v>
      </c>
      <c r="D38" s="210">
        <f t="shared" si="5"/>
        <v>114.5</v>
      </c>
      <c r="E38" s="138"/>
      <c r="F38" s="195"/>
      <c r="G38" s="195"/>
      <c r="H38" s="210"/>
      <c r="I38" s="138"/>
      <c r="J38" s="195">
        <f t="shared" si="0"/>
        <v>102391.736</v>
      </c>
      <c r="K38" s="195">
        <f t="shared" si="0"/>
        <v>219648.68387602182</v>
      </c>
      <c r="L38" s="208">
        <f t="shared" si="3"/>
        <v>114.5</v>
      </c>
      <c r="M38" s="75"/>
    </row>
    <row r="39" spans="1:15" ht="18.75" x14ac:dyDescent="0.3">
      <c r="A39" s="137"/>
      <c r="B39" s="110"/>
      <c r="C39" s="195"/>
      <c r="D39" s="193"/>
      <c r="E39" s="138"/>
      <c r="F39" s="195"/>
      <c r="G39" s="195"/>
      <c r="H39" s="210"/>
      <c r="I39" s="138"/>
      <c r="J39" s="193"/>
      <c r="K39" s="193"/>
      <c r="L39" s="208"/>
      <c r="M39" s="74"/>
    </row>
    <row r="40" spans="1:15" ht="22.5" x14ac:dyDescent="0.3">
      <c r="A40" s="189" t="s">
        <v>333</v>
      </c>
      <c r="B40" s="197"/>
      <c r="C40" s="200"/>
      <c r="D40" s="193"/>
      <c r="E40" s="181"/>
      <c r="F40" s="193"/>
      <c r="G40" s="193"/>
      <c r="H40" s="210"/>
      <c r="I40" s="181"/>
      <c r="J40" s="193"/>
      <c r="K40" s="193"/>
      <c r="L40" s="208"/>
      <c r="M40" s="74"/>
    </row>
    <row r="41" spans="1:15" ht="18.75" x14ac:dyDescent="0.3">
      <c r="A41" s="190" t="s">
        <v>109</v>
      </c>
      <c r="B41" s="104">
        <f>'Skjema total MA'!B12</f>
        <v>1342</v>
      </c>
      <c r="C41" s="104">
        <f>'Skjema total MA'!C12</f>
        <v>3501</v>
      </c>
      <c r="D41" s="210">
        <f t="shared" ref="D41:D46" si="6">IF(B41=0, "    ---- ", IF(ABS(ROUND(100/B41*C41-100,1))&lt;999,ROUND(100/B41*C41-100,1),IF(ROUND(100/B41*C41-100,1)&gt;999,999,-999)))</f>
        <v>160.9</v>
      </c>
      <c r="E41" s="181"/>
      <c r="F41" s="193">
        <f>'Skjema total MA'!E12</f>
        <v>100966.73105999999</v>
      </c>
      <c r="G41" s="193">
        <f>'Skjema total MA'!F12</f>
        <v>48180.42136</v>
      </c>
      <c r="H41" s="210">
        <f t="shared" si="2"/>
        <v>-52.3</v>
      </c>
      <c r="I41" s="181"/>
      <c r="J41" s="193">
        <f t="shared" si="0"/>
        <v>102308.73105999999</v>
      </c>
      <c r="K41" s="193">
        <f t="shared" si="0"/>
        <v>51681.42136</v>
      </c>
      <c r="L41" s="208">
        <f t="shared" si="3"/>
        <v>-49.5</v>
      </c>
      <c r="M41" s="74"/>
    </row>
    <row r="42" spans="1:15" ht="18.75" x14ac:dyDescent="0.3">
      <c r="A42" s="190" t="s">
        <v>110</v>
      </c>
      <c r="B42" s="104">
        <f>'Skjema total MA'!B35</f>
        <v>-20461.540779999999</v>
      </c>
      <c r="C42" s="104">
        <f>'Skjema total MA'!C35</f>
        <v>-51637.385999999999</v>
      </c>
      <c r="D42" s="210">
        <f t="shared" si="6"/>
        <v>152.4</v>
      </c>
      <c r="E42" s="181"/>
      <c r="F42" s="193">
        <f>'Skjema total MA'!E35</f>
        <v>45525.392039999999</v>
      </c>
      <c r="G42" s="193">
        <f>'Skjema total MA'!F35</f>
        <v>60364.423900000009</v>
      </c>
      <c r="H42" s="210">
        <f t="shared" si="2"/>
        <v>32.6</v>
      </c>
      <c r="I42" s="181"/>
      <c r="J42" s="193">
        <f t="shared" si="0"/>
        <v>25063.851259999999</v>
      </c>
      <c r="K42" s="193">
        <f t="shared" si="0"/>
        <v>8727.0379000000103</v>
      </c>
      <c r="L42" s="208">
        <f t="shared" si="3"/>
        <v>-65.2</v>
      </c>
      <c r="M42" s="74"/>
    </row>
    <row r="43" spans="1:15" ht="18.75" x14ac:dyDescent="0.3">
      <c r="A43" s="190" t="s">
        <v>112</v>
      </c>
      <c r="B43" s="104">
        <f>'Skjema total MA'!B120</f>
        <v>490320.78743000003</v>
      </c>
      <c r="C43" s="104">
        <f>'Skjema total MA'!C120</f>
        <v>130891.23568</v>
      </c>
      <c r="D43" s="210">
        <f t="shared" si="6"/>
        <v>-73.3</v>
      </c>
      <c r="E43" s="181"/>
      <c r="F43" s="193">
        <f>'Skjema total MA'!E120</f>
        <v>8634899.7007600013</v>
      </c>
      <c r="G43" s="193">
        <f>'Skjema total MA'!F120</f>
        <v>12094950.20933</v>
      </c>
      <c r="H43" s="210">
        <f t="shared" si="2"/>
        <v>40.1</v>
      </c>
      <c r="I43" s="181"/>
      <c r="J43" s="193">
        <f t="shared" si="0"/>
        <v>9125220.4881900009</v>
      </c>
      <c r="K43" s="193">
        <f t="shared" si="0"/>
        <v>12225841.445010001</v>
      </c>
      <c r="L43" s="208">
        <f t="shared" si="3"/>
        <v>34</v>
      </c>
      <c r="M43" s="74"/>
    </row>
    <row r="44" spans="1:15" ht="22.5" x14ac:dyDescent="0.3">
      <c r="A44" s="190" t="s">
        <v>329</v>
      </c>
      <c r="B44" s="104">
        <f>'Skjema total MA'!B138</f>
        <v>6377265.6059999997</v>
      </c>
      <c r="C44" s="104">
        <f>'Skjema total MA'!C138</f>
        <v>8418803.5179999992</v>
      </c>
      <c r="D44" s="210">
        <f t="shared" si="6"/>
        <v>32</v>
      </c>
      <c r="E44" s="181"/>
      <c r="F44" s="193">
        <f>'Skjema total MA'!E138</f>
        <v>0</v>
      </c>
      <c r="G44" s="193">
        <f>'Skjema total MA'!F138</f>
        <v>0</v>
      </c>
      <c r="H44" s="210"/>
      <c r="I44" s="181"/>
      <c r="J44" s="193">
        <f t="shared" si="0"/>
        <v>6377265.6059999997</v>
      </c>
      <c r="K44" s="193">
        <f t="shared" si="0"/>
        <v>8418803.5179999992</v>
      </c>
      <c r="L44" s="208">
        <f t="shared" si="3"/>
        <v>32</v>
      </c>
      <c r="M44" s="74"/>
    </row>
    <row r="45" spans="1:15" ht="18.75" x14ac:dyDescent="0.3">
      <c r="A45" s="190" t="s">
        <v>114</v>
      </c>
      <c r="B45" s="104">
        <f>'Skjema total MA'!B39</f>
        <v>0</v>
      </c>
      <c r="C45" s="104">
        <f>'Skjema total MA'!C39</f>
        <v>2</v>
      </c>
      <c r="D45" s="210" t="str">
        <f t="shared" si="6"/>
        <v xml:space="preserve">    ---- </v>
      </c>
      <c r="E45" s="181"/>
      <c r="F45" s="193"/>
      <c r="G45" s="193"/>
      <c r="H45" s="210"/>
      <c r="I45" s="181"/>
      <c r="J45" s="193">
        <f t="shared" si="0"/>
        <v>0</v>
      </c>
      <c r="K45" s="193">
        <f t="shared" si="0"/>
        <v>2</v>
      </c>
      <c r="L45" s="208" t="str">
        <f t="shared" si="3"/>
        <v xml:space="preserve">    ---- </v>
      </c>
      <c r="M45" s="74"/>
    </row>
    <row r="46" spans="1:15" s="135" customFormat="1" ht="18.75" x14ac:dyDescent="0.3">
      <c r="A46" s="137" t="s">
        <v>119</v>
      </c>
      <c r="B46" s="110">
        <f>SUM(B41:B45)</f>
        <v>6848466.8526499998</v>
      </c>
      <c r="C46" s="195">
        <f>SUM(C41:C45)</f>
        <v>8501560.3676800001</v>
      </c>
      <c r="D46" s="210">
        <f t="shared" si="6"/>
        <v>24.1</v>
      </c>
      <c r="E46" s="138"/>
      <c r="F46" s="195">
        <f>SUM(F41:F45)</f>
        <v>8781391.8238600008</v>
      </c>
      <c r="G46" s="249">
        <f>SUM(G41:G45)</f>
        <v>12203495.05459</v>
      </c>
      <c r="H46" s="210">
        <f t="shared" si="2"/>
        <v>39</v>
      </c>
      <c r="I46" s="138"/>
      <c r="J46" s="195">
        <f t="shared" si="0"/>
        <v>15629858.676510001</v>
      </c>
      <c r="K46" s="195">
        <f t="shared" si="0"/>
        <v>20705055.42227</v>
      </c>
      <c r="L46" s="208">
        <f t="shared" si="3"/>
        <v>32.5</v>
      </c>
      <c r="M46" s="75"/>
      <c r="N46" s="134"/>
      <c r="O46" s="134"/>
    </row>
    <row r="47" spans="1:15" ht="18.75" x14ac:dyDescent="0.3">
      <c r="A47" s="137"/>
      <c r="B47" s="110"/>
      <c r="C47" s="195"/>
      <c r="D47" s="193"/>
      <c r="E47" s="138"/>
      <c r="F47" s="195"/>
      <c r="G47" s="195"/>
      <c r="H47" s="210"/>
      <c r="I47" s="138"/>
      <c r="J47" s="193"/>
      <c r="K47" s="193"/>
      <c r="L47" s="208"/>
      <c r="M47" s="74"/>
    </row>
    <row r="48" spans="1:15" ht="22.5" x14ac:dyDescent="0.3">
      <c r="A48" s="137" t="s">
        <v>334</v>
      </c>
      <c r="B48" s="110"/>
      <c r="C48" s="195"/>
      <c r="D48" s="193"/>
      <c r="E48" s="138"/>
      <c r="F48" s="195"/>
      <c r="G48" s="195"/>
      <c r="H48" s="210"/>
      <c r="I48" s="138"/>
      <c r="J48" s="193"/>
      <c r="K48" s="193"/>
      <c r="L48" s="208"/>
      <c r="M48" s="74"/>
    </row>
    <row r="49" spans="1:15" s="135" customFormat="1" ht="18.75" x14ac:dyDescent="0.3">
      <c r="A49" s="137" t="s">
        <v>111</v>
      </c>
      <c r="B49" s="110">
        <f>'Skjema total MA'!B56</f>
        <v>94447.146999999997</v>
      </c>
      <c r="C49" s="110">
        <f>'Skjema total MA'!C56</f>
        <v>47182.688999999998</v>
      </c>
      <c r="D49" s="210">
        <f>IF(B49=0, "    ---- ", IF(ABS(ROUND(100/B49*C49-100,1))&lt;999,ROUND(100/B49*C49-100,1),IF(ROUND(100/B49*C49-100,1)&gt;999,999,-999)))</f>
        <v>-50</v>
      </c>
      <c r="E49" s="138"/>
      <c r="F49" s="195"/>
      <c r="G49" s="195"/>
      <c r="H49" s="210"/>
      <c r="I49" s="138"/>
      <c r="J49" s="195">
        <f>SUM(B49+F49)</f>
        <v>94447.146999999997</v>
      </c>
      <c r="K49" s="195">
        <f>SUM(C49+G49)</f>
        <v>47182.688999999998</v>
      </c>
      <c r="L49" s="208">
        <f t="shared" si="3"/>
        <v>-50</v>
      </c>
      <c r="M49" s="75"/>
    </row>
    <row r="50" spans="1:15" ht="18.75" x14ac:dyDescent="0.3">
      <c r="A50" s="137"/>
      <c r="B50" s="104"/>
      <c r="C50" s="193"/>
      <c r="D50" s="193"/>
      <c r="E50" s="181"/>
      <c r="F50" s="193"/>
      <c r="G50" s="193"/>
      <c r="H50" s="210"/>
      <c r="I50" s="181"/>
      <c r="J50" s="193"/>
      <c r="K50" s="193"/>
      <c r="L50" s="208"/>
      <c r="M50" s="74"/>
    </row>
    <row r="51" spans="1:15" ht="21.75" x14ac:dyDescent="0.3">
      <c r="A51" s="189" t="s">
        <v>335</v>
      </c>
      <c r="B51" s="104"/>
      <c r="C51" s="193"/>
      <c r="D51" s="193"/>
      <c r="E51" s="181"/>
      <c r="F51" s="193"/>
      <c r="G51" s="193"/>
      <c r="H51" s="210"/>
      <c r="I51" s="181"/>
      <c r="J51" s="193"/>
      <c r="K51" s="193"/>
      <c r="L51" s="208"/>
      <c r="M51" s="74"/>
    </row>
    <row r="52" spans="1:15" ht="18.75" x14ac:dyDescent="0.3">
      <c r="A52" s="190" t="s">
        <v>109</v>
      </c>
      <c r="B52" s="104">
        <f>B30-B41</f>
        <v>11203</v>
      </c>
      <c r="C52" s="193">
        <f>C30-C41</f>
        <v>5330</v>
      </c>
      <c r="D52" s="210">
        <f>IF(B52=0, "    ---- ", IF(ABS(ROUND(100/B52*C52-100,1))&lt;999,ROUND(100/B52*C52-100,1),IF(ROUND(100/B52*C52-100,1)&gt;999,999,-999)))</f>
        <v>-52.4</v>
      </c>
      <c r="E52" s="181"/>
      <c r="F52" s="193">
        <f>F30-F41</f>
        <v>26174.459690000018</v>
      </c>
      <c r="G52" s="193">
        <f>G30-G41</f>
        <v>59066.862860000001</v>
      </c>
      <c r="H52" s="210">
        <f t="shared" si="2"/>
        <v>125.7</v>
      </c>
      <c r="I52" s="181"/>
      <c r="J52" s="193">
        <f t="shared" si="0"/>
        <v>37377.459690000018</v>
      </c>
      <c r="K52" s="193">
        <f t="shared" si="0"/>
        <v>64396.862860000001</v>
      </c>
      <c r="L52" s="208">
        <f t="shared" si="3"/>
        <v>72.3</v>
      </c>
      <c r="M52" s="74"/>
    </row>
    <row r="53" spans="1:15" ht="18.75" x14ac:dyDescent="0.3">
      <c r="A53" s="190" t="s">
        <v>110</v>
      </c>
      <c r="B53" s="104">
        <f t="shared" ref="B53:C56" si="7">B31-B42</f>
        <v>26902.503779999999</v>
      </c>
      <c r="C53" s="193">
        <f t="shared" si="7"/>
        <v>56077.237000000001</v>
      </c>
      <c r="D53" s="210">
        <f t="shared" ref="D53:D60" si="8">IF(B53=0, "    ---- ", IF(ABS(ROUND(100/B53*C53-100,1))&lt;999,ROUND(100/B53*C53-100,1),IF(ROUND(100/B53*C53-100,1)&gt;999,999,-999)))</f>
        <v>108.4</v>
      </c>
      <c r="E53" s="181"/>
      <c r="F53" s="193">
        <f t="shared" ref="F53:G56" si="9">F31-F42</f>
        <v>-34296.842270000001</v>
      </c>
      <c r="G53" s="193">
        <f t="shared" si="9"/>
        <v>-86163.513040000005</v>
      </c>
      <c r="H53" s="210">
        <f t="shared" si="2"/>
        <v>151.19999999999999</v>
      </c>
      <c r="I53" s="181"/>
      <c r="J53" s="193">
        <f t="shared" si="0"/>
        <v>-7394.3384900000019</v>
      </c>
      <c r="K53" s="193">
        <f t="shared" si="0"/>
        <v>-30086.276040000004</v>
      </c>
      <c r="L53" s="208">
        <f t="shared" si="3"/>
        <v>306.89999999999998</v>
      </c>
      <c r="M53" s="74"/>
    </row>
    <row r="54" spans="1:15" ht="18.75" x14ac:dyDescent="0.3">
      <c r="A54" s="190" t="s">
        <v>112</v>
      </c>
      <c r="B54" s="104">
        <f t="shared" si="7"/>
        <v>-95490.662000000011</v>
      </c>
      <c r="C54" s="193">
        <f t="shared" si="7"/>
        <v>537944.21268999996</v>
      </c>
      <c r="D54" s="210">
        <f t="shared" si="8"/>
        <v>-663.3</v>
      </c>
      <c r="E54" s="181"/>
      <c r="F54" s="193">
        <f t="shared" si="9"/>
        <v>284384.26615999825</v>
      </c>
      <c r="G54" s="193">
        <f t="shared" si="9"/>
        <v>-2458454.5674699992</v>
      </c>
      <c r="H54" s="210">
        <f t="shared" si="2"/>
        <v>-964.5</v>
      </c>
      <c r="I54" s="181"/>
      <c r="J54" s="193">
        <f t="shared" si="0"/>
        <v>188893.60415999824</v>
      </c>
      <c r="K54" s="193">
        <f t="shared" si="0"/>
        <v>-1920510.3547799992</v>
      </c>
      <c r="L54" s="208">
        <f t="shared" si="3"/>
        <v>-999</v>
      </c>
      <c r="M54" s="74"/>
    </row>
    <row r="55" spans="1:15" ht="22.5" x14ac:dyDescent="0.3">
      <c r="A55" s="190" t="s">
        <v>329</v>
      </c>
      <c r="B55" s="104">
        <f t="shared" si="7"/>
        <v>-3411565.2769999998</v>
      </c>
      <c r="C55" s="193">
        <f t="shared" si="7"/>
        <v>-1413158.351999999</v>
      </c>
      <c r="D55" s="210">
        <f t="shared" si="8"/>
        <v>-58.6</v>
      </c>
      <c r="E55" s="181"/>
      <c r="F55" s="193">
        <f t="shared" si="9"/>
        <v>-462765.72600000002</v>
      </c>
      <c r="G55" s="193">
        <f t="shared" si="9"/>
        <v>0</v>
      </c>
      <c r="H55" s="210">
        <f t="shared" si="2"/>
        <v>-100</v>
      </c>
      <c r="I55" s="181"/>
      <c r="J55" s="193">
        <f t="shared" si="0"/>
        <v>-3874331.0029999996</v>
      </c>
      <c r="K55" s="193">
        <f t="shared" si="0"/>
        <v>-1413158.351999999</v>
      </c>
      <c r="L55" s="208">
        <f t="shared" si="3"/>
        <v>-63.5</v>
      </c>
      <c r="M55" s="74"/>
    </row>
    <row r="56" spans="1:15" ht="18.75" x14ac:dyDescent="0.3">
      <c r="A56" s="190" t="s">
        <v>114</v>
      </c>
      <c r="B56" s="104">
        <f t="shared" si="7"/>
        <v>0</v>
      </c>
      <c r="C56" s="193">
        <f t="shared" si="7"/>
        <v>-2</v>
      </c>
      <c r="D56" s="210" t="str">
        <f t="shared" si="8"/>
        <v xml:space="preserve">    ---- </v>
      </c>
      <c r="E56" s="181"/>
      <c r="F56" s="193">
        <f t="shared" si="9"/>
        <v>0</v>
      </c>
      <c r="G56" s="193">
        <f t="shared" si="9"/>
        <v>0</v>
      </c>
      <c r="H56" s="210"/>
      <c r="I56" s="181"/>
      <c r="J56" s="193">
        <f t="shared" si="0"/>
        <v>0</v>
      </c>
      <c r="K56" s="193">
        <f t="shared" si="0"/>
        <v>-2</v>
      </c>
      <c r="L56" s="208" t="str">
        <f t="shared" si="3"/>
        <v xml:space="preserve">    ---- </v>
      </c>
      <c r="M56" s="74"/>
    </row>
    <row r="57" spans="1:15" s="135" customFormat="1" ht="18.75" x14ac:dyDescent="0.3">
      <c r="A57" s="137" t="s">
        <v>120</v>
      </c>
      <c r="B57" s="110">
        <f>SUM(B52:B56)</f>
        <v>-3468950.4352199999</v>
      </c>
      <c r="C57" s="195">
        <f>SUM(C52:C56)</f>
        <v>-813808.9023099991</v>
      </c>
      <c r="D57" s="210">
        <f>IF(B57=0, "    ---- ", IF(ABS(ROUND(100/B57*C57-100,1))&lt;999,ROUND(100/B57*C57-100,1),IF(ROUND(100/B57*C57-100,1)&gt;999,999,-999)))</f>
        <v>-76.5</v>
      </c>
      <c r="E57" s="138"/>
      <c r="F57" s="195">
        <f>SUM(F52:F56)</f>
        <v>-186503.84242000175</v>
      </c>
      <c r="G57" s="249">
        <f>SUM(G52:G56)</f>
        <v>-2485551.2176499991</v>
      </c>
      <c r="H57" s="210">
        <f t="shared" si="2"/>
        <v>999</v>
      </c>
      <c r="I57" s="138"/>
      <c r="J57" s="195">
        <f t="shared" si="0"/>
        <v>-3655454.2776400018</v>
      </c>
      <c r="K57" s="193">
        <f t="shared" si="0"/>
        <v>-3299360.1199599979</v>
      </c>
      <c r="L57" s="208">
        <f t="shared" si="3"/>
        <v>-9.6999999999999993</v>
      </c>
      <c r="M57" s="75"/>
      <c r="N57" s="134"/>
      <c r="O57" s="134"/>
    </row>
    <row r="58" spans="1:15" ht="18.75" x14ac:dyDescent="0.3">
      <c r="A58" s="137"/>
      <c r="B58" s="110"/>
      <c r="C58" s="195"/>
      <c r="D58" s="210"/>
      <c r="E58" s="138"/>
      <c r="F58" s="195"/>
      <c r="G58" s="195"/>
      <c r="H58" s="210"/>
      <c r="I58" s="138"/>
      <c r="J58" s="195"/>
      <c r="K58" s="193"/>
      <c r="L58" s="208"/>
      <c r="M58" s="74"/>
    </row>
    <row r="59" spans="1:15" ht="22.5" x14ac:dyDescent="0.3">
      <c r="A59" s="137" t="s">
        <v>336</v>
      </c>
      <c r="B59" s="110"/>
      <c r="C59" s="195"/>
      <c r="D59" s="210"/>
      <c r="E59" s="138"/>
      <c r="F59" s="195"/>
      <c r="G59" s="195"/>
      <c r="H59" s="210"/>
      <c r="I59" s="138"/>
      <c r="J59" s="195"/>
      <c r="K59" s="193"/>
      <c r="L59" s="208"/>
      <c r="M59" s="74"/>
    </row>
    <row r="60" spans="1:15" s="135" customFormat="1" ht="18.75" x14ac:dyDescent="0.3">
      <c r="A60" s="137" t="s">
        <v>111</v>
      </c>
      <c r="B60" s="110">
        <f>B38-B49</f>
        <v>7944.5890000000072</v>
      </c>
      <c r="C60" s="195">
        <f>C38-C49</f>
        <v>172465.99487602181</v>
      </c>
      <c r="D60" s="210">
        <f t="shared" si="8"/>
        <v>999</v>
      </c>
      <c r="E60" s="138"/>
      <c r="F60" s="195">
        <f>F38-F49</f>
        <v>0</v>
      </c>
      <c r="G60" s="195">
        <f>G38-G49</f>
        <v>0</v>
      </c>
      <c r="H60" s="210"/>
      <c r="I60" s="138"/>
      <c r="J60" s="195">
        <f t="shared" si="0"/>
        <v>7944.5890000000072</v>
      </c>
      <c r="K60" s="193">
        <f t="shared" si="0"/>
        <v>172465.99487602181</v>
      </c>
      <c r="L60" s="208">
        <f t="shared" si="3"/>
        <v>999</v>
      </c>
      <c r="M60" s="75"/>
    </row>
    <row r="61" spans="1:15" s="135" customFormat="1" ht="18.75" x14ac:dyDescent="0.3">
      <c r="A61" s="192"/>
      <c r="B61" s="115"/>
      <c r="C61" s="196"/>
      <c r="D61" s="201"/>
      <c r="E61" s="138"/>
      <c r="F61" s="196"/>
      <c r="G61" s="196"/>
      <c r="H61" s="201"/>
      <c r="I61" s="138"/>
      <c r="J61" s="201"/>
      <c r="K61" s="201"/>
      <c r="L61" s="201"/>
      <c r="M61" s="75"/>
    </row>
    <row r="62" spans="1:15" ht="18.75" x14ac:dyDescent="0.3">
      <c r="A62" s="112" t="s">
        <v>121</v>
      </c>
      <c r="C62" s="139"/>
      <c r="D62" s="139"/>
      <c r="E62" s="139"/>
      <c r="F62" s="139"/>
      <c r="G62" s="112"/>
      <c r="H62" s="74"/>
      <c r="I62" s="112"/>
      <c r="J62" s="112"/>
      <c r="K62" s="112"/>
      <c r="L62" s="74"/>
      <c r="M62" s="74"/>
    </row>
    <row r="63" spans="1:15" ht="18.75" x14ac:dyDescent="0.3">
      <c r="A63" s="112" t="s">
        <v>122</v>
      </c>
      <c r="C63" s="139"/>
      <c r="D63" s="139"/>
      <c r="E63" s="139"/>
      <c r="F63" s="139"/>
      <c r="G63" s="74"/>
      <c r="H63" s="74"/>
      <c r="I63" s="74"/>
      <c r="J63" s="74"/>
      <c r="K63" s="74"/>
      <c r="L63" s="74"/>
      <c r="M63" s="74"/>
    </row>
    <row r="64" spans="1:15" ht="18.75" x14ac:dyDescent="0.3">
      <c r="A64" s="112" t="s">
        <v>102</v>
      </c>
      <c r="B64" s="74"/>
      <c r="C64" s="74"/>
      <c r="D64" s="74"/>
      <c r="E64" s="74"/>
      <c r="F64" s="74"/>
      <c r="G64" s="74"/>
      <c r="H64" s="74"/>
      <c r="I64" s="74"/>
      <c r="J64" s="74"/>
      <c r="K64" s="74"/>
      <c r="L64" s="74"/>
      <c r="M64" s="74"/>
    </row>
    <row r="65" spans="1:13" ht="18.75" x14ac:dyDescent="0.3">
      <c r="A65" s="74"/>
      <c r="C65" s="74"/>
      <c r="D65" s="74"/>
      <c r="E65" s="74"/>
      <c r="F65" s="74"/>
      <c r="G65" s="74"/>
      <c r="H65" s="74"/>
      <c r="I65" s="74"/>
      <c r="J65" s="74"/>
      <c r="K65" s="74"/>
      <c r="L65" s="74"/>
      <c r="M65" s="74"/>
    </row>
    <row r="66" spans="1:13" ht="18.75" x14ac:dyDescent="0.3">
      <c r="A66" s="74"/>
      <c r="B66" s="74"/>
      <c r="C66" s="74"/>
      <c r="D66" s="74"/>
      <c r="E66" s="74"/>
      <c r="F66" s="74"/>
      <c r="G66" s="74"/>
      <c r="H66" s="74"/>
      <c r="I66" s="74"/>
      <c r="J66" s="74"/>
      <c r="K66" s="74"/>
      <c r="L66" s="74"/>
      <c r="M66" s="74"/>
    </row>
    <row r="67" spans="1:13" ht="18.75" x14ac:dyDescent="0.3">
      <c r="A67" s="74"/>
      <c r="B67" s="74"/>
      <c r="C67" s="74"/>
      <c r="D67" s="74"/>
      <c r="E67" s="74"/>
      <c r="F67" s="74"/>
      <c r="G67" s="74"/>
      <c r="H67" s="74"/>
      <c r="I67" s="74"/>
      <c r="J67" s="74"/>
      <c r="K67" s="74"/>
      <c r="L67" s="74"/>
      <c r="M67" s="74"/>
    </row>
    <row r="68" spans="1:13" ht="18.75" x14ac:dyDescent="0.3">
      <c r="A68" s="74"/>
      <c r="B68" s="74"/>
      <c r="C68" s="74"/>
      <c r="D68" s="74"/>
      <c r="E68" s="74"/>
      <c r="F68" s="74"/>
      <c r="G68" s="74"/>
      <c r="H68" s="74"/>
      <c r="I68" s="74"/>
      <c r="J68" s="74"/>
      <c r="K68" s="74"/>
      <c r="L68" s="74"/>
      <c r="M68" s="74"/>
    </row>
    <row r="69" spans="1:13" ht="18.75" x14ac:dyDescent="0.3">
      <c r="A69" s="74"/>
      <c r="B69" s="74"/>
      <c r="C69" s="74"/>
      <c r="D69" s="74"/>
      <c r="E69" s="74"/>
      <c r="F69" s="74"/>
      <c r="G69" s="74"/>
      <c r="H69" s="74"/>
      <c r="I69" s="74"/>
      <c r="J69" s="74"/>
      <c r="K69" s="74"/>
      <c r="L69" s="74"/>
      <c r="M69" s="74"/>
    </row>
    <row r="70" spans="1:13" ht="18.75" x14ac:dyDescent="0.3">
      <c r="A70" s="74"/>
      <c r="B70" s="74"/>
      <c r="C70" s="74"/>
      <c r="D70" s="74"/>
      <c r="E70" s="74"/>
      <c r="F70" s="74"/>
      <c r="G70" s="74"/>
      <c r="H70" s="74"/>
      <c r="I70" s="74"/>
      <c r="J70" s="74"/>
      <c r="K70" s="74"/>
      <c r="L70" s="74"/>
      <c r="M70" s="74"/>
    </row>
    <row r="71" spans="1:13" ht="18.75" x14ac:dyDescent="0.3">
      <c r="A71" s="74"/>
      <c r="B71" s="74"/>
      <c r="C71" s="74"/>
      <c r="D71" s="74"/>
      <c r="E71" s="74"/>
      <c r="F71" s="74"/>
      <c r="G71" s="74"/>
      <c r="H71" s="74"/>
      <c r="I71" s="74"/>
      <c r="J71" s="74"/>
      <c r="K71" s="74"/>
      <c r="L71" s="74"/>
      <c r="M71" s="74"/>
    </row>
    <row r="72" spans="1:13" ht="18.75" x14ac:dyDescent="0.3">
      <c r="A72" s="74"/>
      <c r="B72" s="74"/>
      <c r="C72" s="74"/>
      <c r="D72" s="74"/>
      <c r="E72" s="74"/>
      <c r="F72" s="74"/>
      <c r="G72" s="74"/>
      <c r="H72" s="74"/>
      <c r="I72" s="74"/>
      <c r="J72" s="74"/>
      <c r="K72" s="74"/>
      <c r="L72" s="74"/>
      <c r="M72" s="74"/>
    </row>
    <row r="73" spans="1:13" ht="18.75" x14ac:dyDescent="0.3">
      <c r="A73" s="74"/>
      <c r="B73" s="74"/>
      <c r="C73" s="74"/>
      <c r="D73" s="74"/>
      <c r="E73" s="74"/>
      <c r="F73" s="74"/>
      <c r="G73" s="74"/>
      <c r="H73" s="74"/>
      <c r="I73" s="74"/>
      <c r="J73" s="74"/>
      <c r="K73" s="74"/>
      <c r="L73" s="74"/>
      <c r="M73" s="74"/>
    </row>
    <row r="74" spans="1:13" ht="18.75" x14ac:dyDescent="0.3">
      <c r="A74" s="74"/>
      <c r="B74" s="74"/>
      <c r="C74" s="74"/>
      <c r="D74" s="74"/>
      <c r="E74" s="74"/>
      <c r="F74" s="74"/>
      <c r="G74" s="74"/>
      <c r="H74" s="74"/>
      <c r="I74" s="74"/>
      <c r="J74" s="74"/>
      <c r="K74" s="74"/>
      <c r="L74" s="74"/>
      <c r="M74" s="74"/>
    </row>
    <row r="75" spans="1:13" ht="18.75" x14ac:dyDescent="0.3">
      <c r="A75" s="74"/>
      <c r="B75" s="74"/>
      <c r="C75" s="74"/>
      <c r="D75" s="74"/>
      <c r="E75" s="74"/>
      <c r="F75" s="74"/>
      <c r="G75" s="74"/>
      <c r="H75" s="74"/>
      <c r="I75" s="74"/>
      <c r="J75" s="74"/>
      <c r="K75" s="74"/>
      <c r="L75" s="74"/>
      <c r="M75" s="74"/>
    </row>
    <row r="76" spans="1:13" ht="18.75" x14ac:dyDescent="0.3">
      <c r="A76" s="74"/>
      <c r="B76" s="74"/>
      <c r="C76" s="74"/>
      <c r="D76" s="74"/>
      <c r="E76" s="74"/>
      <c r="F76" s="74"/>
      <c r="G76" s="74"/>
      <c r="H76" s="74"/>
      <c r="I76" s="74"/>
      <c r="J76" s="74"/>
      <c r="K76" s="74"/>
      <c r="L76" s="74"/>
      <c r="M76" s="74"/>
    </row>
    <row r="77" spans="1:13" ht="18.75" x14ac:dyDescent="0.3">
      <c r="A77" s="74"/>
      <c r="B77" s="74"/>
      <c r="C77" s="74"/>
      <c r="D77" s="74"/>
      <c r="E77" s="74"/>
      <c r="F77" s="74"/>
      <c r="G77" s="74"/>
      <c r="H77" s="74"/>
      <c r="I77" s="74"/>
      <c r="J77" s="74"/>
      <c r="K77" s="74"/>
      <c r="L77" s="74"/>
      <c r="M77" s="74"/>
    </row>
    <row r="78" spans="1:13" ht="18.75" x14ac:dyDescent="0.3">
      <c r="A78" s="74"/>
      <c r="B78" s="74"/>
      <c r="C78" s="74"/>
      <c r="D78" s="74"/>
      <c r="E78" s="74"/>
      <c r="F78" s="74"/>
      <c r="G78" s="74"/>
      <c r="H78" s="74"/>
      <c r="I78" s="74"/>
      <c r="J78" s="74"/>
      <c r="K78" s="74"/>
      <c r="L78" s="74"/>
      <c r="M78" s="74"/>
    </row>
    <row r="79" spans="1:13" ht="18.75" x14ac:dyDescent="0.3">
      <c r="A79" s="74"/>
      <c r="B79" s="74"/>
      <c r="C79" s="74"/>
      <c r="D79" s="74"/>
      <c r="E79" s="74"/>
      <c r="F79" s="74"/>
      <c r="G79" s="74"/>
      <c r="H79" s="74"/>
      <c r="I79" s="74"/>
      <c r="J79" s="74"/>
      <c r="K79" s="74"/>
      <c r="L79" s="74"/>
      <c r="M79" s="74"/>
    </row>
    <row r="80" spans="1:13" ht="18.75" x14ac:dyDescent="0.3">
      <c r="A80" s="74"/>
      <c r="B80" s="74"/>
      <c r="C80" s="74"/>
      <c r="D80" s="74"/>
      <c r="E80" s="74"/>
      <c r="F80" s="74"/>
      <c r="G80" s="74"/>
      <c r="H80" s="74"/>
      <c r="I80" s="74"/>
      <c r="J80" s="74"/>
      <c r="K80" s="74"/>
      <c r="L80" s="74"/>
      <c r="M80" s="74"/>
    </row>
    <row r="81" spans="1:13" ht="18.75" x14ac:dyDescent="0.3">
      <c r="A81" s="74"/>
      <c r="B81" s="74"/>
      <c r="C81" s="74"/>
      <c r="D81" s="74"/>
      <c r="E81" s="74"/>
      <c r="F81" s="74"/>
      <c r="G81" s="74"/>
      <c r="H81" s="74"/>
      <c r="I81" s="74"/>
      <c r="J81" s="74"/>
      <c r="K81" s="74"/>
      <c r="L81" s="74"/>
      <c r="M81" s="74"/>
    </row>
    <row r="82" spans="1:13" ht="18.75" x14ac:dyDescent="0.3">
      <c r="A82" s="74"/>
      <c r="B82" s="74"/>
      <c r="C82" s="74"/>
      <c r="D82" s="74"/>
      <c r="E82" s="74"/>
      <c r="F82" s="74"/>
      <c r="G82" s="74"/>
      <c r="H82" s="74"/>
      <c r="I82" s="74"/>
      <c r="J82" s="74"/>
      <c r="K82" s="74"/>
      <c r="L82" s="74"/>
      <c r="M82" s="74"/>
    </row>
    <row r="83" spans="1:13" ht="18.75" x14ac:dyDescent="0.3">
      <c r="A83" s="74"/>
      <c r="B83" s="74"/>
      <c r="C83" s="74"/>
      <c r="D83" s="74"/>
      <c r="E83" s="74"/>
      <c r="F83" s="74"/>
      <c r="G83" s="74"/>
      <c r="H83" s="74"/>
      <c r="I83" s="74"/>
      <c r="J83" s="74"/>
      <c r="K83" s="74"/>
      <c r="L83" s="74"/>
      <c r="M83" s="74"/>
    </row>
    <row r="84" spans="1:13" ht="18.75" x14ac:dyDescent="0.3">
      <c r="A84" s="74"/>
      <c r="B84" s="74"/>
      <c r="C84" s="74"/>
      <c r="D84" s="74"/>
      <c r="E84" s="74"/>
      <c r="F84" s="74"/>
      <c r="G84" s="74"/>
      <c r="H84" s="74"/>
      <c r="I84" s="74"/>
      <c r="J84" s="74"/>
      <c r="K84" s="74"/>
      <c r="L84" s="74"/>
      <c r="M84" s="74"/>
    </row>
    <row r="85" spans="1:13" ht="18.75" x14ac:dyDescent="0.3">
      <c r="A85" s="74"/>
      <c r="B85" s="74"/>
      <c r="C85" s="74"/>
      <c r="D85" s="74"/>
      <c r="E85" s="74"/>
      <c r="F85" s="74"/>
      <c r="G85" s="74"/>
      <c r="H85" s="74"/>
      <c r="I85" s="74"/>
      <c r="J85" s="74"/>
      <c r="K85" s="74"/>
      <c r="L85" s="74"/>
      <c r="M85" s="74"/>
    </row>
    <row r="86" spans="1:13" ht="18.75" x14ac:dyDescent="0.3">
      <c r="A86" s="74"/>
      <c r="B86" s="74"/>
      <c r="C86" s="74"/>
      <c r="D86" s="74"/>
      <c r="E86" s="74"/>
      <c r="F86" s="74"/>
      <c r="G86" s="74"/>
      <c r="H86" s="74"/>
      <c r="I86" s="74"/>
      <c r="J86" s="74"/>
      <c r="K86" s="74"/>
      <c r="L86" s="74"/>
      <c r="M86" s="74"/>
    </row>
    <row r="87" spans="1:13" ht="18.75" x14ac:dyDescent="0.3">
      <c r="A87" s="74"/>
      <c r="B87" s="74"/>
      <c r="C87" s="74"/>
      <c r="D87" s="74"/>
      <c r="E87" s="74"/>
      <c r="F87" s="74"/>
      <c r="G87" s="74"/>
      <c r="H87" s="74"/>
      <c r="I87" s="74"/>
      <c r="J87" s="74"/>
      <c r="K87" s="74"/>
      <c r="L87" s="74"/>
      <c r="M87" s="74"/>
    </row>
    <row r="88" spans="1:13" ht="18.75" x14ac:dyDescent="0.3">
      <c r="A88" s="74"/>
      <c r="B88" s="74"/>
      <c r="C88" s="74"/>
      <c r="D88" s="74"/>
      <c r="E88" s="74"/>
      <c r="F88" s="74"/>
      <c r="G88" s="74"/>
      <c r="H88" s="74"/>
      <c r="I88" s="74"/>
      <c r="J88" s="74"/>
      <c r="K88" s="74"/>
      <c r="L88" s="74"/>
      <c r="M88" s="74"/>
    </row>
    <row r="89" spans="1:13" ht="18.75" x14ac:dyDescent="0.3">
      <c r="A89" s="74"/>
      <c r="B89" s="74"/>
      <c r="C89" s="74"/>
      <c r="D89" s="74"/>
      <c r="E89" s="74"/>
      <c r="F89" s="74"/>
      <c r="G89" s="74"/>
      <c r="H89" s="74"/>
      <c r="I89" s="74"/>
      <c r="J89" s="74"/>
      <c r="K89" s="74"/>
      <c r="L89" s="74"/>
      <c r="M89" s="74"/>
    </row>
    <row r="90" spans="1:13" ht="18.75" x14ac:dyDescent="0.3">
      <c r="A90" s="74"/>
      <c r="B90" s="74"/>
      <c r="C90" s="74"/>
      <c r="D90" s="74"/>
      <c r="E90" s="74"/>
      <c r="F90" s="74"/>
      <c r="G90" s="74"/>
      <c r="H90" s="74"/>
      <c r="I90" s="74"/>
      <c r="J90" s="74"/>
      <c r="K90" s="74"/>
      <c r="L90" s="74"/>
      <c r="M90" s="74"/>
    </row>
    <row r="91" spans="1:13" ht="18.75" x14ac:dyDescent="0.3">
      <c r="A91" s="74"/>
      <c r="B91" s="74"/>
      <c r="C91" s="74"/>
      <c r="D91" s="74"/>
      <c r="E91" s="74"/>
      <c r="F91" s="74"/>
      <c r="G91" s="74"/>
      <c r="H91" s="74"/>
      <c r="I91" s="74"/>
      <c r="J91" s="74"/>
      <c r="K91" s="74"/>
      <c r="L91" s="74"/>
      <c r="M91" s="74"/>
    </row>
    <row r="92" spans="1:13" ht="18.75" x14ac:dyDescent="0.3">
      <c r="A92" s="74"/>
      <c r="B92" s="74"/>
      <c r="C92" s="74"/>
      <c r="D92" s="74"/>
      <c r="E92" s="74"/>
      <c r="F92" s="74"/>
      <c r="G92" s="74"/>
      <c r="H92" s="74"/>
      <c r="I92" s="74"/>
      <c r="J92" s="74"/>
      <c r="K92" s="74"/>
      <c r="L92" s="74"/>
      <c r="M92" s="74"/>
    </row>
    <row r="93" spans="1:13" ht="18.75" x14ac:dyDescent="0.3">
      <c r="A93" s="74"/>
      <c r="B93" s="74"/>
      <c r="C93" s="74"/>
      <c r="D93" s="74"/>
      <c r="E93" s="74"/>
      <c r="F93" s="74"/>
      <c r="G93" s="74"/>
      <c r="H93" s="74"/>
      <c r="I93" s="74"/>
      <c r="J93" s="74"/>
      <c r="K93" s="74"/>
      <c r="L93" s="74"/>
      <c r="M93" s="74"/>
    </row>
    <row r="94" spans="1:13" ht="18.75" x14ac:dyDescent="0.3">
      <c r="A94" s="74"/>
      <c r="B94" s="74"/>
      <c r="C94" s="74"/>
      <c r="D94" s="74"/>
      <c r="E94" s="74"/>
      <c r="F94" s="74"/>
      <c r="G94" s="74"/>
      <c r="H94" s="74"/>
      <c r="I94" s="74"/>
      <c r="J94" s="74"/>
      <c r="K94" s="74"/>
      <c r="L94" s="74"/>
      <c r="M94" s="74"/>
    </row>
    <row r="95" spans="1:13" ht="18.75" x14ac:dyDescent="0.3">
      <c r="A95" s="74"/>
      <c r="B95" s="74"/>
      <c r="C95" s="74"/>
      <c r="D95" s="74"/>
      <c r="E95" s="74"/>
      <c r="F95" s="74"/>
      <c r="G95" s="74"/>
      <c r="H95" s="74"/>
      <c r="I95" s="74"/>
      <c r="J95" s="74"/>
      <c r="K95" s="74"/>
      <c r="L95" s="74"/>
      <c r="M95" s="74"/>
    </row>
    <row r="96" spans="1:13" ht="18.75" x14ac:dyDescent="0.3">
      <c r="A96" s="74"/>
      <c r="B96" s="74"/>
      <c r="C96" s="74"/>
      <c r="D96" s="74"/>
      <c r="E96" s="74"/>
      <c r="F96" s="74"/>
      <c r="G96" s="74"/>
      <c r="H96" s="74"/>
      <c r="I96" s="74"/>
      <c r="J96" s="74"/>
      <c r="K96" s="74"/>
      <c r="L96" s="74"/>
      <c r="M96" s="74"/>
    </row>
    <row r="97" spans="1:13" ht="18.75" x14ac:dyDescent="0.3">
      <c r="A97" s="74"/>
      <c r="B97" s="74"/>
      <c r="C97" s="74"/>
      <c r="D97" s="74"/>
      <c r="E97" s="74"/>
      <c r="F97" s="74"/>
      <c r="G97" s="74"/>
      <c r="H97" s="74"/>
      <c r="I97" s="74"/>
      <c r="J97" s="74"/>
      <c r="K97" s="74"/>
      <c r="L97" s="74"/>
      <c r="M97" s="74"/>
    </row>
    <row r="98" spans="1:13" ht="18.75" x14ac:dyDescent="0.3">
      <c r="A98" s="74"/>
      <c r="B98" s="74"/>
      <c r="C98" s="74"/>
      <c r="D98" s="74"/>
      <c r="E98" s="74"/>
      <c r="F98" s="74"/>
      <c r="G98" s="74"/>
      <c r="H98" s="74"/>
      <c r="I98" s="74"/>
      <c r="J98" s="74"/>
      <c r="K98" s="74"/>
      <c r="L98" s="74"/>
      <c r="M98" s="74"/>
    </row>
    <row r="99" spans="1:13" ht="18.75" x14ac:dyDescent="0.3">
      <c r="A99" s="74"/>
      <c r="B99" s="74"/>
      <c r="C99" s="74"/>
      <c r="D99" s="74"/>
      <c r="E99" s="74"/>
      <c r="F99" s="74"/>
      <c r="G99" s="74"/>
      <c r="H99" s="74"/>
      <c r="I99" s="74"/>
      <c r="J99" s="74"/>
      <c r="K99" s="74"/>
      <c r="L99" s="74"/>
      <c r="M99" s="74"/>
    </row>
    <row r="100" spans="1:13" ht="18.75" x14ac:dyDescent="0.3">
      <c r="A100" s="74"/>
      <c r="B100" s="74"/>
      <c r="C100" s="74"/>
      <c r="D100" s="74"/>
      <c r="E100" s="74"/>
      <c r="F100" s="74"/>
      <c r="G100" s="74"/>
      <c r="H100" s="74"/>
      <c r="I100" s="74"/>
      <c r="J100" s="74"/>
      <c r="K100" s="74"/>
      <c r="L100" s="74"/>
      <c r="M100" s="74"/>
    </row>
    <row r="101" spans="1:13" ht="18.75" x14ac:dyDescent="0.3">
      <c r="A101" s="74"/>
      <c r="B101" s="74"/>
      <c r="C101" s="74"/>
      <c r="D101" s="74"/>
      <c r="E101" s="74"/>
      <c r="F101" s="74"/>
      <c r="G101" s="74"/>
      <c r="H101" s="74"/>
      <c r="I101" s="74"/>
      <c r="J101" s="74"/>
      <c r="K101" s="74"/>
      <c r="L101" s="74"/>
      <c r="M101" s="74"/>
    </row>
    <row r="102" spans="1:13" ht="18.75" x14ac:dyDescent="0.3">
      <c r="A102" s="74"/>
      <c r="B102" s="74"/>
      <c r="C102" s="74"/>
      <c r="D102" s="74"/>
      <c r="E102" s="74"/>
      <c r="F102" s="74"/>
      <c r="G102" s="74"/>
      <c r="H102" s="74"/>
      <c r="I102" s="74"/>
      <c r="J102" s="74"/>
      <c r="K102" s="74"/>
      <c r="L102" s="74"/>
      <c r="M102" s="74"/>
    </row>
    <row r="103" spans="1:13" ht="18.75" x14ac:dyDescent="0.3">
      <c r="A103" s="74"/>
      <c r="B103" s="74"/>
      <c r="C103" s="74"/>
      <c r="D103" s="74"/>
      <c r="E103" s="74"/>
      <c r="F103" s="74"/>
      <c r="G103" s="74"/>
      <c r="H103" s="74"/>
      <c r="I103" s="74"/>
      <c r="J103" s="74"/>
      <c r="K103" s="74"/>
      <c r="L103" s="74"/>
      <c r="M103" s="74"/>
    </row>
    <row r="104" spans="1:13" ht="18.75" x14ac:dyDescent="0.3">
      <c r="A104" s="74"/>
      <c r="B104" s="74"/>
      <c r="C104" s="74"/>
      <c r="D104" s="74"/>
      <c r="E104" s="74"/>
      <c r="F104" s="74"/>
      <c r="G104" s="74"/>
      <c r="H104" s="74"/>
      <c r="I104" s="74"/>
      <c r="J104" s="74"/>
      <c r="K104" s="74"/>
      <c r="L104" s="74"/>
      <c r="M104" s="74"/>
    </row>
    <row r="105" spans="1:13" ht="18.75" x14ac:dyDescent="0.3">
      <c r="A105" s="74"/>
      <c r="B105" s="74"/>
      <c r="C105" s="74"/>
      <c r="D105" s="74"/>
      <c r="E105" s="74"/>
      <c r="F105" s="74"/>
      <c r="G105" s="74"/>
      <c r="H105" s="74"/>
      <c r="I105" s="74"/>
      <c r="J105" s="74"/>
      <c r="K105" s="74"/>
      <c r="L105" s="74"/>
      <c r="M105" s="74"/>
    </row>
    <row r="106" spans="1:13" ht="18.75" x14ac:dyDescent="0.3">
      <c r="A106" s="74"/>
      <c r="B106" s="74"/>
      <c r="C106" s="74"/>
      <c r="D106" s="74"/>
      <c r="E106" s="74"/>
      <c r="F106" s="74"/>
      <c r="G106" s="74"/>
      <c r="H106" s="74"/>
      <c r="I106" s="74"/>
      <c r="J106" s="74"/>
      <c r="K106" s="74"/>
      <c r="L106" s="74"/>
      <c r="M106" s="74"/>
    </row>
    <row r="107" spans="1:13" ht="18.75" x14ac:dyDescent="0.3">
      <c r="A107" s="74"/>
      <c r="B107" s="74"/>
      <c r="C107" s="74"/>
      <c r="D107" s="74"/>
      <c r="E107" s="74"/>
      <c r="F107" s="74"/>
      <c r="G107" s="74"/>
      <c r="H107" s="74"/>
      <c r="I107" s="74"/>
      <c r="J107" s="74"/>
      <c r="K107" s="74"/>
      <c r="L107" s="74"/>
      <c r="M107" s="74"/>
    </row>
    <row r="108" spans="1:13" ht="18.75" x14ac:dyDescent="0.3">
      <c r="A108" s="74"/>
      <c r="B108" s="74"/>
      <c r="C108" s="74"/>
      <c r="D108" s="74"/>
      <c r="E108" s="74"/>
      <c r="F108" s="74"/>
      <c r="G108" s="74"/>
      <c r="H108" s="74"/>
      <c r="I108" s="74"/>
      <c r="J108" s="74"/>
      <c r="K108" s="74"/>
      <c r="L108" s="74"/>
      <c r="M108" s="74"/>
    </row>
    <row r="109" spans="1:13" ht="18.75" x14ac:dyDescent="0.3">
      <c r="A109" s="74"/>
      <c r="B109" s="74"/>
      <c r="C109" s="74"/>
      <c r="D109" s="74"/>
      <c r="E109" s="74"/>
      <c r="F109" s="74"/>
      <c r="G109" s="74"/>
      <c r="H109" s="74"/>
      <c r="I109" s="74"/>
      <c r="J109" s="74"/>
      <c r="K109" s="74"/>
      <c r="L109" s="74"/>
      <c r="M109" s="74"/>
    </row>
    <row r="110" spans="1:13" ht="18.75" x14ac:dyDescent="0.3">
      <c r="A110" s="74"/>
      <c r="B110" s="74"/>
      <c r="C110" s="74"/>
      <c r="D110" s="74"/>
      <c r="E110" s="74"/>
      <c r="F110" s="74"/>
      <c r="G110" s="74"/>
      <c r="H110" s="74"/>
      <c r="I110" s="74"/>
      <c r="J110" s="74"/>
      <c r="K110" s="74"/>
      <c r="L110" s="74"/>
      <c r="M110" s="74"/>
    </row>
    <row r="111" spans="1:13" ht="18.75" x14ac:dyDescent="0.3">
      <c r="A111" s="74"/>
      <c r="B111" s="74"/>
      <c r="C111" s="74"/>
      <c r="D111" s="74"/>
      <c r="E111" s="74"/>
      <c r="F111" s="74"/>
      <c r="G111" s="74"/>
      <c r="H111" s="74"/>
      <c r="I111" s="74"/>
      <c r="J111" s="74"/>
      <c r="K111" s="74"/>
      <c r="L111" s="74"/>
      <c r="M111" s="74"/>
    </row>
    <row r="112" spans="1:13" ht="18.75" x14ac:dyDescent="0.3">
      <c r="A112" s="74"/>
      <c r="B112" s="74"/>
      <c r="C112" s="74"/>
      <c r="D112" s="74"/>
      <c r="E112" s="74"/>
      <c r="F112" s="74"/>
      <c r="G112" s="74"/>
      <c r="H112" s="74"/>
      <c r="I112" s="74"/>
      <c r="J112" s="74"/>
      <c r="K112" s="74"/>
      <c r="L112" s="74"/>
      <c r="M112" s="74"/>
    </row>
    <row r="113" spans="1:13" ht="18.75" x14ac:dyDescent="0.3">
      <c r="A113" s="74"/>
      <c r="B113" s="74"/>
      <c r="C113" s="74"/>
      <c r="D113" s="74"/>
      <c r="E113" s="74"/>
      <c r="F113" s="74"/>
      <c r="G113" s="74"/>
      <c r="H113" s="74"/>
      <c r="I113" s="74"/>
      <c r="J113" s="74"/>
      <c r="K113" s="74"/>
      <c r="L113" s="74"/>
      <c r="M113" s="74"/>
    </row>
    <row r="114" spans="1:13" ht="18.75" x14ac:dyDescent="0.3">
      <c r="A114" s="74"/>
      <c r="B114" s="74"/>
      <c r="C114" s="74"/>
      <c r="D114" s="74"/>
      <c r="E114" s="74"/>
      <c r="F114" s="74"/>
      <c r="G114" s="74"/>
      <c r="H114" s="74"/>
      <c r="I114" s="74"/>
      <c r="J114" s="74"/>
      <c r="K114" s="74"/>
      <c r="L114" s="74"/>
      <c r="M114" s="74"/>
    </row>
    <row r="115" spans="1:13" ht="18.75" x14ac:dyDescent="0.3">
      <c r="A115" s="74"/>
      <c r="B115" s="74"/>
      <c r="C115" s="74"/>
      <c r="D115" s="74"/>
      <c r="E115" s="74"/>
      <c r="F115" s="74"/>
      <c r="G115" s="74"/>
      <c r="H115" s="74"/>
      <c r="I115" s="74"/>
      <c r="J115" s="74"/>
      <c r="K115" s="74"/>
      <c r="L115" s="74"/>
      <c r="M115" s="74"/>
    </row>
  </sheetData>
  <mergeCells count="3">
    <mergeCell ref="B5:D5"/>
    <mergeCell ref="F5:H5"/>
    <mergeCell ref="J5:L5"/>
  </mergeCells>
  <hyperlinks>
    <hyperlink ref="B1" location="Innhold!A1" display="Tilbake" xr:uid="{00000000-0004-0000-0400-000000000000}"/>
  </hyperlinks>
  <pageMargins left="0.7" right="0.7" top="0.78740157499999996" bottom="0.78740157499999996" header="0.3" footer="0.3"/>
  <pageSetup paperSize="9" scale="4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10"/>
  <dimension ref="A1:J92"/>
  <sheetViews>
    <sheetView showGridLines="0" zoomScale="70" zoomScaleNormal="70" workbookViewId="0">
      <pane xSplit="1" ySplit="7" topLeftCell="B8" activePane="bottomRight" state="frozen"/>
      <selection activeCell="L39" sqref="L39"/>
      <selection pane="topRight" activeCell="L39" sqref="L39"/>
      <selection pane="bottomLeft" activeCell="L39" sqref="L39"/>
      <selection pane="bottomRight" activeCell="A4" sqref="A4"/>
    </sheetView>
  </sheetViews>
  <sheetFormatPr baseColWidth="10" defaultColWidth="11.42578125" defaultRowHeight="18" x14ac:dyDescent="0.25"/>
  <cols>
    <col min="1" max="1" width="35.7109375" style="81" customWidth="1"/>
    <col min="2" max="2" width="18.28515625" style="81" customWidth="1"/>
    <col min="3" max="3" width="17.7109375" style="81" customWidth="1"/>
    <col min="4" max="4" width="11.7109375" style="81" customWidth="1"/>
    <col min="5" max="5" width="4.7109375" style="81" customWidth="1"/>
    <col min="6" max="7" width="13" style="81" customWidth="1"/>
    <col min="8" max="8" width="11.7109375" style="81" customWidth="1"/>
    <col min="9" max="9" width="12.42578125" style="81" customWidth="1"/>
    <col min="10" max="10" width="11.42578125" style="81"/>
    <col min="11" max="12" width="17.28515625" style="81" bestFit="1" customWidth="1"/>
    <col min="13" max="16384" width="11.42578125" style="81"/>
  </cols>
  <sheetData>
    <row r="1" spans="1:10" ht="18.75" customHeight="1" x14ac:dyDescent="0.3">
      <c r="A1" s="80" t="s">
        <v>76</v>
      </c>
      <c r="B1" s="73" t="s">
        <v>52</v>
      </c>
      <c r="C1" s="80"/>
      <c r="D1" s="80"/>
      <c r="E1" s="80"/>
      <c r="F1" s="74"/>
      <c r="G1" s="74"/>
      <c r="H1" s="74"/>
      <c r="I1" s="74"/>
      <c r="J1" s="74"/>
    </row>
    <row r="2" spans="1:10" ht="20.100000000000001" customHeight="1" x14ac:dyDescent="0.3">
      <c r="A2" s="80" t="s">
        <v>135</v>
      </c>
      <c r="B2" s="80"/>
      <c r="C2" s="80"/>
      <c r="D2" s="80"/>
      <c r="E2" s="80"/>
      <c r="F2" s="74"/>
      <c r="G2" s="74"/>
      <c r="H2" s="74"/>
      <c r="I2" s="74"/>
      <c r="J2" s="74"/>
    </row>
    <row r="3" spans="1:10" ht="20.100000000000001" customHeight="1" x14ac:dyDescent="0.3">
      <c r="A3" s="75"/>
      <c r="B3" s="75"/>
      <c r="C3" s="75"/>
      <c r="D3" s="75"/>
      <c r="E3" s="233"/>
      <c r="F3" s="74"/>
      <c r="G3" s="74"/>
      <c r="H3" s="74"/>
      <c r="I3" s="74"/>
      <c r="J3" s="74"/>
    </row>
    <row r="4" spans="1:10" ht="20.100000000000001" customHeight="1" x14ac:dyDescent="0.3">
      <c r="A4" s="234"/>
      <c r="B4" s="680" t="s">
        <v>136</v>
      </c>
      <c r="C4" s="680"/>
      <c r="D4" s="681"/>
      <c r="E4" s="89"/>
      <c r="F4" s="682" t="s">
        <v>136</v>
      </c>
      <c r="G4" s="680"/>
      <c r="H4" s="681"/>
      <c r="I4" s="74"/>
      <c r="J4" s="74"/>
    </row>
    <row r="5" spans="1:10" ht="18.75" customHeight="1" x14ac:dyDescent="0.3">
      <c r="A5" s="235" t="s">
        <v>414</v>
      </c>
      <c r="B5" s="683" t="s">
        <v>137</v>
      </c>
      <c r="C5" s="684"/>
      <c r="D5" s="685"/>
      <c r="E5" s="236"/>
      <c r="F5" s="686" t="s">
        <v>138</v>
      </c>
      <c r="G5" s="687"/>
      <c r="H5" s="688"/>
      <c r="I5" s="112"/>
      <c r="J5" s="74"/>
    </row>
    <row r="6" spans="1:10" ht="18.75" customHeight="1" x14ac:dyDescent="0.3">
      <c r="A6" s="122"/>
      <c r="B6" s="120"/>
      <c r="C6" s="189"/>
      <c r="D6" s="237" t="s">
        <v>80</v>
      </c>
      <c r="E6" s="237"/>
      <c r="F6" s="123"/>
      <c r="G6" s="124"/>
      <c r="H6" s="94" t="s">
        <v>80</v>
      </c>
      <c r="I6" s="100"/>
      <c r="J6" s="74"/>
    </row>
    <row r="7" spans="1:10" ht="18.75" customHeight="1" x14ac:dyDescent="0.3">
      <c r="A7" s="126"/>
      <c r="B7" s="97">
        <v>2020</v>
      </c>
      <c r="C7" s="97">
        <v>2021</v>
      </c>
      <c r="D7" s="238" t="s">
        <v>82</v>
      </c>
      <c r="E7" s="237"/>
      <c r="F7" s="97">
        <v>2020</v>
      </c>
      <c r="G7" s="127">
        <v>2021</v>
      </c>
      <c r="H7" s="239" t="s">
        <v>82</v>
      </c>
      <c r="I7" s="100"/>
      <c r="J7" s="74"/>
    </row>
    <row r="8" spans="1:10" ht="18.75" customHeight="1" x14ac:dyDescent="0.3">
      <c r="A8" s="101" t="s">
        <v>139</v>
      </c>
      <c r="B8" s="109">
        <f>SUM(B9:B14)</f>
        <v>162223.70996536012</v>
      </c>
      <c r="C8" s="109">
        <f>SUM(C9:C14)</f>
        <v>160225.32424636997</v>
      </c>
      <c r="D8" s="240">
        <f t="shared" ref="D8:D38" si="0">IF(B8=0, "    ---- ", IF(ABS(ROUND(100/B8*C8-100,1))&lt;999,ROUND(100/B8*C8-100,1),IF(ROUND(100/B8*C8-100,1)&gt;999,999,-999)))</f>
        <v>-1.2</v>
      </c>
      <c r="E8" s="241"/>
      <c r="F8" s="240">
        <f>SUM(F9:F14)</f>
        <v>99.999999999999986</v>
      </c>
      <c r="G8" s="240">
        <f>SUM(G9:G14)</f>
        <v>100</v>
      </c>
      <c r="H8" s="241">
        <f t="shared" ref="H8:H38" si="1">IF(F8=0, "    ---- ", IF(ABS(ROUND(100/F8*G8-100,1))&lt;999,ROUND(100/F8*G8-100,1),IF(ROUND(100/F8*G8-100,1)&gt;999,999,-999)))</f>
        <v>0</v>
      </c>
      <c r="I8" s="104"/>
      <c r="J8" s="74"/>
    </row>
    <row r="9" spans="1:10" ht="18.75" customHeight="1" x14ac:dyDescent="0.3">
      <c r="A9" s="86" t="s">
        <v>140</v>
      </c>
      <c r="B9" s="106">
        <f>'Tabell 6'!AR21</f>
        <v>2526.8545584500002</v>
      </c>
      <c r="C9" s="106">
        <f>'Tabell 6'!AS21</f>
        <v>2795.1769442500004</v>
      </c>
      <c r="D9" s="242">
        <f t="shared" si="0"/>
        <v>10.6</v>
      </c>
      <c r="E9" s="242"/>
      <c r="F9" s="242">
        <f>'Tabell 6'!AR21/'Tabell 6'!AR29*100</f>
        <v>1.557635785169482</v>
      </c>
      <c r="G9" s="242">
        <f>'Tabell 6'!AS21/'Tabell 6'!AS29*100</f>
        <v>1.7445288111584689</v>
      </c>
      <c r="H9" s="243">
        <f t="shared" si="1"/>
        <v>12</v>
      </c>
      <c r="I9" s="104"/>
      <c r="J9" s="77"/>
    </row>
    <row r="10" spans="1:10" ht="18.75" customHeight="1" x14ac:dyDescent="0.3">
      <c r="A10" s="86" t="s">
        <v>141</v>
      </c>
      <c r="B10" s="105">
        <f>'Tabell 6'!AR18+'Tabell 6'!AR22</f>
        <v>75521.31218094012</v>
      </c>
      <c r="C10" s="105">
        <f>'Tabell 6'!AS18+'Tabell 6'!AS22</f>
        <v>78526.345736989999</v>
      </c>
      <c r="D10" s="242">
        <f t="shared" si="0"/>
        <v>4</v>
      </c>
      <c r="E10" s="242"/>
      <c r="F10" s="242">
        <f>('Tabell 6'!AR18+'Tabell 6'!AR22)/'Tabell 6'!AR29*100</f>
        <v>46.553806590335221</v>
      </c>
      <c r="G10" s="242">
        <f>('Tabell 6'!AS18+'Tabell 6'!AS22)/'Tabell 6'!AS29*100</f>
        <v>49.009946527706319</v>
      </c>
      <c r="H10" s="243">
        <f t="shared" si="1"/>
        <v>5.3</v>
      </c>
      <c r="I10" s="104"/>
      <c r="J10" s="74"/>
    </row>
    <row r="11" spans="1:10" ht="18.75" customHeight="1" x14ac:dyDescent="0.3">
      <c r="A11" s="86" t="s">
        <v>142</v>
      </c>
      <c r="B11" s="105">
        <f>'Tabell 6'!AR14</f>
        <v>974.77340175000006</v>
      </c>
      <c r="C11" s="105">
        <f>'Tabell 6'!AS14</f>
        <v>998.17499974999998</v>
      </c>
      <c r="D11" s="242">
        <f t="shared" si="0"/>
        <v>2.4</v>
      </c>
      <c r="E11" s="242"/>
      <c r="F11" s="242">
        <f>'Tabell 6'!AR14/'Tabell 6'!AR29*100</f>
        <v>0.60088220270523029</v>
      </c>
      <c r="G11" s="242">
        <f>'Tabell 6'!AS14/'Tabell 6'!AS29*100</f>
        <v>0.62298204384667621</v>
      </c>
      <c r="H11" s="243">
        <f t="shared" si="1"/>
        <v>3.7</v>
      </c>
      <c r="I11" s="104"/>
      <c r="J11" s="74"/>
    </row>
    <row r="12" spans="1:10" ht="18.75" customHeight="1" x14ac:dyDescent="0.3">
      <c r="A12" s="108" t="s">
        <v>143</v>
      </c>
      <c r="B12" s="105">
        <f>'Tabell 6'!AR15</f>
        <v>25915.51625914</v>
      </c>
      <c r="C12" s="105">
        <f>'Tabell 6'!AS15</f>
        <v>25380.544051860001</v>
      </c>
      <c r="D12" s="244">
        <f t="shared" si="0"/>
        <v>-2.1</v>
      </c>
      <c r="E12" s="244"/>
      <c r="F12" s="242">
        <f>'Tabell 6'!AR15/'Tabell 6'!AR29*100</f>
        <v>15.97517173332664</v>
      </c>
      <c r="G12" s="242">
        <f>'Tabell 6'!AS15/'Tabell 6'!AS29*100</f>
        <v>15.840532182561654</v>
      </c>
      <c r="H12" s="243">
        <f t="shared" si="1"/>
        <v>-0.8</v>
      </c>
      <c r="I12" s="104"/>
      <c r="J12" s="74"/>
    </row>
    <row r="13" spans="1:10" ht="18.75" customHeight="1" x14ac:dyDescent="0.3">
      <c r="A13" s="86" t="s">
        <v>144</v>
      </c>
      <c r="B13" s="105">
        <f>'Tabell 6'!AR19+'Tabell 6'!AR23</f>
        <v>29599.327515059998</v>
      </c>
      <c r="C13" s="105">
        <f>'Tabell 6'!AS19+'Tabell 6'!AS23</f>
        <v>32662.573050849998</v>
      </c>
      <c r="D13" s="242">
        <f t="shared" si="0"/>
        <v>10.3</v>
      </c>
      <c r="E13" s="242"/>
      <c r="F13" s="242">
        <f>('Tabell 6'!AR19+'Tabell 6'!AR23)/'Tabell 6'!AR29*100</f>
        <v>18.245993462595813</v>
      </c>
      <c r="G13" s="242">
        <f>('Tabell 6'!AS19+'Tabell 6'!AS23)/'Tabell 6'!AS29*100</f>
        <v>20.385399876380646</v>
      </c>
      <c r="H13" s="243">
        <f t="shared" si="1"/>
        <v>11.7</v>
      </c>
      <c r="I13" s="104"/>
      <c r="J13" s="74"/>
    </row>
    <row r="14" spans="1:10" ht="18.75" customHeight="1" x14ac:dyDescent="0.3">
      <c r="A14" s="86" t="s">
        <v>145</v>
      </c>
      <c r="B14" s="176">
        <f>'Tabell 6'!AR17-'Tabell 6'!AR18+'Tabell 6'!AR24+'Tabell 6'!AR25+'Tabell 6'!AR26+'Tabell 6'!AR28</f>
        <v>27685.92605002</v>
      </c>
      <c r="C14" s="176">
        <f>'Tabell 6'!AS17-'Tabell 6'!AS18+'Tabell 6'!AS24+'Tabell 6'!AS25+'Tabell 6'!AS26+'Tabell 6'!AS28</f>
        <v>19862.509462669994</v>
      </c>
      <c r="D14" s="242">
        <f t="shared" si="0"/>
        <v>-28.3</v>
      </c>
      <c r="E14" s="242"/>
      <c r="F14" s="242">
        <f>('Tabell 6'!AR17-'Tabell 6'!AR18+'Tabell 6'!AR24+'Tabell 6'!AR25+'Tabell 6'!AR26+'Tabell 6'!AR28)/'Tabell 6'!AR29*100</f>
        <v>17.066510225867614</v>
      </c>
      <c r="G14" s="242">
        <f>('Tabell 6'!AS17-'Tabell 6'!AS18+'Tabell 6'!AS24+'Tabell 6'!AS25+'Tabell 6'!AS26+'Tabell 6'!AS28)/'Tabell 6'!AS29*100</f>
        <v>12.396610558346236</v>
      </c>
      <c r="H14" s="243">
        <f t="shared" si="1"/>
        <v>-27.4</v>
      </c>
      <c r="I14" s="104"/>
      <c r="J14" s="74"/>
    </row>
    <row r="15" spans="1:10" ht="18.75" customHeight="1" x14ac:dyDescent="0.3">
      <c r="A15" s="190"/>
      <c r="B15" s="103"/>
      <c r="C15" s="176"/>
      <c r="D15" s="243"/>
      <c r="E15" s="243"/>
      <c r="F15" s="243"/>
      <c r="G15" s="242"/>
      <c r="H15" s="243"/>
      <c r="I15" s="104"/>
      <c r="J15" s="74"/>
    </row>
    <row r="16" spans="1:10" s="135" customFormat="1" ht="18.75" customHeight="1" x14ac:dyDescent="0.3">
      <c r="A16" s="101" t="s">
        <v>146</v>
      </c>
      <c r="B16" s="109">
        <f>SUM(B17:B22)</f>
        <v>1147922.5026718799</v>
      </c>
      <c r="C16" s="109">
        <f>SUM(C17:C22)</f>
        <v>1210645.72274704</v>
      </c>
      <c r="D16" s="240">
        <f t="shared" si="0"/>
        <v>5.5</v>
      </c>
      <c r="E16" s="240"/>
      <c r="F16" s="240">
        <f>SUM(F17:F22)</f>
        <v>100</v>
      </c>
      <c r="G16" s="240">
        <f>SUM(G17:G22)</f>
        <v>100.00000000000003</v>
      </c>
      <c r="H16" s="241">
        <f t="shared" si="1"/>
        <v>0</v>
      </c>
      <c r="I16" s="110"/>
      <c r="J16" s="75"/>
    </row>
    <row r="17" spans="1:10" ht="18.75" customHeight="1" x14ac:dyDescent="0.3">
      <c r="A17" s="86" t="s">
        <v>140</v>
      </c>
      <c r="B17" s="103">
        <f>'Tabell 6'!AR40</f>
        <v>166928.64113194999</v>
      </c>
      <c r="C17" s="103">
        <f>'Tabell 6'!AS40</f>
        <v>222393.37325842999</v>
      </c>
      <c r="D17" s="242">
        <f t="shared" si="0"/>
        <v>33.200000000000003</v>
      </c>
      <c r="E17" s="242"/>
      <c r="F17" s="242">
        <f>'Tabell 6'!AR40/('Tabell 6'!AR45+'Tabell 6'!AR46)*100</f>
        <v>14.541804062853586</v>
      </c>
      <c r="G17" s="242">
        <f>'Tabell 6'!AS40/('Tabell 6'!AS45+'Tabell 6'!AS46)*100</f>
        <v>18.369814478326813</v>
      </c>
      <c r="H17" s="243">
        <f t="shared" si="1"/>
        <v>26.3</v>
      </c>
      <c r="I17" s="104"/>
      <c r="J17" s="74"/>
    </row>
    <row r="18" spans="1:10" ht="18.75" customHeight="1" x14ac:dyDescent="0.3">
      <c r="A18" s="86" t="s">
        <v>141</v>
      </c>
      <c r="B18" s="103">
        <f>'Tabell 6'!AR37+'Tabell 6'!AR41</f>
        <v>343867.44375620002</v>
      </c>
      <c r="C18" s="103">
        <f>'Tabell 6'!AS37+'Tabell 6'!AS41</f>
        <v>342927.30255259998</v>
      </c>
      <c r="D18" s="242">
        <f t="shared" si="0"/>
        <v>-0.3</v>
      </c>
      <c r="E18" s="242"/>
      <c r="F18" s="242">
        <f>('Tabell 6'!AR37+'Tabell 6'!AR41)/('Tabell 6'!AR45+'Tabell 6'!AR46)*100</f>
        <v>29.955632279689741</v>
      </c>
      <c r="G18" s="242">
        <f>('Tabell 6'!AS37+'Tabell 6'!AS41)/('Tabell 6'!AS45+'Tabell 6'!AS46)*100</f>
        <v>28.325983077400547</v>
      </c>
      <c r="H18" s="243">
        <f t="shared" si="1"/>
        <v>-5.4</v>
      </c>
      <c r="I18" s="104"/>
      <c r="J18" s="74"/>
    </row>
    <row r="19" spans="1:10" ht="18.75" customHeight="1" x14ac:dyDescent="0.3">
      <c r="A19" s="86" t="s">
        <v>142</v>
      </c>
      <c r="B19" s="103">
        <f>'Tabell 6'!AR33</f>
        <v>26.204000000000001</v>
      </c>
      <c r="C19" s="103">
        <f>'Tabell 6'!AS33</f>
        <v>19.31040771</v>
      </c>
      <c r="D19" s="242">
        <f t="shared" si="0"/>
        <v>-26.3</v>
      </c>
      <c r="E19" s="242"/>
      <c r="F19" s="242">
        <f>'Tabell 6'!AR33/('Tabell 6'!AR45+'Tabell 6'!AR46)*100</f>
        <v>2.2827324962275877E-3</v>
      </c>
      <c r="G19" s="242">
        <f>'Tabell 6'!AS33/('Tabell 6'!AS45+'Tabell 6'!AS46)*100</f>
        <v>1.5950502568318117E-3</v>
      </c>
      <c r="H19" s="243">
        <f t="shared" si="1"/>
        <v>-30.1</v>
      </c>
      <c r="I19" s="104"/>
      <c r="J19" s="74"/>
    </row>
    <row r="20" spans="1:10" ht="18.75" customHeight="1" x14ac:dyDescent="0.3">
      <c r="A20" s="108" t="s">
        <v>143</v>
      </c>
      <c r="B20" s="105">
        <f>'Tabell 6'!AR34</f>
        <v>160961.96920787002</v>
      </c>
      <c r="C20" s="105">
        <f>'Tabell 6'!AS34</f>
        <v>161914.86085854002</v>
      </c>
      <c r="D20" s="244">
        <f t="shared" si="0"/>
        <v>0.6</v>
      </c>
      <c r="E20" s="244"/>
      <c r="F20" s="242">
        <f>'Tabell 6'!AR34/('Tabell 6'!AR45+'Tabell 6'!AR46)*100</f>
        <v>14.022024033261685</v>
      </c>
      <c r="G20" s="242">
        <f>'Tabell 6'!AS34/('Tabell 6'!AS45+'Tabell 6'!AS46)*100</f>
        <v>13.374256218503286</v>
      </c>
      <c r="H20" s="243">
        <f t="shared" si="1"/>
        <v>-4.5999999999999996</v>
      </c>
      <c r="I20" s="104"/>
      <c r="J20" s="74"/>
    </row>
    <row r="21" spans="1:10" ht="18.75" customHeight="1" x14ac:dyDescent="0.3">
      <c r="A21" s="86" t="s">
        <v>144</v>
      </c>
      <c r="B21" s="103">
        <f>'Tabell 6'!AR38+'Tabell 6'!AR42</f>
        <v>460105.43181071989</v>
      </c>
      <c r="C21" s="103">
        <f>'Tabell 6'!AS38+'Tabell 6'!AS42</f>
        <v>468588.68990066997</v>
      </c>
      <c r="D21" s="242">
        <f t="shared" si="0"/>
        <v>1.8</v>
      </c>
      <c r="E21" s="242"/>
      <c r="F21" s="242">
        <f>('Tabell 6'!AR38+'Tabell 6'!AR42)/('Tabell 6'!AR45+'Tabell 6'!AR46)*100</f>
        <v>40.081576129032079</v>
      </c>
      <c r="G21" s="242">
        <f>('Tabell 6'!AS38+'Tabell 6'!AS42)/('Tabell 6'!AS45+'Tabell 6'!AS46)*100</f>
        <v>38.705682521011141</v>
      </c>
      <c r="H21" s="243">
        <f t="shared" si="1"/>
        <v>-3.4</v>
      </c>
      <c r="I21" s="104"/>
      <c r="J21" s="74"/>
    </row>
    <row r="22" spans="1:10" ht="18.75" customHeight="1" x14ac:dyDescent="0.3">
      <c r="A22" s="190" t="s">
        <v>145</v>
      </c>
      <c r="B22" s="103">
        <f>'Tabell 6'!AR36-'Tabell 6'!AR37+'Tabell 6'!AR43+'Tabell 6'!AR44+'Tabell 6'!AR46</f>
        <v>16032.812765139995</v>
      </c>
      <c r="C22" s="103">
        <f>'Tabell 6'!AS36-'Tabell 6'!AS37+'Tabell 6'!AS43+'Tabell 6'!AS44+'Tabell 6'!AS46</f>
        <v>14802.18576908998</v>
      </c>
      <c r="D22" s="242">
        <f t="shared" si="0"/>
        <v>-7.7</v>
      </c>
      <c r="E22" s="242"/>
      <c r="F22" s="243">
        <f>('Tabell 6'!AR36-'Tabell 6'!AR37+'Tabell 6'!AR43+'Tabell 6'!AR44+'Tabell 6'!AR46)/('Tabell 6'!AR45+'Tabell 6'!AR46)*100</f>
        <v>1.3966807626666748</v>
      </c>
      <c r="G22" s="243">
        <f>('Tabell 6'!AS36-'Tabell 6'!AS37+'Tabell 6'!AS43+'Tabell 6'!AS44+'Tabell 6'!AS46)/('Tabell 6'!AS45+'Tabell 6'!AS46)*100</f>
        <v>1.2226686545014001</v>
      </c>
      <c r="H22" s="243">
        <f t="shared" si="1"/>
        <v>-12.5</v>
      </c>
      <c r="I22" s="104"/>
      <c r="J22" s="74"/>
    </row>
    <row r="23" spans="1:10" ht="18.75" customHeight="1" x14ac:dyDescent="0.3">
      <c r="A23" s="86"/>
      <c r="B23" s="176"/>
      <c r="C23" s="176"/>
      <c r="D23" s="243"/>
      <c r="E23" s="242"/>
      <c r="F23" s="242"/>
      <c r="G23" s="243"/>
      <c r="H23" s="243"/>
      <c r="I23" s="181"/>
      <c r="J23" s="74"/>
    </row>
    <row r="24" spans="1:10" ht="18.75" customHeight="1" x14ac:dyDescent="0.3">
      <c r="A24" s="137" t="s">
        <v>147</v>
      </c>
      <c r="B24" s="109">
        <f>SUM(B25:B30)</f>
        <v>354951.87404817005</v>
      </c>
      <c r="C24" s="109">
        <f>SUM(C25:C30)</f>
        <v>486248.78572314</v>
      </c>
      <c r="D24" s="240">
        <f t="shared" si="0"/>
        <v>37</v>
      </c>
      <c r="E24" s="240"/>
      <c r="F24" s="241">
        <f>SUM(F25:F30)</f>
        <v>100.00000000000003</v>
      </c>
      <c r="G24" s="241">
        <f>SUM(G25:G30)</f>
        <v>99.999999999999972</v>
      </c>
      <c r="H24" s="243">
        <f t="shared" si="1"/>
        <v>0</v>
      </c>
      <c r="I24" s="181"/>
      <c r="J24" s="74"/>
    </row>
    <row r="25" spans="1:10" ht="18.75" customHeight="1" x14ac:dyDescent="0.3">
      <c r="A25" s="190" t="s">
        <v>140</v>
      </c>
      <c r="B25" s="103">
        <f>'Tabell 6'!AR55</f>
        <v>193836.67316444</v>
      </c>
      <c r="C25" s="103">
        <f>'Tabell 6'!AS55</f>
        <v>311829.69118750998</v>
      </c>
      <c r="D25" s="242">
        <f t="shared" si="0"/>
        <v>60.9</v>
      </c>
      <c r="E25" s="242"/>
      <c r="F25" s="242">
        <f>'Tabell 6'!AR55/('Tabell 6'!AR60+'Tabell 6'!AR61)*100</f>
        <v>54.609282930038773</v>
      </c>
      <c r="G25" s="242">
        <f>'Tabell 6'!AS55/('Tabell 6'!AS60+'Tabell 6'!AS61)*100</f>
        <v>64.129659619357753</v>
      </c>
      <c r="H25" s="243">
        <f t="shared" si="1"/>
        <v>17.399999999999999</v>
      </c>
      <c r="I25" s="181"/>
      <c r="J25" s="74"/>
    </row>
    <row r="26" spans="1:10" ht="18.75" customHeight="1" x14ac:dyDescent="0.3">
      <c r="A26" s="190" t="s">
        <v>141</v>
      </c>
      <c r="B26" s="103">
        <f>'Tabell 6'!AR52+'Tabell 6'!AR56</f>
        <v>131894.06696913001</v>
      </c>
      <c r="C26" s="103">
        <f>'Tabell 6'!AS52+'Tabell 6'!AS56</f>
        <v>160742.71877422</v>
      </c>
      <c r="D26" s="242">
        <f t="shared" si="0"/>
        <v>21.9</v>
      </c>
      <c r="E26" s="242"/>
      <c r="F26" s="242">
        <f>('Tabell 6'!AR52+'Tabell 6'!AR56)/('Tabell 6'!AR60+'Tabell 6'!AR61)*100</f>
        <v>37.158295704963898</v>
      </c>
      <c r="G26" s="242">
        <f>('Tabell 6'!AS52+'Tabell 6'!AS56)/('Tabell 6'!AS60+'Tabell 6'!AS61)*100</f>
        <v>33.057711092309766</v>
      </c>
      <c r="H26" s="243">
        <f t="shared" si="1"/>
        <v>-11</v>
      </c>
      <c r="I26" s="181"/>
      <c r="J26" s="74"/>
    </row>
    <row r="27" spans="1:10" ht="18.75" customHeight="1" x14ac:dyDescent="0.3">
      <c r="A27" s="190" t="s">
        <v>142</v>
      </c>
      <c r="B27" s="103">
        <f>'Tabell 6'!AR48</f>
        <v>0</v>
      </c>
      <c r="C27" s="103">
        <f>'Tabell 6'!AS48</f>
        <v>0</v>
      </c>
      <c r="D27" s="242" t="str">
        <f t="shared" si="0"/>
        <v xml:space="preserve">    ---- </v>
      </c>
      <c r="E27" s="242"/>
      <c r="F27" s="242">
        <f>'Tabell 6'!AR48/('Tabell 6'!AR60+'Tabell 6'!AR61)*100</f>
        <v>0</v>
      </c>
      <c r="G27" s="242">
        <f>'Tabell 6'!AS48/('Tabell 6'!AS60+'Tabell 6'!AS61)*100</f>
        <v>0</v>
      </c>
      <c r="H27" s="243" t="str">
        <f t="shared" si="1"/>
        <v xml:space="preserve">    ---- </v>
      </c>
      <c r="I27" s="181"/>
      <c r="J27" s="74"/>
    </row>
    <row r="28" spans="1:10" ht="18.75" customHeight="1" x14ac:dyDescent="0.3">
      <c r="A28" s="108" t="s">
        <v>143</v>
      </c>
      <c r="B28" s="105">
        <f>'Tabell 6'!AR49</f>
        <v>21362.888297879999</v>
      </c>
      <c r="C28" s="105">
        <f>'Tabell 6'!AS49</f>
        <v>7904.9752658799998</v>
      </c>
      <c r="D28" s="244">
        <f t="shared" si="0"/>
        <v>-63</v>
      </c>
      <c r="E28" s="244"/>
      <c r="F28" s="242">
        <f>'Tabell 6'!AR49/('Tabell 6'!AR60+'Tabell 6'!AR61)*100</f>
        <v>6.0185309220203962</v>
      </c>
      <c r="G28" s="242">
        <f>'Tabell 6'!AS49/('Tabell 6'!AS60+'Tabell 6'!AS61)*100</f>
        <v>1.6257059139230281</v>
      </c>
      <c r="H28" s="243">
        <f t="shared" si="1"/>
        <v>-73</v>
      </c>
      <c r="I28" s="181"/>
      <c r="J28" s="74"/>
    </row>
    <row r="29" spans="1:10" ht="18.75" customHeight="1" x14ac:dyDescent="0.3">
      <c r="A29" s="190" t="s">
        <v>144</v>
      </c>
      <c r="B29" s="103">
        <f>'Tabell 6'!AR53+'Tabell 6'!AR57</f>
        <v>4213.5009485700002</v>
      </c>
      <c r="C29" s="103">
        <f>'Tabell 6'!AS53+'Tabell 6'!AS57</f>
        <v>3852.8408391299999</v>
      </c>
      <c r="D29" s="242">
        <f t="shared" si="0"/>
        <v>-8.6</v>
      </c>
      <c r="E29" s="242"/>
      <c r="F29" s="242">
        <f>('Tabell 6'!AR53+'Tabell 6'!AR57)/('Tabell 6'!AR60+'Tabell 6'!AR61)*100</f>
        <v>1.1870626010550918</v>
      </c>
      <c r="G29" s="242">
        <f>('Tabell 6'!AS53+'Tabell 6'!AS57)/('Tabell 6'!AS60+'Tabell 6'!AS61)*100</f>
        <v>0.79235999189183126</v>
      </c>
      <c r="H29" s="243">
        <f t="shared" si="1"/>
        <v>-33.299999999999997</v>
      </c>
      <c r="I29" s="181"/>
      <c r="J29" s="74"/>
    </row>
    <row r="30" spans="1:10" ht="18.75" customHeight="1" x14ac:dyDescent="0.3">
      <c r="A30" s="86" t="s">
        <v>145</v>
      </c>
      <c r="B30" s="103">
        <f>'Tabell 6'!AR51-'Tabell 6'!AR52+'Tabell 6'!AR58+'Tabell 6'!AR59+'Tabell 6'!AR61</f>
        <v>3644.7446681499996</v>
      </c>
      <c r="C30" s="103">
        <f>'Tabell 6'!AS51-'Tabell 6'!AS52+'Tabell 6'!AS58+'Tabell 6'!AS59+'Tabell 6'!AS61</f>
        <v>1918.5596564</v>
      </c>
      <c r="D30" s="243">
        <f t="shared" si="0"/>
        <v>-47.4</v>
      </c>
      <c r="E30" s="243"/>
      <c r="F30" s="243">
        <f>('Tabell 6'!AR51-'Tabell 6'!AR52+'Tabell 6'!AR58+'Tabell 6'!AR59+'Tabell 6'!AR61)/('Tabell 6'!AR60+'Tabell 6'!AR61)*100</f>
        <v>1.0268278419218535</v>
      </c>
      <c r="G30" s="243">
        <f>('Tabell 6'!AS51-'Tabell 6'!AS52+'Tabell 6'!AS58+'Tabell 6'!AS59+'Tabell 6'!AS61)/('Tabell 6'!AS60+'Tabell 6'!AS61)*100</f>
        <v>0.39456338251760453</v>
      </c>
      <c r="H30" s="243">
        <f t="shared" si="1"/>
        <v>-61.6</v>
      </c>
      <c r="I30" s="181"/>
      <c r="J30" s="74"/>
    </row>
    <row r="31" spans="1:10" ht="18.75" customHeight="1" x14ac:dyDescent="0.3">
      <c r="A31" s="190"/>
      <c r="B31" s="176"/>
      <c r="C31" s="176"/>
      <c r="D31" s="242"/>
      <c r="E31" s="242"/>
      <c r="F31" s="242"/>
      <c r="G31" s="243"/>
      <c r="H31" s="243"/>
      <c r="I31" s="181"/>
      <c r="J31" s="74"/>
    </row>
    <row r="32" spans="1:10" ht="18.75" customHeight="1" x14ac:dyDescent="0.3">
      <c r="A32" s="137" t="s">
        <v>2</v>
      </c>
      <c r="B32" s="109">
        <f>SUM(B33:B38)</f>
        <v>1665098.0866854102</v>
      </c>
      <c r="C32" s="109">
        <f>SUM(C33:C38)</f>
        <v>1857119.8327165497</v>
      </c>
      <c r="D32" s="240">
        <f t="shared" si="0"/>
        <v>11.5</v>
      </c>
      <c r="E32" s="240"/>
      <c r="F32" s="240">
        <f>SUM(F33:F38)</f>
        <v>99.999999999999986</v>
      </c>
      <c r="G32" s="240">
        <f>SUM(G33:G38)</f>
        <v>100.00000000000001</v>
      </c>
      <c r="H32" s="241">
        <f t="shared" si="1"/>
        <v>0</v>
      </c>
      <c r="I32" s="181"/>
      <c r="J32" s="74"/>
    </row>
    <row r="33" spans="1:10" ht="18.75" customHeight="1" x14ac:dyDescent="0.3">
      <c r="A33" s="190" t="s">
        <v>140</v>
      </c>
      <c r="B33" s="103">
        <f t="shared" ref="B33:C38" si="2">B9+B17+B25</f>
        <v>363292.16885483998</v>
      </c>
      <c r="C33" s="103">
        <f t="shared" si="2"/>
        <v>537018.24139018997</v>
      </c>
      <c r="D33" s="242">
        <f t="shared" si="0"/>
        <v>47.8</v>
      </c>
      <c r="E33" s="242"/>
      <c r="F33" s="242">
        <f>B33/B32*100</f>
        <v>21.818064158491666</v>
      </c>
      <c r="G33" s="242">
        <f>C33/C32*100</f>
        <v>28.916725346939661</v>
      </c>
      <c r="H33" s="243">
        <f t="shared" si="1"/>
        <v>32.5</v>
      </c>
      <c r="I33" s="181"/>
      <c r="J33" s="74"/>
    </row>
    <row r="34" spans="1:10" ht="18.75" customHeight="1" x14ac:dyDescent="0.3">
      <c r="A34" s="190" t="s">
        <v>141</v>
      </c>
      <c r="B34" s="103">
        <f t="shared" si="2"/>
        <v>551282.82290627016</v>
      </c>
      <c r="C34" s="103">
        <f t="shared" si="2"/>
        <v>582196.36706381</v>
      </c>
      <c r="D34" s="242">
        <f t="shared" si="0"/>
        <v>5.6</v>
      </c>
      <c r="E34" s="242"/>
      <c r="F34" s="242">
        <f>B34/B32*100</f>
        <v>33.108129023418002</v>
      </c>
      <c r="G34" s="242">
        <f>C34/C32*100</f>
        <v>31.349423812473496</v>
      </c>
      <c r="H34" s="243">
        <f t="shared" si="1"/>
        <v>-5.3</v>
      </c>
      <c r="I34" s="181"/>
      <c r="J34" s="74"/>
    </row>
    <row r="35" spans="1:10" ht="18.75" customHeight="1" x14ac:dyDescent="0.3">
      <c r="A35" s="190" t="s">
        <v>142</v>
      </c>
      <c r="B35" s="103">
        <f t="shared" si="2"/>
        <v>1000.97740175</v>
      </c>
      <c r="C35" s="103">
        <f t="shared" si="2"/>
        <v>1017.48540746</v>
      </c>
      <c r="D35" s="242">
        <f t="shared" si="0"/>
        <v>1.6</v>
      </c>
      <c r="E35" s="242"/>
      <c r="F35" s="242">
        <f>B35/B32*100</f>
        <v>6.0115221424737381E-2</v>
      </c>
      <c r="G35" s="242">
        <f>C35/C32*100</f>
        <v>5.4788355039623218E-2</v>
      </c>
      <c r="H35" s="243">
        <f t="shared" si="1"/>
        <v>-8.9</v>
      </c>
      <c r="I35" s="181"/>
      <c r="J35" s="74"/>
    </row>
    <row r="36" spans="1:10" ht="18.75" customHeight="1" x14ac:dyDescent="0.3">
      <c r="A36" s="108" t="s">
        <v>143</v>
      </c>
      <c r="B36" s="105">
        <f t="shared" si="2"/>
        <v>208240.37376489001</v>
      </c>
      <c r="C36" s="105">
        <f t="shared" si="2"/>
        <v>195200.38017628001</v>
      </c>
      <c r="D36" s="244">
        <f t="shared" si="0"/>
        <v>-6.3</v>
      </c>
      <c r="E36" s="244"/>
      <c r="F36" s="242">
        <f>B36/B32*100</f>
        <v>12.506192603909538</v>
      </c>
      <c r="G36" s="242">
        <f>C36/C32*100</f>
        <v>10.510920013747613</v>
      </c>
      <c r="H36" s="243">
        <f t="shared" si="1"/>
        <v>-16</v>
      </c>
      <c r="I36" s="181"/>
      <c r="J36" s="74"/>
    </row>
    <row r="37" spans="1:10" ht="18.75" customHeight="1" x14ac:dyDescent="0.3">
      <c r="A37" s="190" t="s">
        <v>144</v>
      </c>
      <c r="B37" s="103">
        <f t="shared" si="2"/>
        <v>493918.26027434994</v>
      </c>
      <c r="C37" s="103">
        <f t="shared" si="2"/>
        <v>505104.10379064997</v>
      </c>
      <c r="D37" s="242">
        <f t="shared" si="0"/>
        <v>2.2999999999999998</v>
      </c>
      <c r="E37" s="242"/>
      <c r="F37" s="242">
        <f>B37/B32*100</f>
        <v>29.663012901393522</v>
      </c>
      <c r="G37" s="242">
        <f>C37/C32*100</f>
        <v>27.198250478634755</v>
      </c>
      <c r="H37" s="243">
        <f t="shared" si="1"/>
        <v>-8.3000000000000007</v>
      </c>
      <c r="I37" s="181"/>
      <c r="J37" s="74"/>
    </row>
    <row r="38" spans="1:10" ht="18.75" customHeight="1" x14ac:dyDescent="0.3">
      <c r="A38" s="245" t="s">
        <v>145</v>
      </c>
      <c r="B38" s="246">
        <f t="shared" si="2"/>
        <v>47363.483483309996</v>
      </c>
      <c r="C38" s="246">
        <f t="shared" si="2"/>
        <v>36583.254888159972</v>
      </c>
      <c r="D38" s="247">
        <f t="shared" si="0"/>
        <v>-22.8</v>
      </c>
      <c r="E38" s="242"/>
      <c r="F38" s="247">
        <f>B38/B32*100</f>
        <v>2.8444860913625241</v>
      </c>
      <c r="G38" s="247">
        <f>C38/C32*100</f>
        <v>1.9698919931648609</v>
      </c>
      <c r="H38" s="248">
        <f t="shared" si="1"/>
        <v>-30.7</v>
      </c>
      <c r="I38" s="181"/>
      <c r="J38" s="74"/>
    </row>
    <row r="39" spans="1:10" ht="18.75" customHeight="1" x14ac:dyDescent="0.3">
      <c r="A39" s="112"/>
      <c r="B39" s="112"/>
      <c r="C39" s="112"/>
      <c r="D39" s="112"/>
      <c r="E39" s="112"/>
      <c r="F39" s="181"/>
      <c r="G39" s="181"/>
      <c r="H39" s="181"/>
      <c r="I39" s="181"/>
      <c r="J39" s="74"/>
    </row>
    <row r="40" spans="1:10" ht="18.75" customHeight="1" x14ac:dyDescent="0.3">
      <c r="A40" s="112" t="s">
        <v>148</v>
      </c>
      <c r="B40" s="112"/>
      <c r="C40" s="112"/>
      <c r="D40" s="112"/>
      <c r="E40" s="112"/>
      <c r="F40" s="181"/>
      <c r="G40" s="181"/>
      <c r="H40" s="181"/>
      <c r="I40" s="181"/>
      <c r="J40" s="74"/>
    </row>
    <row r="41" spans="1:10" ht="18.75" x14ac:dyDescent="0.3">
      <c r="A41" s="112" t="s">
        <v>102</v>
      </c>
      <c r="B41" s="112"/>
      <c r="C41" s="112"/>
      <c r="D41" s="112"/>
      <c r="E41" s="112"/>
      <c r="F41" s="74"/>
      <c r="G41" s="74"/>
      <c r="H41" s="74"/>
      <c r="I41" s="74"/>
      <c r="J41" s="74"/>
    </row>
    <row r="42" spans="1:10" ht="18.75" x14ac:dyDescent="0.3">
      <c r="A42" s="74"/>
      <c r="B42" s="74"/>
      <c r="C42" s="74"/>
      <c r="D42" s="74"/>
      <c r="E42" s="74"/>
      <c r="G42" s="74"/>
      <c r="H42" s="74"/>
      <c r="I42" s="74"/>
      <c r="J42" s="74"/>
    </row>
    <row r="43" spans="1:10" ht="18.75" x14ac:dyDescent="0.3">
      <c r="A43" s="74"/>
      <c r="B43" s="74"/>
      <c r="C43" s="74"/>
      <c r="D43" s="74"/>
      <c r="E43" s="74"/>
      <c r="F43" s="74"/>
      <c r="G43" s="74"/>
      <c r="H43" s="74"/>
      <c r="I43" s="74"/>
      <c r="J43" s="74"/>
    </row>
    <row r="44" spans="1:10" ht="18.75" x14ac:dyDescent="0.3">
      <c r="A44" s="74"/>
      <c r="B44" s="74"/>
      <c r="C44" s="74"/>
      <c r="D44" s="74"/>
      <c r="E44" s="74"/>
      <c r="F44" s="74"/>
      <c r="G44" s="74"/>
      <c r="H44" s="74"/>
      <c r="I44" s="74"/>
      <c r="J44" s="74"/>
    </row>
    <row r="45" spans="1:10" ht="18.75" x14ac:dyDescent="0.3">
      <c r="A45" s="74"/>
      <c r="B45" s="74"/>
      <c r="C45" s="74"/>
      <c r="D45" s="74"/>
      <c r="E45" s="74"/>
      <c r="F45" s="74"/>
      <c r="G45" s="74"/>
      <c r="H45" s="74"/>
      <c r="I45" s="74"/>
      <c r="J45" s="74"/>
    </row>
    <row r="46" spans="1:10" ht="18.75" x14ac:dyDescent="0.3">
      <c r="A46" s="74"/>
      <c r="B46" s="74"/>
      <c r="C46" s="74"/>
      <c r="D46" s="74"/>
      <c r="E46" s="74"/>
      <c r="F46" s="74"/>
      <c r="G46" s="74"/>
      <c r="H46" s="74"/>
      <c r="I46" s="74"/>
      <c r="J46" s="74"/>
    </row>
    <row r="47" spans="1:10" ht="18.75" x14ac:dyDescent="0.3">
      <c r="A47" s="74"/>
      <c r="B47" s="74"/>
      <c r="C47" s="74"/>
      <c r="D47" s="74"/>
      <c r="E47" s="74"/>
      <c r="F47" s="74"/>
      <c r="G47" s="74"/>
      <c r="H47" s="74"/>
      <c r="I47" s="74"/>
      <c r="J47" s="74"/>
    </row>
    <row r="48" spans="1:10" ht="18.75" x14ac:dyDescent="0.3">
      <c r="A48" s="74"/>
      <c r="B48" s="74"/>
      <c r="C48" s="74"/>
      <c r="D48" s="74"/>
      <c r="E48" s="74"/>
      <c r="F48" s="74"/>
      <c r="G48" s="74"/>
      <c r="H48" s="74"/>
      <c r="I48" s="74"/>
      <c r="J48" s="74"/>
    </row>
    <row r="49" spans="1:10" ht="18.75" x14ac:dyDescent="0.3">
      <c r="A49" s="74"/>
      <c r="B49" s="74"/>
      <c r="C49" s="74"/>
      <c r="D49" s="74"/>
      <c r="E49" s="74"/>
      <c r="F49" s="74"/>
      <c r="G49" s="74"/>
      <c r="H49" s="74"/>
      <c r="I49" s="74"/>
      <c r="J49" s="74"/>
    </row>
    <row r="50" spans="1:10" ht="18.75" x14ac:dyDescent="0.3">
      <c r="A50" s="74"/>
      <c r="B50" s="74"/>
      <c r="C50" s="74"/>
      <c r="D50" s="74"/>
      <c r="E50" s="74"/>
      <c r="F50" s="74"/>
      <c r="G50" s="74"/>
      <c r="H50" s="74"/>
      <c r="I50" s="74"/>
      <c r="J50" s="74"/>
    </row>
    <row r="51" spans="1:10" ht="18.75" x14ac:dyDescent="0.3">
      <c r="A51" s="74"/>
      <c r="B51" s="74"/>
      <c r="C51" s="74"/>
      <c r="D51" s="74"/>
      <c r="E51" s="74"/>
      <c r="F51" s="74"/>
      <c r="G51" s="74"/>
      <c r="H51" s="74"/>
      <c r="I51" s="74"/>
      <c r="J51" s="74"/>
    </row>
    <row r="52" spans="1:10" ht="18.75" x14ac:dyDescent="0.3">
      <c r="A52" s="74"/>
      <c r="B52" s="74"/>
      <c r="C52" s="74"/>
      <c r="D52" s="74"/>
      <c r="E52" s="74"/>
      <c r="F52" s="74"/>
      <c r="G52" s="74"/>
      <c r="H52" s="74"/>
      <c r="I52" s="74"/>
      <c r="J52" s="74"/>
    </row>
    <row r="53" spans="1:10" ht="18.75" x14ac:dyDescent="0.3">
      <c r="A53" s="74"/>
      <c r="B53" s="74"/>
      <c r="C53" s="74"/>
      <c r="D53" s="74"/>
      <c r="E53" s="74"/>
      <c r="F53" s="74"/>
      <c r="G53" s="74"/>
      <c r="H53" s="74"/>
      <c r="I53" s="74"/>
      <c r="J53" s="74"/>
    </row>
    <row r="54" spans="1:10" ht="18.75" x14ac:dyDescent="0.3">
      <c r="A54" s="74"/>
      <c r="B54" s="74"/>
      <c r="C54" s="74"/>
      <c r="D54" s="74"/>
      <c r="E54" s="74"/>
      <c r="F54" s="74"/>
      <c r="G54" s="74"/>
      <c r="H54" s="74"/>
      <c r="I54" s="74"/>
      <c r="J54" s="74"/>
    </row>
    <row r="55" spans="1:10" ht="18.75" x14ac:dyDescent="0.3">
      <c r="A55" s="74"/>
      <c r="B55" s="74"/>
      <c r="C55" s="74"/>
      <c r="D55" s="74"/>
      <c r="E55" s="74"/>
      <c r="F55" s="74"/>
      <c r="G55" s="74"/>
      <c r="H55" s="74"/>
      <c r="I55" s="74"/>
      <c r="J55" s="74"/>
    </row>
    <row r="56" spans="1:10" ht="18.75" x14ac:dyDescent="0.3">
      <c r="A56" s="74"/>
      <c r="B56" s="74"/>
      <c r="C56" s="74"/>
      <c r="D56" s="74"/>
      <c r="E56" s="74"/>
      <c r="F56" s="74"/>
      <c r="G56" s="74"/>
      <c r="H56" s="74"/>
      <c r="I56" s="74"/>
      <c r="J56" s="74"/>
    </row>
    <row r="57" spans="1:10" ht="18.75" x14ac:dyDescent="0.3">
      <c r="A57" s="74"/>
      <c r="B57" s="74"/>
      <c r="C57" s="74"/>
      <c r="D57" s="74"/>
      <c r="E57" s="74"/>
      <c r="F57" s="74"/>
      <c r="G57" s="74"/>
      <c r="H57" s="74"/>
      <c r="I57" s="74"/>
      <c r="J57" s="74"/>
    </row>
    <row r="58" spans="1:10" ht="18.75" x14ac:dyDescent="0.3">
      <c r="A58" s="74"/>
      <c r="B58" s="74"/>
      <c r="C58" s="74"/>
      <c r="D58" s="74"/>
      <c r="E58" s="74"/>
      <c r="F58" s="74"/>
      <c r="G58" s="74"/>
      <c r="H58" s="74"/>
      <c r="I58" s="74"/>
      <c r="J58" s="74"/>
    </row>
    <row r="59" spans="1:10" ht="18.75" x14ac:dyDescent="0.3">
      <c r="A59" s="74"/>
      <c r="B59" s="74"/>
      <c r="C59" s="74"/>
      <c r="D59" s="74"/>
      <c r="E59" s="74"/>
      <c r="F59" s="74"/>
      <c r="G59" s="74"/>
      <c r="H59" s="74"/>
      <c r="I59" s="74"/>
      <c r="J59" s="74"/>
    </row>
    <row r="60" spans="1:10" ht="18.75" x14ac:dyDescent="0.3">
      <c r="A60" s="74"/>
      <c r="B60" s="74"/>
      <c r="C60" s="74"/>
      <c r="D60" s="74"/>
      <c r="E60" s="74"/>
      <c r="F60" s="74"/>
      <c r="G60" s="74"/>
      <c r="H60" s="74"/>
      <c r="I60" s="74"/>
      <c r="J60" s="74"/>
    </row>
    <row r="61" spans="1:10" ht="18.75" x14ac:dyDescent="0.3">
      <c r="A61" s="74"/>
      <c r="B61" s="74"/>
      <c r="C61" s="74"/>
      <c r="D61" s="74"/>
      <c r="E61" s="74"/>
      <c r="F61" s="74"/>
      <c r="G61" s="74"/>
      <c r="H61" s="74"/>
      <c r="I61" s="74"/>
      <c r="J61" s="74"/>
    </row>
    <row r="62" spans="1:10" ht="18.75" x14ac:dyDescent="0.3">
      <c r="A62" s="74"/>
      <c r="B62" s="74"/>
      <c r="C62" s="74"/>
      <c r="D62" s="74"/>
      <c r="E62" s="74"/>
      <c r="F62" s="74"/>
      <c r="G62" s="74"/>
      <c r="H62" s="74"/>
      <c r="I62" s="74"/>
      <c r="J62" s="74"/>
    </row>
    <row r="63" spans="1:10" ht="18.75" x14ac:dyDescent="0.3">
      <c r="A63" s="74"/>
      <c r="B63" s="74"/>
      <c r="C63" s="74"/>
      <c r="D63" s="74"/>
      <c r="E63" s="74"/>
      <c r="F63" s="74"/>
      <c r="G63" s="74"/>
      <c r="H63" s="74"/>
      <c r="I63" s="74"/>
      <c r="J63" s="74"/>
    </row>
    <row r="64" spans="1:10" ht="18.75" x14ac:dyDescent="0.3">
      <c r="A64" s="74"/>
      <c r="B64" s="74"/>
      <c r="C64" s="74"/>
      <c r="D64" s="74"/>
      <c r="E64" s="74"/>
      <c r="F64" s="74"/>
      <c r="G64" s="74"/>
      <c r="H64" s="74"/>
      <c r="I64" s="74"/>
      <c r="J64" s="74"/>
    </row>
    <row r="65" spans="1:10" ht="18.75" x14ac:dyDescent="0.3">
      <c r="A65" s="74"/>
      <c r="B65" s="74"/>
      <c r="C65" s="74"/>
      <c r="D65" s="74"/>
      <c r="E65" s="74"/>
      <c r="F65" s="74"/>
      <c r="G65" s="74"/>
      <c r="H65" s="74"/>
      <c r="I65" s="74"/>
      <c r="J65" s="74"/>
    </row>
    <row r="66" spans="1:10" ht="18.75" x14ac:dyDescent="0.3">
      <c r="A66" s="74"/>
      <c r="B66" s="74"/>
      <c r="C66" s="74"/>
      <c r="D66" s="74"/>
      <c r="E66" s="74"/>
      <c r="F66" s="74"/>
      <c r="G66" s="74"/>
      <c r="H66" s="74"/>
      <c r="I66" s="74"/>
      <c r="J66" s="74"/>
    </row>
    <row r="67" spans="1:10" ht="18.75" x14ac:dyDescent="0.3">
      <c r="A67" s="74"/>
      <c r="B67" s="74"/>
      <c r="C67" s="74"/>
      <c r="D67" s="74"/>
      <c r="E67" s="74"/>
      <c r="F67" s="74"/>
      <c r="G67" s="74"/>
      <c r="H67" s="74"/>
      <c r="I67" s="74"/>
      <c r="J67" s="74"/>
    </row>
    <row r="68" spans="1:10" ht="18.75" x14ac:dyDescent="0.3">
      <c r="A68" s="74"/>
      <c r="B68" s="74"/>
      <c r="C68" s="74"/>
      <c r="D68" s="74"/>
      <c r="E68" s="74"/>
      <c r="F68" s="74"/>
      <c r="G68" s="74"/>
      <c r="H68" s="74"/>
      <c r="I68" s="74"/>
      <c r="J68" s="74"/>
    </row>
    <row r="69" spans="1:10" ht="18.75" x14ac:dyDescent="0.3">
      <c r="A69" s="74"/>
      <c r="B69" s="74"/>
      <c r="C69" s="74"/>
      <c r="D69" s="74"/>
      <c r="E69" s="74"/>
      <c r="F69" s="74"/>
      <c r="G69" s="74"/>
      <c r="H69" s="74"/>
      <c r="I69" s="74"/>
      <c r="J69" s="74"/>
    </row>
    <row r="70" spans="1:10" ht="18.75" x14ac:dyDescent="0.3">
      <c r="A70" s="74"/>
      <c r="B70" s="74"/>
      <c r="C70" s="74"/>
      <c r="D70" s="74"/>
      <c r="E70" s="74"/>
      <c r="F70" s="74"/>
      <c r="G70" s="74"/>
      <c r="H70" s="74"/>
      <c r="I70" s="74"/>
      <c r="J70" s="74"/>
    </row>
    <row r="71" spans="1:10" ht="18.75" x14ac:dyDescent="0.3">
      <c r="A71" s="74"/>
      <c r="B71" s="74"/>
      <c r="C71" s="74"/>
      <c r="D71" s="74"/>
      <c r="E71" s="74"/>
      <c r="F71" s="74"/>
      <c r="G71" s="74"/>
      <c r="H71" s="74"/>
      <c r="I71" s="74"/>
      <c r="J71" s="74"/>
    </row>
    <row r="72" spans="1:10" ht="18.75" x14ac:dyDescent="0.3">
      <c r="A72" s="74"/>
      <c r="B72" s="74"/>
      <c r="C72" s="74"/>
      <c r="D72" s="74"/>
      <c r="E72" s="74"/>
      <c r="F72" s="74"/>
      <c r="G72" s="74"/>
      <c r="H72" s="74"/>
      <c r="I72" s="74"/>
      <c r="J72" s="74"/>
    </row>
    <row r="73" spans="1:10" ht="18.75" x14ac:dyDescent="0.3">
      <c r="A73" s="74"/>
      <c r="B73" s="74"/>
      <c r="C73" s="74"/>
      <c r="D73" s="74"/>
      <c r="E73" s="74"/>
      <c r="F73" s="74"/>
      <c r="G73" s="74"/>
      <c r="H73" s="74"/>
      <c r="I73" s="74"/>
      <c r="J73" s="74"/>
    </row>
    <row r="74" spans="1:10" ht="18.75" x14ac:dyDescent="0.3">
      <c r="A74" s="74"/>
      <c r="B74" s="74"/>
      <c r="C74" s="74"/>
      <c r="D74" s="74"/>
      <c r="E74" s="74"/>
      <c r="F74" s="74"/>
      <c r="G74" s="74"/>
      <c r="H74" s="74"/>
      <c r="I74" s="74"/>
      <c r="J74" s="74"/>
    </row>
    <row r="75" spans="1:10" ht="18.75" x14ac:dyDescent="0.3">
      <c r="A75" s="74"/>
      <c r="B75" s="74"/>
      <c r="C75" s="74"/>
      <c r="D75" s="74"/>
      <c r="E75" s="74"/>
      <c r="F75" s="74"/>
      <c r="G75" s="74"/>
      <c r="H75" s="74"/>
      <c r="I75" s="74"/>
      <c r="J75" s="74"/>
    </row>
    <row r="76" spans="1:10" ht="18.75" x14ac:dyDescent="0.3">
      <c r="A76" s="74"/>
      <c r="B76" s="74"/>
      <c r="C76" s="74"/>
      <c r="D76" s="74"/>
      <c r="E76" s="74"/>
      <c r="F76" s="74"/>
      <c r="G76" s="74"/>
      <c r="H76" s="74"/>
      <c r="I76" s="74"/>
      <c r="J76" s="74"/>
    </row>
    <row r="77" spans="1:10" ht="18.75" x14ac:dyDescent="0.3">
      <c r="A77" s="74"/>
      <c r="B77" s="74"/>
      <c r="C77" s="74"/>
      <c r="D77" s="74"/>
      <c r="E77" s="74"/>
      <c r="F77" s="74"/>
      <c r="G77" s="74"/>
      <c r="H77" s="74"/>
      <c r="I77" s="74"/>
      <c r="J77" s="74"/>
    </row>
    <row r="78" spans="1:10" ht="18.75" x14ac:dyDescent="0.3">
      <c r="A78" s="74"/>
      <c r="B78" s="74"/>
      <c r="C78" s="74"/>
      <c r="D78" s="74"/>
      <c r="E78" s="74"/>
      <c r="F78" s="74"/>
      <c r="G78" s="74"/>
      <c r="H78" s="74"/>
      <c r="I78" s="74"/>
      <c r="J78" s="74"/>
    </row>
    <row r="79" spans="1:10" ht="18.75" x14ac:dyDescent="0.3">
      <c r="A79" s="74"/>
      <c r="B79" s="74"/>
      <c r="C79" s="74"/>
      <c r="D79" s="74"/>
      <c r="E79" s="74"/>
      <c r="F79" s="74"/>
      <c r="G79" s="74"/>
      <c r="H79" s="74"/>
      <c r="I79" s="74"/>
      <c r="J79" s="74"/>
    </row>
    <row r="80" spans="1:10" ht="18.75" x14ac:dyDescent="0.3">
      <c r="A80" s="74"/>
      <c r="B80" s="74"/>
      <c r="C80" s="74"/>
      <c r="D80" s="74"/>
      <c r="E80" s="74"/>
      <c r="F80" s="74"/>
      <c r="G80" s="74"/>
      <c r="H80" s="74"/>
      <c r="I80" s="74"/>
      <c r="J80" s="74"/>
    </row>
    <row r="81" spans="1:10" ht="18.75" x14ac:dyDescent="0.3">
      <c r="A81" s="74"/>
      <c r="B81" s="74"/>
      <c r="C81" s="74"/>
      <c r="D81" s="74"/>
      <c r="E81" s="74"/>
      <c r="F81" s="74"/>
      <c r="G81" s="74"/>
      <c r="H81" s="74"/>
      <c r="I81" s="74"/>
      <c r="J81" s="74"/>
    </row>
    <row r="82" spans="1:10" ht="18.75" x14ac:dyDescent="0.3">
      <c r="A82" s="74"/>
      <c r="B82" s="74"/>
      <c r="C82" s="74"/>
      <c r="D82" s="74"/>
      <c r="E82" s="74"/>
      <c r="F82" s="74"/>
      <c r="G82" s="74"/>
      <c r="H82" s="74"/>
      <c r="I82" s="74"/>
      <c r="J82" s="74"/>
    </row>
    <row r="83" spans="1:10" ht="18.75" x14ac:dyDescent="0.3">
      <c r="A83" s="74"/>
      <c r="B83" s="74"/>
      <c r="C83" s="74"/>
      <c r="D83" s="74"/>
      <c r="E83" s="74"/>
      <c r="F83" s="74"/>
      <c r="G83" s="74"/>
      <c r="H83" s="74"/>
      <c r="I83" s="74"/>
      <c r="J83" s="74"/>
    </row>
    <row r="84" spans="1:10" ht="18.75" x14ac:dyDescent="0.3">
      <c r="A84" s="74"/>
      <c r="B84" s="74"/>
      <c r="C84" s="74"/>
      <c r="D84" s="74"/>
      <c r="E84" s="74"/>
      <c r="F84" s="74"/>
      <c r="G84" s="74"/>
      <c r="H84" s="74"/>
      <c r="I84" s="74"/>
      <c r="J84" s="74"/>
    </row>
    <row r="85" spans="1:10" ht="18.75" x14ac:dyDescent="0.3">
      <c r="A85" s="74"/>
      <c r="B85" s="74"/>
      <c r="C85" s="74"/>
      <c r="D85" s="74"/>
      <c r="E85" s="74"/>
      <c r="F85" s="74"/>
      <c r="G85" s="74"/>
      <c r="H85" s="74"/>
      <c r="I85" s="74"/>
      <c r="J85" s="74"/>
    </row>
    <row r="86" spans="1:10" ht="18.75" x14ac:dyDescent="0.3">
      <c r="A86" s="74"/>
      <c r="B86" s="74"/>
      <c r="C86" s="74"/>
      <c r="D86" s="74"/>
      <c r="E86" s="74"/>
      <c r="F86" s="74"/>
      <c r="G86" s="74"/>
      <c r="H86" s="74"/>
      <c r="I86" s="74"/>
      <c r="J86" s="74"/>
    </row>
    <row r="87" spans="1:10" ht="18.75" x14ac:dyDescent="0.3">
      <c r="A87" s="74"/>
      <c r="B87" s="74"/>
      <c r="C87" s="74"/>
      <c r="D87" s="74"/>
      <c r="E87" s="74"/>
      <c r="F87" s="74"/>
      <c r="G87" s="74"/>
      <c r="H87" s="74"/>
      <c r="I87" s="74"/>
      <c r="J87" s="74"/>
    </row>
    <row r="88" spans="1:10" ht="18.75" x14ac:dyDescent="0.3">
      <c r="A88" s="74"/>
      <c r="B88" s="74"/>
      <c r="C88" s="74"/>
      <c r="D88" s="74"/>
      <c r="E88" s="74"/>
      <c r="F88" s="74"/>
      <c r="G88" s="74"/>
      <c r="H88" s="74"/>
      <c r="I88" s="74"/>
      <c r="J88" s="74"/>
    </row>
    <row r="89" spans="1:10" ht="18.75" x14ac:dyDescent="0.3">
      <c r="A89" s="74"/>
      <c r="B89" s="74"/>
      <c r="C89" s="74"/>
      <c r="D89" s="74"/>
      <c r="E89" s="74"/>
      <c r="F89" s="74"/>
      <c r="G89" s="74"/>
      <c r="H89" s="74"/>
      <c r="I89" s="74"/>
      <c r="J89" s="74"/>
    </row>
    <row r="90" spans="1:10" ht="18.75" x14ac:dyDescent="0.3">
      <c r="A90" s="74"/>
      <c r="B90" s="74"/>
      <c r="C90" s="74"/>
      <c r="D90" s="74"/>
      <c r="E90" s="74"/>
      <c r="F90" s="74"/>
      <c r="G90" s="74"/>
      <c r="H90" s="74"/>
      <c r="I90" s="74"/>
      <c r="J90" s="74"/>
    </row>
    <row r="91" spans="1:10" ht="18.75" x14ac:dyDescent="0.3">
      <c r="A91" s="74"/>
      <c r="B91" s="74"/>
      <c r="C91" s="74"/>
      <c r="D91" s="74"/>
      <c r="E91" s="74"/>
      <c r="F91" s="74"/>
      <c r="G91" s="74"/>
      <c r="H91" s="74"/>
      <c r="I91" s="74"/>
      <c r="J91" s="74"/>
    </row>
    <row r="92" spans="1:10" ht="18.75" x14ac:dyDescent="0.3">
      <c r="A92" s="74"/>
      <c r="B92" s="74"/>
      <c r="C92" s="74"/>
      <c r="D92" s="74"/>
      <c r="E92" s="74"/>
      <c r="F92" s="74"/>
      <c r="G92" s="74"/>
      <c r="H92" s="74"/>
      <c r="I92" s="74"/>
      <c r="J92" s="74"/>
    </row>
  </sheetData>
  <mergeCells count="4">
    <mergeCell ref="B4:D4"/>
    <mergeCell ref="F4:H4"/>
    <mergeCell ref="B5:D5"/>
    <mergeCell ref="F5:H5"/>
  </mergeCells>
  <hyperlinks>
    <hyperlink ref="B1" location="Innhold!A1" display="Tilbake" xr:uid="{00000000-0004-0000-0500-000000000000}"/>
  </hyperlinks>
  <pageMargins left="0.70866141732283472" right="0.70866141732283472" top="0.74803149606299213" bottom="0.74803149606299213" header="0.31496062992125984" footer="0.31496062992125984"/>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6"/>
  <dimension ref="A1:M304"/>
  <sheetViews>
    <sheetView showGridLines="0" showZeros="0" zoomScaleNormal="100" zoomScaleSheetLayoutView="80" workbookViewId="0">
      <pane xSplit="1" ySplit="1" topLeftCell="B2" activePane="bottomRight" state="frozen"/>
      <selection activeCell="L39" sqref="L39"/>
      <selection pane="topRight" activeCell="L39" sqref="L39"/>
      <selection pane="bottomLeft" activeCell="L39" sqref="L39"/>
      <selection pane="bottomRight"/>
    </sheetView>
  </sheetViews>
  <sheetFormatPr baseColWidth="10" defaultColWidth="11.42578125" defaultRowHeight="12.75" x14ac:dyDescent="0.2"/>
  <cols>
    <col min="1" max="1" width="57.28515625" style="1" customWidth="1"/>
    <col min="2" max="3" width="10.7109375" style="1" customWidth="1"/>
    <col min="4" max="4" width="8.7109375" style="1" customWidth="1"/>
    <col min="5" max="6" width="10.7109375" style="1" customWidth="1"/>
    <col min="7" max="7" width="8.7109375" style="1" customWidth="1"/>
    <col min="8" max="9" width="10.7109375" style="1" customWidth="1"/>
    <col min="10" max="10" width="8.7109375" style="1" customWidth="1"/>
    <col min="11" max="16384" width="11.42578125" style="1"/>
  </cols>
  <sheetData>
    <row r="1" spans="1:10" ht="15.75" customHeight="1" x14ac:dyDescent="0.2">
      <c r="A1" s="327">
        <v>4</v>
      </c>
      <c r="B1" s="4"/>
      <c r="C1" s="4"/>
      <c r="D1" s="4"/>
      <c r="E1" s="4"/>
      <c r="F1" s="4"/>
      <c r="G1" s="4"/>
      <c r="H1" s="4"/>
      <c r="I1" s="4"/>
      <c r="J1" s="4"/>
    </row>
    <row r="2" spans="1:10" ht="15.75" customHeight="1" x14ac:dyDescent="0.25">
      <c r="A2" s="165" t="s">
        <v>28</v>
      </c>
      <c r="B2" s="689"/>
      <c r="C2" s="689"/>
      <c r="D2" s="689"/>
      <c r="E2" s="689"/>
      <c r="F2" s="689"/>
      <c r="G2" s="689"/>
      <c r="H2" s="689"/>
      <c r="I2" s="689"/>
      <c r="J2" s="689"/>
    </row>
    <row r="3" spans="1:10" ht="15.75" customHeight="1" x14ac:dyDescent="0.25">
      <c r="A3" s="163"/>
      <c r="B3" s="273"/>
      <c r="C3" s="273"/>
      <c r="D3" s="273"/>
      <c r="E3" s="273"/>
      <c r="F3" s="273"/>
      <c r="G3" s="273"/>
      <c r="H3" s="273"/>
      <c r="I3" s="273"/>
      <c r="J3" s="273"/>
    </row>
    <row r="4" spans="1:10" ht="15.75" customHeight="1" x14ac:dyDescent="0.2">
      <c r="A4" s="144"/>
      <c r="B4" s="690" t="s">
        <v>0</v>
      </c>
      <c r="C4" s="691"/>
      <c r="D4" s="691"/>
      <c r="E4" s="690" t="s">
        <v>1</v>
      </c>
      <c r="F4" s="691"/>
      <c r="G4" s="691"/>
      <c r="H4" s="690" t="s">
        <v>2</v>
      </c>
      <c r="I4" s="691"/>
      <c r="J4" s="692"/>
    </row>
    <row r="5" spans="1:10" ht="15.75" customHeight="1" x14ac:dyDescent="0.2">
      <c r="A5" s="158"/>
      <c r="B5" s="20" t="s">
        <v>412</v>
      </c>
      <c r="C5" s="20" t="s">
        <v>413</v>
      </c>
      <c r="D5" s="226" t="s">
        <v>3</v>
      </c>
      <c r="E5" s="20" t="s">
        <v>412</v>
      </c>
      <c r="F5" s="20" t="s">
        <v>413</v>
      </c>
      <c r="G5" s="226" t="s">
        <v>3</v>
      </c>
      <c r="H5" s="20" t="s">
        <v>412</v>
      </c>
      <c r="I5" s="20" t="s">
        <v>413</v>
      </c>
      <c r="J5" s="226" t="s">
        <v>3</v>
      </c>
    </row>
    <row r="6" spans="1:10" ht="15.75" customHeight="1" x14ac:dyDescent="0.2">
      <c r="A6" s="661"/>
      <c r="B6" s="15"/>
      <c r="C6" s="15"/>
      <c r="D6" s="17" t="s">
        <v>4</v>
      </c>
      <c r="E6" s="16"/>
      <c r="F6" s="16"/>
      <c r="G6" s="15" t="s">
        <v>4</v>
      </c>
      <c r="H6" s="16"/>
      <c r="I6" s="16"/>
      <c r="J6" s="15" t="s">
        <v>4</v>
      </c>
    </row>
    <row r="7" spans="1:10" s="43" customFormat="1" ht="15.75" customHeight="1" x14ac:dyDescent="0.2">
      <c r="A7" s="14" t="s">
        <v>23</v>
      </c>
      <c r="B7" s="213">
        <f>'Fremtind Livsforsikring'!B7+'Danica Pensjonsforsikring'!B7+'DNB Livsforsikring'!B7+'Eika Forsikring AS'!B7+'Frende Livsforsikring'!B7+'Frende Skadeforsikring'!B7+'Gjensidige Forsikring'!B7+'Gjensidige Pensjon'!B7+'Handelsbanken Liv'!B7+'If Skadeforsikring NUF'!B7+KLP!B7+'DNB Bedriftspensjon'!B7+'KLP Skadeforsikring AS'!B7+'Landkreditt Forsikring'!B7+Insr!B7+'Nordea Liv '!B7+'Oslo Pensjonsforsikring'!B7+'Protector Forsikring'!B7+'SHB Liv'!B7+'Sparebank 1'!B7+'Storebrand Livsforsikring'!B7+'Telenor Forsikring'!B7+'Tryg Forsikring'!B7+'WaterCircle F'!B7+'Codan Forsikring'!B7+'Euro Accident'!B7</f>
        <v>1554893.9184598648</v>
      </c>
      <c r="C7" s="213">
        <f>'Fremtind Livsforsikring'!C7+'Danica Pensjonsforsikring'!C7+'DNB Livsforsikring'!C7+'Eika Forsikring AS'!C7+'Frende Livsforsikring'!C7+'Frende Skadeforsikring'!C7+'Gjensidige Forsikring'!C7+'Gjensidige Pensjon'!C7+'Handelsbanken Liv'!C7+'If Skadeforsikring NUF'!C7+KLP!C7+'DNB Bedriftspensjon'!C7+'KLP Skadeforsikring AS'!C7+'Landkreditt Forsikring'!C7+Insr!C7+'Nordea Liv '!C7+'Oslo Pensjonsforsikring'!C7+'Protector Forsikring'!C7+'SHB Liv'!C7+'Sparebank 1'!C7+'Storebrand Livsforsikring'!C7+'Telenor Forsikring'!C7+'Tryg Forsikring'!C7+'WaterCircle F'!C7+'Codan Forsikring'!C7+'Euro Accident'!C7</f>
        <v>1685097.9866931401</v>
      </c>
      <c r="D7" s="160">
        <f t="shared" ref="D7:D12" si="0">IF(B7=0, "    ---- ", IF(ABS(ROUND(100/B7*C7-100,1))&lt;999,ROUND(100/B7*C7-100,1),IF(ROUND(100/B7*C7-100,1)&gt;999,999,-999)))</f>
        <v>8.4</v>
      </c>
      <c r="E7" s="213">
        <f>'Fremtind Livsforsikring'!F7+'Danica Pensjonsforsikring'!F7+'DNB Livsforsikring'!F7+'Eika Forsikring AS'!F7+'Frende Livsforsikring'!F7+'Frende Skadeforsikring'!F7+'Gjensidige Forsikring'!F7+'Gjensidige Pensjon'!F7+'Handelsbanken Liv'!F7+'If Skadeforsikring NUF'!F7+KLP!F7+'DNB Bedriftspensjon'!F7+'KLP Skadeforsikring AS'!F7+'Landkreditt Forsikring'!F7+Insr!F7+'Nordea Liv '!F7+'Oslo Pensjonsforsikring'!F7+'Protector Forsikring'!F7+'SHB Liv'!F7+'Sparebank 1'!F7+'Storebrand Livsforsikring'!F7+'Telenor Forsikring'!F7+'Tryg Forsikring'!F7+'WaterCircle F'!F7+'Codan Forsikring'!F7+'Euro Accident'!F7</f>
        <v>2532534.1483199997</v>
      </c>
      <c r="F7" s="213">
        <f>'Fremtind Livsforsikring'!G7+'Danica Pensjonsforsikring'!G7+'DNB Livsforsikring'!G7+'Eika Forsikring AS'!G7+'Frende Livsforsikring'!G7+'Frende Skadeforsikring'!G7+'Gjensidige Forsikring'!G7+'Gjensidige Pensjon'!G7+'Handelsbanken Liv'!G7+'If Skadeforsikring NUF'!G7+KLP!G7+'DNB Bedriftspensjon'!G7+'KLP Skadeforsikring AS'!G7+'Landkreditt Forsikring'!G7+Insr!G7+'Nordea Liv '!G7+'Oslo Pensjonsforsikring'!G7+'Protector Forsikring'!G7+'SHB Liv'!G7+'Sparebank 1'!G7+'Storebrand Livsforsikring'!G7+'Telenor Forsikring'!G7+'Tryg Forsikring'!G7+'WaterCircle F'!G7+'Codan Forsikring'!G7+'Euro Accident'!G7</f>
        <v>3902556.8295499999</v>
      </c>
      <c r="G7" s="160">
        <f t="shared" ref="G7:G12" si="1">IF(E7=0, "    ---- ", IF(ABS(ROUND(100/E7*F7-100,1))&lt;999,ROUND(100/E7*F7-100,1),IF(ROUND(100/E7*F7-100,1)&gt;999,999,-999)))</f>
        <v>54.1</v>
      </c>
      <c r="H7" s="254">
        <f t="shared" ref="H7:H12" si="2">B7+E7</f>
        <v>4087428.0667798645</v>
      </c>
      <c r="I7" s="255">
        <f t="shared" ref="I7:I12" si="3">C7+F7</f>
        <v>5587654.81624314</v>
      </c>
      <c r="J7" s="171">
        <f t="shared" ref="J7:J12" si="4">IF(H7=0, "    ---- ", IF(ABS(ROUND(100/H7*I7-100,1))&lt;999,ROUND(100/H7*I7-100,1),IF(ROUND(100/H7*I7-100,1)&gt;999,999,-999)))</f>
        <v>36.700000000000003</v>
      </c>
    </row>
    <row r="8" spans="1:10" ht="15.75" customHeight="1" x14ac:dyDescent="0.2">
      <c r="A8" s="21" t="s">
        <v>25</v>
      </c>
      <c r="B8" s="44">
        <f>'Fremtind Livsforsikring'!B8+'Danica Pensjonsforsikring'!B8+'DNB Livsforsikring'!B8+'Eika Forsikring AS'!B8+'Frende Livsforsikring'!B8+'Frende Skadeforsikring'!B8+'Gjensidige Forsikring'!B8+'Gjensidige Pensjon'!B8+'Handelsbanken Liv'!B8+'If Skadeforsikring NUF'!B8+KLP!B8+'DNB Bedriftspensjon'!B8+'KLP Skadeforsikring AS'!B8+'Landkreditt Forsikring'!B8+Insr!B8+'Nordea Liv '!B8+'Oslo Pensjonsforsikring'!B8+'Protector Forsikring'!B8+'SHB Liv'!B8+'Sparebank 1'!B8+'Storebrand Livsforsikring'!B8+'Telenor Forsikring'!B8+'Tryg Forsikring'!B8+'WaterCircle F'!B8+'Codan Forsikring'!B8+'Euro Accident'!B8</f>
        <v>1035213.3635032017</v>
      </c>
      <c r="C8" s="44">
        <f>'Fremtind Livsforsikring'!C8+'Danica Pensjonsforsikring'!C8+'DNB Livsforsikring'!C8+'Eika Forsikring AS'!C8+'Frende Livsforsikring'!C8+'Frende Skadeforsikring'!C8+'Gjensidige Forsikring'!C8+'Gjensidige Pensjon'!C8+'Handelsbanken Liv'!C8+'If Skadeforsikring NUF'!C8+KLP!C8+'DNB Bedriftspensjon'!C8+'KLP Skadeforsikring AS'!C8+'Landkreditt Forsikring'!C8+Insr!C8+'Nordea Liv '!C8+'Oslo Pensjonsforsikring'!C8+'Protector Forsikring'!C8+'SHB Liv'!C8+'Sparebank 1'!C8+'Storebrand Livsforsikring'!C8+'Telenor Forsikring'!C8+'Tryg Forsikring'!C8+'WaterCircle F'!C8+'Codan Forsikring'!C8+'Euro Accident'!C8</f>
        <v>1140243.3580904794</v>
      </c>
      <c r="D8" s="166">
        <f t="shared" si="0"/>
        <v>10.1</v>
      </c>
      <c r="E8" s="213">
        <f>'Fremtind Livsforsikring'!F8+'Danica Pensjonsforsikring'!F8+'DNB Livsforsikring'!F8+'Eika Forsikring AS'!F8+'Frende Livsforsikring'!F8+'Frende Skadeforsikring'!F8+'Gjensidige Forsikring'!F8+'Gjensidige Pensjon'!F8+'Handelsbanken Liv'!F8+'If Skadeforsikring NUF'!F8+KLP!F8+'DNB Bedriftspensjon'!F8+'KLP Skadeforsikring AS'!F8+'Landkreditt Forsikring'!F8+Insr!F8+'Nordea Liv '!F8+'Oslo Pensjonsforsikring'!F8+'Protector Forsikring'!F8+'SHB Liv'!F8+'Sparebank 1'!F8+'Storebrand Livsforsikring'!F8+'Telenor Forsikring'!F8+'Tryg Forsikring'!F8+'WaterCircle F'!F8+'Codan Forsikring'!F8+'Euro Accident'!F8</f>
        <v>0</v>
      </c>
      <c r="F8" s="213">
        <f>'Fremtind Livsforsikring'!G8+'Danica Pensjonsforsikring'!G8+'DNB Livsforsikring'!G8+'Eika Forsikring AS'!G8+'Frende Livsforsikring'!G8+'Frende Skadeforsikring'!G8+'Gjensidige Forsikring'!G8+'Gjensidige Pensjon'!G8+'Handelsbanken Liv'!G8+'If Skadeforsikring NUF'!G8+KLP!G8+'DNB Bedriftspensjon'!G8+'KLP Skadeforsikring AS'!G8+'Landkreditt Forsikring'!G8+Insr!G8+'Nordea Liv '!G8+'Oslo Pensjonsforsikring'!G8+'Protector Forsikring'!G8+'SHB Liv'!G8+'Sparebank 1'!G8+'Storebrand Livsforsikring'!G8+'Telenor Forsikring'!G8+'Tryg Forsikring'!G8+'WaterCircle F'!G8+'Codan Forsikring'!G8+'Euro Accident'!G8</f>
        <v>0</v>
      </c>
      <c r="G8" s="175"/>
      <c r="H8" s="186">
        <f t="shared" si="2"/>
        <v>1035213.3635032017</v>
      </c>
      <c r="I8" s="187">
        <f t="shared" si="3"/>
        <v>1140243.3580904794</v>
      </c>
      <c r="J8" s="166">
        <f t="shared" si="4"/>
        <v>10.1</v>
      </c>
    </row>
    <row r="9" spans="1:10" ht="15.75" customHeight="1" x14ac:dyDescent="0.2">
      <c r="A9" s="21" t="s">
        <v>24</v>
      </c>
      <c r="B9" s="44">
        <f>'Fremtind Livsforsikring'!B9+'Danica Pensjonsforsikring'!B9+'DNB Livsforsikring'!B9+'Eika Forsikring AS'!B9+'Frende Livsforsikring'!B9+'Frende Skadeforsikring'!B9+'Gjensidige Forsikring'!B9+'Gjensidige Pensjon'!B9+'Handelsbanken Liv'!B9+'If Skadeforsikring NUF'!B9+KLP!B9+'DNB Bedriftspensjon'!B9+'KLP Skadeforsikring AS'!B9+'Landkreditt Forsikring'!B9+Insr!B9+'Nordea Liv '!B9+'Oslo Pensjonsforsikring'!B9+'Protector Forsikring'!B9+'SHB Liv'!B9+'Sparebank 1'!B9+'Storebrand Livsforsikring'!B9+'Telenor Forsikring'!B9+'Tryg Forsikring'!B9+'WaterCircle F'!B9+'Codan Forsikring'!B9+'Euro Accident'!B9</f>
        <v>335812.96494063927</v>
      </c>
      <c r="C9" s="44">
        <f>'Fremtind Livsforsikring'!C9+'Danica Pensjonsforsikring'!C9+'DNB Livsforsikring'!C9+'Eika Forsikring AS'!C9+'Frende Livsforsikring'!C9+'Frende Skadeforsikring'!C9+'Gjensidige Forsikring'!C9+'Gjensidige Pensjon'!C9+'Handelsbanken Liv'!C9+'If Skadeforsikring NUF'!C9+KLP!C9+'DNB Bedriftspensjon'!C9+'KLP Skadeforsikring AS'!C9+'Landkreditt Forsikring'!C9+Insr!C9+'Nordea Liv '!C9+'Oslo Pensjonsforsikring'!C9+'Protector Forsikring'!C9+'SHB Liv'!C9+'Sparebank 1'!C9+'Storebrand Livsforsikring'!C9+'Telenor Forsikring'!C9+'Tryg Forsikring'!C9+'WaterCircle F'!C9+'Codan Forsikring'!C9+'Euro Accident'!C9</f>
        <v>356666.77619966032</v>
      </c>
      <c r="D9" s="175">
        <f t="shared" si="0"/>
        <v>6.2</v>
      </c>
      <c r="E9" s="213">
        <f>'Fremtind Livsforsikring'!F9+'Danica Pensjonsforsikring'!F9+'DNB Livsforsikring'!F9+'Eika Forsikring AS'!F9+'Frende Livsforsikring'!F9+'Frende Skadeforsikring'!F9+'Gjensidige Forsikring'!F9+'Gjensidige Pensjon'!F9+'Handelsbanken Liv'!F9+'If Skadeforsikring NUF'!F9+KLP!F9+'DNB Bedriftspensjon'!F9+'KLP Skadeforsikring AS'!F9+'Landkreditt Forsikring'!F9+Insr!F9+'Nordea Liv '!F9+'Oslo Pensjonsforsikring'!F9+'Protector Forsikring'!F9+'SHB Liv'!F9+'Sparebank 1'!F9+'Storebrand Livsforsikring'!F9+'Telenor Forsikring'!F9+'Tryg Forsikring'!F9+'WaterCircle F'!F9+'Codan Forsikring'!F9+'Euro Accident'!F9</f>
        <v>0</v>
      </c>
      <c r="F9" s="213">
        <f>'Fremtind Livsforsikring'!G9+'Danica Pensjonsforsikring'!G9+'DNB Livsforsikring'!G9+'Eika Forsikring AS'!G9+'Frende Livsforsikring'!G9+'Frende Skadeforsikring'!G9+'Gjensidige Forsikring'!G9+'Gjensidige Pensjon'!G9+'Handelsbanken Liv'!G9+'If Skadeforsikring NUF'!G9+KLP!G9+'DNB Bedriftspensjon'!G9+'KLP Skadeforsikring AS'!G9+'Landkreditt Forsikring'!G9+Insr!G9+'Nordea Liv '!G9+'Oslo Pensjonsforsikring'!G9+'Protector Forsikring'!G9+'SHB Liv'!G9+'Sparebank 1'!G9+'Storebrand Livsforsikring'!G9+'Telenor Forsikring'!G9+'Tryg Forsikring'!G9+'WaterCircle F'!G9+'Codan Forsikring'!G9+'Euro Accident'!G9</f>
        <v>0</v>
      </c>
      <c r="G9" s="175"/>
      <c r="H9" s="186">
        <f t="shared" si="2"/>
        <v>335812.96494063927</v>
      </c>
      <c r="I9" s="187">
        <f t="shared" si="3"/>
        <v>356666.77619966032</v>
      </c>
      <c r="J9" s="166">
        <f t="shared" si="4"/>
        <v>6.2</v>
      </c>
    </row>
    <row r="10" spans="1:10" s="43" customFormat="1" ht="15.75" customHeight="1" x14ac:dyDescent="0.2">
      <c r="A10" s="39" t="s">
        <v>341</v>
      </c>
      <c r="B10" s="213">
        <f>'Fremtind Livsforsikring'!B10+'Danica Pensjonsforsikring'!B10+'DNB Livsforsikring'!B10+'Eika Forsikring AS'!B10+'Frende Livsforsikring'!B10+'Frende Skadeforsikring'!B10+'Gjensidige Forsikring'!B10+'Gjensidige Pensjon'!B10+'Handelsbanken Liv'!B10+'If Skadeforsikring NUF'!B10+KLP!B10+'DNB Bedriftspensjon'!B10+'KLP Skadeforsikring AS'!B10+'Landkreditt Forsikring'!B10+Insr!B10+'Nordea Liv '!B10+'Oslo Pensjonsforsikring'!B10+'Protector Forsikring'!B10+'SHB Liv'!B10+'Sparebank 1'!B10+'Storebrand Livsforsikring'!B10+'Telenor Forsikring'!B10+'Tryg Forsikring'!B10+'WaterCircle F'!B10+'Codan Forsikring'!B10+'Euro Accident'!B10</f>
        <v>18852684.110962451</v>
      </c>
      <c r="C10" s="213">
        <f>'Fremtind Livsforsikring'!C10+'Danica Pensjonsforsikring'!C10+'DNB Livsforsikring'!C10+'Eika Forsikring AS'!C10+'Frende Livsforsikring'!C10+'Frende Skadeforsikring'!C10+'Gjensidige Forsikring'!C10+'Gjensidige Pensjon'!C10+'Handelsbanken Liv'!C10+'If Skadeforsikring NUF'!C10+KLP!C10+'DNB Bedriftspensjon'!C10+'KLP Skadeforsikring AS'!C10+'Landkreditt Forsikring'!C10+Insr!C10+'Nordea Liv '!C10+'Oslo Pensjonsforsikring'!C10+'Protector Forsikring'!C10+'SHB Liv'!C10+'Sparebank 1'!C10+'Storebrand Livsforsikring'!C10+'Telenor Forsikring'!C10+'Tryg Forsikring'!C10+'WaterCircle F'!C10+'Codan Forsikring'!C10+'Euro Accident'!C10</f>
        <v>17645344.147628192</v>
      </c>
      <c r="D10" s="160">
        <f t="shared" si="0"/>
        <v>-6.4</v>
      </c>
      <c r="E10" s="213">
        <f>'Fremtind Livsforsikring'!F10+'Danica Pensjonsforsikring'!F10+'DNB Livsforsikring'!F10+'Eika Forsikring AS'!F10+'Frende Livsforsikring'!F10+'Frende Skadeforsikring'!F10+'Gjensidige Forsikring'!F10+'Gjensidige Pensjon'!F10+'Handelsbanken Liv'!F10+'If Skadeforsikring NUF'!F10+KLP!F10+'DNB Bedriftspensjon'!F10+'KLP Skadeforsikring AS'!F10+'Landkreditt Forsikring'!F10+Insr!F10+'Nordea Liv '!F10+'Oslo Pensjonsforsikring'!F10+'Protector Forsikring'!F10+'SHB Liv'!F10+'Sparebank 1'!F10+'Storebrand Livsforsikring'!F10+'Telenor Forsikring'!F10+'Tryg Forsikring'!F10+'WaterCircle F'!F10+'Codan Forsikring'!F10+'Euro Accident'!F10</f>
        <v>46610028.193619996</v>
      </c>
      <c r="F10" s="213">
        <f>'Fremtind Livsforsikring'!G10+'Danica Pensjonsforsikring'!G10+'DNB Livsforsikring'!G10+'Eika Forsikring AS'!G10+'Frende Livsforsikring'!G10+'Frende Skadeforsikring'!G10+'Gjensidige Forsikring'!G10+'Gjensidige Pensjon'!G10+'Handelsbanken Liv'!G10+'If Skadeforsikring NUF'!G10+KLP!G10+'DNB Bedriftspensjon'!G10+'KLP Skadeforsikring AS'!G10+'Landkreditt Forsikring'!G10+Insr!G10+'Nordea Liv '!G10+'Oslo Pensjonsforsikring'!G10+'Protector Forsikring'!G10+'SHB Liv'!G10+'Sparebank 1'!G10+'Storebrand Livsforsikring'!G10+'Telenor Forsikring'!G10+'Tryg Forsikring'!G10+'WaterCircle F'!G10+'Codan Forsikring'!G10+'Euro Accident'!G10</f>
        <v>65234172.387540609</v>
      </c>
      <c r="G10" s="160">
        <f t="shared" si="1"/>
        <v>40</v>
      </c>
      <c r="H10" s="254">
        <f t="shared" si="2"/>
        <v>65462712.304582447</v>
      </c>
      <c r="I10" s="255">
        <f t="shared" si="3"/>
        <v>82879516.535168797</v>
      </c>
      <c r="J10" s="171">
        <f t="shared" si="4"/>
        <v>26.6</v>
      </c>
    </row>
    <row r="11" spans="1:10" s="43" customFormat="1" ht="15.75" customHeight="1" x14ac:dyDescent="0.2">
      <c r="A11" s="39" t="s">
        <v>342</v>
      </c>
      <c r="B11" s="213">
        <f>'Fremtind Livsforsikring'!B11+'Danica Pensjonsforsikring'!B11+'DNB Livsforsikring'!B11+'Eika Forsikring AS'!B11+'Frende Livsforsikring'!B11+'Frende Skadeforsikring'!B11+'Gjensidige Forsikring'!B11+'Gjensidige Pensjon'!B11+'Handelsbanken Liv'!B11+'If Skadeforsikring NUF'!B11+KLP!B11+'DNB Bedriftspensjon'!B11+'KLP Skadeforsikring AS'!B11+'Landkreditt Forsikring'!B11+Insr!B11+'Nordea Liv '!B11+'Oslo Pensjonsforsikring'!B11+'Protector Forsikring'!B11+'SHB Liv'!B11+'Sparebank 1'!B11+'Storebrand Livsforsikring'!B11+'Telenor Forsikring'!B11+'Tryg Forsikring'!B11+'WaterCircle F'!B11+'Codan Forsikring'!B11+'Euro Accident'!B11</f>
        <v>12545</v>
      </c>
      <c r="C11" s="213">
        <f>'Fremtind Livsforsikring'!C11+'Danica Pensjonsforsikring'!C11+'DNB Livsforsikring'!C11+'Eika Forsikring AS'!C11+'Frende Livsforsikring'!C11+'Frende Skadeforsikring'!C11+'Gjensidige Forsikring'!C11+'Gjensidige Pensjon'!C11+'Handelsbanken Liv'!C11+'If Skadeforsikring NUF'!C11+KLP!C11+'DNB Bedriftspensjon'!C11+'KLP Skadeforsikring AS'!C11+'Landkreditt Forsikring'!C11+Insr!C11+'Nordea Liv '!C11+'Oslo Pensjonsforsikring'!C11+'Protector Forsikring'!C11+'SHB Liv'!C11+'Sparebank 1'!C11+'Storebrand Livsforsikring'!C11+'Telenor Forsikring'!C11+'Tryg Forsikring'!C11+'WaterCircle F'!C11+'Codan Forsikring'!C11+'Euro Accident'!C11</f>
        <v>8831</v>
      </c>
      <c r="D11" s="171">
        <f t="shared" si="0"/>
        <v>-29.6</v>
      </c>
      <c r="E11" s="213">
        <f>'Fremtind Livsforsikring'!F11+'Danica Pensjonsforsikring'!F11+'DNB Livsforsikring'!F11+'Eika Forsikring AS'!F11+'Frende Livsforsikring'!F11+'Frende Skadeforsikring'!F11+'Gjensidige Forsikring'!F11+'Gjensidige Pensjon'!F11+'Handelsbanken Liv'!F11+'If Skadeforsikring NUF'!F11+KLP!F11+'DNB Bedriftspensjon'!F11+'KLP Skadeforsikring AS'!F11+'Landkreditt Forsikring'!F11+Insr!F11+'Nordea Liv '!F11+'Oslo Pensjonsforsikring'!F11+'Protector Forsikring'!F11+'SHB Liv'!F11+'Sparebank 1'!F11+'Storebrand Livsforsikring'!F11+'Telenor Forsikring'!F11+'Tryg Forsikring'!F11+'WaterCircle F'!F11+'Codan Forsikring'!F11+'Euro Accident'!F11</f>
        <v>127141.19075000001</v>
      </c>
      <c r="F11" s="213">
        <f>'Fremtind Livsforsikring'!G11+'Danica Pensjonsforsikring'!G11+'DNB Livsforsikring'!G11+'Eika Forsikring AS'!G11+'Frende Livsforsikring'!G11+'Frende Skadeforsikring'!G11+'Gjensidige Forsikring'!G11+'Gjensidige Pensjon'!G11+'Handelsbanken Liv'!G11+'If Skadeforsikring NUF'!G11+KLP!G11+'DNB Bedriftspensjon'!G11+'KLP Skadeforsikring AS'!G11+'Landkreditt Forsikring'!G11+Insr!G11+'Nordea Liv '!G11+'Oslo Pensjonsforsikring'!G11+'Protector Forsikring'!G11+'SHB Liv'!G11+'Sparebank 1'!G11+'Storebrand Livsforsikring'!G11+'Telenor Forsikring'!G11+'Tryg Forsikring'!G11+'WaterCircle F'!G11+'Codan Forsikring'!G11+'Euro Accident'!G11</f>
        <v>107247.28422</v>
      </c>
      <c r="G11" s="171">
        <f t="shared" si="1"/>
        <v>-15.6</v>
      </c>
      <c r="H11" s="254">
        <f t="shared" si="2"/>
        <v>139686.19075000001</v>
      </c>
      <c r="I11" s="255">
        <f t="shared" si="3"/>
        <v>116078.28422</v>
      </c>
      <c r="J11" s="171">
        <f t="shared" si="4"/>
        <v>-16.899999999999999</v>
      </c>
    </row>
    <row r="12" spans="1:10" s="43" customFormat="1" ht="15.75" customHeight="1" x14ac:dyDescent="0.2">
      <c r="A12" s="546" t="s">
        <v>343</v>
      </c>
      <c r="B12" s="253">
        <f>'Fremtind Livsforsikring'!B12+'Danica Pensjonsforsikring'!B12+'DNB Livsforsikring'!B12+'Eika Forsikring AS'!B12+'Frende Livsforsikring'!B12+'Frende Skadeforsikring'!B12+'Gjensidige Forsikring'!B12+'Gjensidige Pensjon'!B12+'Handelsbanken Liv'!B12+'If Skadeforsikring NUF'!B12+KLP!B12+'DNB Bedriftspensjon'!B12+'KLP Skadeforsikring AS'!B12+'Landkreditt Forsikring'!B12+Insr!B12+'Nordea Liv '!B12+'Oslo Pensjonsforsikring'!B12+'Protector Forsikring'!B12+'SHB Liv'!B12+'Sparebank 1'!B12+'Storebrand Livsforsikring'!B12+'Telenor Forsikring'!B12+'Tryg Forsikring'!B12+'WaterCircle F'!B12+'Codan Forsikring'!B12+'Euro Accident'!B12</f>
        <v>1342</v>
      </c>
      <c r="C12" s="253">
        <f>'Fremtind Livsforsikring'!C12+'Danica Pensjonsforsikring'!C12+'DNB Livsforsikring'!C12+'Eika Forsikring AS'!C12+'Frende Livsforsikring'!C12+'Frende Skadeforsikring'!C12+'Gjensidige Forsikring'!C12+'Gjensidige Pensjon'!C12+'Handelsbanken Liv'!C12+'If Skadeforsikring NUF'!C12+KLP!C12+'DNB Bedriftspensjon'!C12+'KLP Skadeforsikring AS'!C12+'Landkreditt Forsikring'!C12+Insr!C12+'Nordea Liv '!C12+'Oslo Pensjonsforsikring'!C12+'Protector Forsikring'!C12+'SHB Liv'!C12+'Sparebank 1'!C12+'Storebrand Livsforsikring'!C12+'Telenor Forsikring'!C12+'Tryg Forsikring'!C12+'WaterCircle F'!C12+'Codan Forsikring'!C12+'Euro Accident'!C12</f>
        <v>3501</v>
      </c>
      <c r="D12" s="170">
        <f t="shared" si="0"/>
        <v>160.9</v>
      </c>
      <c r="E12" s="253">
        <f>'Fremtind Livsforsikring'!F12+'Danica Pensjonsforsikring'!F12+'DNB Livsforsikring'!F12+'Eika Forsikring AS'!F12+'Frende Livsforsikring'!F12+'Frende Skadeforsikring'!F12+'Gjensidige Forsikring'!F12+'Gjensidige Pensjon'!F12+'Handelsbanken Liv'!F12+'If Skadeforsikring NUF'!F12+KLP!F12+'DNB Bedriftspensjon'!F12+'KLP Skadeforsikring AS'!F12+'Landkreditt Forsikring'!F12+Insr!F12+'Nordea Liv '!F12+'Oslo Pensjonsforsikring'!F12+'Protector Forsikring'!F12+'SHB Liv'!F12+'Sparebank 1'!F12+'Storebrand Livsforsikring'!F12+'Telenor Forsikring'!F12+'Tryg Forsikring'!F12+'WaterCircle F'!F12+'Codan Forsikring'!F12+'Euro Accident'!F12</f>
        <v>100966.73105999999</v>
      </c>
      <c r="F12" s="253">
        <f>'Fremtind Livsforsikring'!G12+'Danica Pensjonsforsikring'!G12+'DNB Livsforsikring'!G12+'Eika Forsikring AS'!G12+'Frende Livsforsikring'!G12+'Frende Skadeforsikring'!G12+'Gjensidige Forsikring'!G12+'Gjensidige Pensjon'!G12+'Handelsbanken Liv'!G12+'If Skadeforsikring NUF'!G12+KLP!G12+'DNB Bedriftspensjon'!G12+'KLP Skadeforsikring AS'!G12+'Landkreditt Forsikring'!G12+Insr!G12+'Nordea Liv '!G12+'Oslo Pensjonsforsikring'!G12+'Protector Forsikring'!G12+'SHB Liv'!G12+'Sparebank 1'!G12+'Storebrand Livsforsikring'!G12+'Telenor Forsikring'!G12+'Tryg Forsikring'!G12+'WaterCircle F'!G12+'Codan Forsikring'!G12+'Euro Accident'!G12</f>
        <v>48180.42136</v>
      </c>
      <c r="G12" s="169">
        <f t="shared" si="1"/>
        <v>-52.3</v>
      </c>
      <c r="H12" s="256">
        <f t="shared" si="2"/>
        <v>102308.73105999999</v>
      </c>
      <c r="I12" s="257">
        <f t="shared" si="3"/>
        <v>51681.42136</v>
      </c>
      <c r="J12" s="169">
        <f t="shared" si="4"/>
        <v>-49.5</v>
      </c>
    </row>
    <row r="13" spans="1:10" s="43" customFormat="1" ht="15.75" customHeight="1" x14ac:dyDescent="0.2">
      <c r="A13" s="168"/>
      <c r="B13" s="35"/>
      <c r="C13" s="5"/>
      <c r="D13" s="32"/>
      <c r="E13" s="35"/>
      <c r="F13" s="5"/>
      <c r="G13" s="32"/>
      <c r="H13" s="48"/>
      <c r="I13" s="48"/>
      <c r="J13" s="32"/>
    </row>
    <row r="14" spans="1:10" ht="15.75" customHeight="1" x14ac:dyDescent="0.2">
      <c r="A14" s="153" t="s">
        <v>251</v>
      </c>
    </row>
    <row r="15" spans="1:10" ht="15.75" customHeight="1" x14ac:dyDescent="0.2">
      <c r="A15" s="149"/>
      <c r="E15" s="7"/>
      <c r="F15" s="7"/>
      <c r="G15" s="7"/>
      <c r="H15" s="7"/>
      <c r="I15" s="7"/>
      <c r="J15" s="7"/>
    </row>
    <row r="16" spans="1:10" s="3" customFormat="1" ht="15.75" customHeight="1" x14ac:dyDescent="0.25">
      <c r="A16" s="164"/>
      <c r="C16" s="30"/>
      <c r="D16" s="30"/>
      <c r="E16" s="30"/>
      <c r="F16" s="30"/>
      <c r="G16" s="30"/>
      <c r="H16" s="30"/>
      <c r="I16" s="30"/>
      <c r="J16" s="30"/>
    </row>
    <row r="17" spans="1:11" ht="15.75" customHeight="1" x14ac:dyDescent="0.25">
      <c r="A17" s="147" t="s">
        <v>248</v>
      </c>
      <c r="B17" s="28"/>
      <c r="C17" s="28"/>
      <c r="D17" s="29"/>
      <c r="E17" s="28"/>
      <c r="F17" s="28"/>
      <c r="G17" s="28"/>
      <c r="H17" s="28"/>
      <c r="I17" s="28"/>
      <c r="J17" s="28"/>
    </row>
    <row r="18" spans="1:11" ht="15.75" customHeight="1" x14ac:dyDescent="0.25">
      <c r="A18" s="149"/>
      <c r="B18" s="689"/>
      <c r="C18" s="689"/>
      <c r="D18" s="689"/>
      <c r="E18" s="689"/>
      <c r="F18" s="689"/>
      <c r="G18" s="689"/>
      <c r="H18" s="689"/>
      <c r="I18" s="689"/>
      <c r="J18" s="689"/>
    </row>
    <row r="19" spans="1:11" ht="15.75" customHeight="1" x14ac:dyDescent="0.2">
      <c r="A19" s="144"/>
      <c r="B19" s="690" t="s">
        <v>0</v>
      </c>
      <c r="C19" s="691"/>
      <c r="D19" s="691"/>
      <c r="E19" s="690" t="s">
        <v>1</v>
      </c>
      <c r="F19" s="691"/>
      <c r="G19" s="692"/>
      <c r="H19" s="691" t="s">
        <v>2</v>
      </c>
      <c r="I19" s="691"/>
      <c r="J19" s="692"/>
    </row>
    <row r="20" spans="1:11" ht="15.75" customHeight="1" x14ac:dyDescent="0.2">
      <c r="A20" s="140" t="s">
        <v>5</v>
      </c>
      <c r="B20" s="20" t="s">
        <v>412</v>
      </c>
      <c r="C20" s="20" t="s">
        <v>413</v>
      </c>
      <c r="D20" s="226" t="s">
        <v>3</v>
      </c>
      <c r="E20" s="20" t="s">
        <v>412</v>
      </c>
      <c r="F20" s="20" t="s">
        <v>413</v>
      </c>
      <c r="G20" s="226" t="s">
        <v>3</v>
      </c>
      <c r="H20" s="20" t="s">
        <v>412</v>
      </c>
      <c r="I20" s="20" t="s">
        <v>413</v>
      </c>
      <c r="J20" s="226" t="s">
        <v>3</v>
      </c>
    </row>
    <row r="21" spans="1:11" ht="15.75" customHeight="1" x14ac:dyDescent="0.2">
      <c r="A21" s="662"/>
      <c r="B21" s="15"/>
      <c r="C21" s="15"/>
      <c r="D21" s="17" t="s">
        <v>4</v>
      </c>
      <c r="E21" s="16"/>
      <c r="F21" s="16"/>
      <c r="G21" s="15" t="s">
        <v>4</v>
      </c>
      <c r="H21" s="16"/>
      <c r="I21" s="16"/>
      <c r="J21" s="15" t="s">
        <v>4</v>
      </c>
    </row>
    <row r="22" spans="1:11" s="43" customFormat="1" ht="15.75" customHeight="1" x14ac:dyDescent="0.2">
      <c r="A22" s="14" t="s">
        <v>23</v>
      </c>
      <c r="B22" s="213">
        <f>'Fremtind Livsforsikring'!B22+'Danica Pensjonsforsikring'!B22+'DNB Livsforsikring'!B22+'Eika Forsikring AS'!B22+'Frende Livsforsikring'!B22+'Frende Skadeforsikring'!B22+'Gjensidige Forsikring'!B22+'Gjensidige Pensjon'!B22+'Handelsbanken Liv'!B22+'If Skadeforsikring NUF'!B22+KLP!B22+'DNB Bedriftspensjon'!B22+'KLP Skadeforsikring AS'!B22+'Landkreditt Forsikring'!B22+Insr!B22+'Nordea Liv '!B22+'Oslo Pensjonsforsikring'!B22+'Protector Forsikring'!B22+'SHB Liv'!B22+'Sparebank 1'!B22+'Storebrand Livsforsikring'!B22+'Telenor Forsikring'!B22+'Tryg Forsikring'!B22+'WaterCircle F'!B22+'Codan Forsikring'!B22+'Euro Accident'!B22</f>
        <v>694478.98208007566</v>
      </c>
      <c r="C22" s="213">
        <f>'Fremtind Livsforsikring'!C22+'Danica Pensjonsforsikring'!C22+'DNB Livsforsikring'!C22+'Eika Forsikring AS'!C22+'Frende Livsforsikring'!C22+'Frende Skadeforsikring'!C22+'Gjensidige Forsikring'!C22+'Gjensidige Pensjon'!C22+'Handelsbanken Liv'!C22+'If Skadeforsikring NUF'!C22+KLP!C22+'DNB Bedriftspensjon'!C22+'KLP Skadeforsikring AS'!C22+'Landkreditt Forsikring'!C22+Insr!C22+'Nordea Liv '!C22+'Oslo Pensjonsforsikring'!C22+'Protector Forsikring'!C22+'SHB Liv'!C22+'Sparebank 1'!C22+'Storebrand Livsforsikring'!C22+'Telenor Forsikring'!C22+'Tryg Forsikring'!C22+'WaterCircle F'!C22+'Codan Forsikring'!C22+'Euro Accident'!C22</f>
        <v>681115.47334000003</v>
      </c>
      <c r="D22" s="11">
        <f t="shared" ref="D22:D39" si="5">IF(B22=0, "    ---- ", IF(ABS(ROUND(100/B22*C22-100,1))&lt;999,ROUND(100/B22*C22-100,1),IF(ROUND(100/B22*C22-100,1)&gt;999,999,-999)))</f>
        <v>-1.9</v>
      </c>
      <c r="E22" s="213">
        <f>'Fremtind Livsforsikring'!F22+'Danica Pensjonsforsikring'!F22+'DNB Livsforsikring'!F22+'Eika Forsikring AS'!F22+'Frende Livsforsikring'!F22+'Frende Skadeforsikring'!F22+'Gjensidige Forsikring'!F22+'Gjensidige Pensjon'!F22+'Handelsbanken Liv'!F22+'If Skadeforsikring NUF'!F22+KLP!F22+'DNB Bedriftspensjon'!F22+'KLP Skadeforsikring AS'!F22+'Landkreditt Forsikring'!F22+Insr!F22+'Nordea Liv '!F22+'Oslo Pensjonsforsikring'!F22+'Protector Forsikring'!F22+'SHB Liv'!F22+'Sparebank 1'!F22+'Storebrand Livsforsikring'!F22+'Telenor Forsikring'!F22+'Tryg Forsikring'!F22+'WaterCircle F'!F22+'Codan Forsikring'!F22+'Euro Accident'!F22</f>
        <v>334034.62965000002</v>
      </c>
      <c r="F22" s="213">
        <f>'Fremtind Livsforsikring'!G22+'Danica Pensjonsforsikring'!G22+'DNB Livsforsikring'!G22+'Eika Forsikring AS'!G22+'Frende Livsforsikring'!G22+'Frende Skadeforsikring'!G22+'Gjensidige Forsikring'!G22+'Gjensidige Pensjon'!G22+'Handelsbanken Liv'!G22+'If Skadeforsikring NUF'!G22+KLP!G22+'DNB Bedriftspensjon'!G22+'KLP Skadeforsikring AS'!G22+'Landkreditt Forsikring'!G22+Insr!G22+'Nordea Liv '!G22+'Oslo Pensjonsforsikring'!G22+'Protector Forsikring'!G22+'SHB Liv'!G22+'Sparebank 1'!G22+'Storebrand Livsforsikring'!G22+'Telenor Forsikring'!G22+'Tryg Forsikring'!G22+'WaterCircle F'!G22+'Codan Forsikring'!G22+'Euro Accident'!G22</f>
        <v>423299.74570999999</v>
      </c>
      <c r="G22" s="326">
        <f>IF(E22=0, "    ---- ", IF(ABS(ROUND(100/E22*F22-100,1))&lt;999,ROUND(100/E22*F22-100,1),IF(ROUND(100/E22*F22-100,1)&gt;999,999,-999)))</f>
        <v>26.7</v>
      </c>
      <c r="H22" s="284">
        <f>SUM(B22,E22)</f>
        <v>1028513.6117300757</v>
      </c>
      <c r="I22" s="213">
        <f t="shared" ref="I22:I39" si="6">SUM(C22,F22)</f>
        <v>1104415.21905</v>
      </c>
      <c r="J22" s="24">
        <f t="shared" ref="J22:J39" si="7">IF(H22=0, "    ---- ", IF(ABS(ROUND(100/H22*I22-100,1))&lt;999,ROUND(100/H22*I22-100,1),IF(ROUND(100/H22*I22-100,1)&gt;999,999,-999)))</f>
        <v>7.4</v>
      </c>
    </row>
    <row r="23" spans="1:11" ht="15.75" customHeight="1" x14ac:dyDescent="0.2">
      <c r="A23" s="547" t="s">
        <v>344</v>
      </c>
      <c r="B23" s="44">
        <f>'Fremtind Livsforsikring'!B23+'Danica Pensjonsforsikring'!B23+'DNB Livsforsikring'!B23+'Eika Forsikring AS'!B23+'Frende Livsforsikring'!B23+'Frende Skadeforsikring'!B23+'Gjensidige Forsikring'!B23+'Gjensidige Pensjon'!B23+'Handelsbanken Liv'!B23+'If Skadeforsikring NUF'!B23+KLP!B23+'DNB Bedriftspensjon'!B23+'KLP Skadeforsikring AS'!B23+'Landkreditt Forsikring'!B23+Insr!B23+'Nordea Liv '!B23+'Oslo Pensjonsforsikring'!B23+'Protector Forsikring'!B23+'SHB Liv'!B23+'Sparebank 1'!B23+'Storebrand Livsforsikring'!B23+'Telenor Forsikring'!B23+'Tryg Forsikring'!B23+'WaterCircle F'!B23+'Codan Forsikring'!B23+'Euro Accident'!B23</f>
        <v>314640.32622007572</v>
      </c>
      <c r="C23" s="44">
        <f>'Fremtind Livsforsikring'!C23+'Danica Pensjonsforsikring'!C23+'DNB Livsforsikring'!C23+'Eika Forsikring AS'!C23+'Frende Livsforsikring'!C23+'Frende Skadeforsikring'!C23+'Gjensidige Forsikring'!C23+'Gjensidige Pensjon'!C23+'Handelsbanken Liv'!C23+'If Skadeforsikring NUF'!C23+KLP!C23+'DNB Bedriftspensjon'!C23+'KLP Skadeforsikring AS'!C23+'Landkreditt Forsikring'!C23+Insr!C23+'Nordea Liv '!C23+'Oslo Pensjonsforsikring'!C23+'Protector Forsikring'!C23+'SHB Liv'!C23+'Sparebank 1'!C23+'Storebrand Livsforsikring'!C23+'Telenor Forsikring'!C23+'Tryg Forsikring'!C23+'WaterCircle F'!C23+'Codan Forsikring'!C23+'Euro Accident'!C23</f>
        <v>333623.05459951604</v>
      </c>
      <c r="D23" s="27">
        <f>IF($A$1=4,IF(B23=0, "    ---- ", IF(ABS(ROUND(100/B23*C23-100,1))&lt;999,ROUND(100/B23*C23-100,1),IF(ROUND(100/B23*C23-100,1)&gt;999,999,-999))),"")</f>
        <v>6</v>
      </c>
      <c r="E23" s="44">
        <f>'Fremtind Livsforsikring'!F23+'Danica Pensjonsforsikring'!F23+'DNB Livsforsikring'!F23+'Eika Forsikring AS'!F23+'Frende Livsforsikring'!F23+'Frende Skadeforsikring'!F23+'Gjensidige Forsikring'!F23+'Gjensidige Pensjon'!F23+'Handelsbanken Liv'!F23+'If Skadeforsikring NUF'!F23+KLP!F23+'DNB Bedriftspensjon'!F23+'KLP Skadeforsikring AS'!F23+'Landkreditt Forsikring'!F23+Insr!F23+'Nordea Liv '!F23+'Oslo Pensjonsforsikring'!F23+'Protector Forsikring'!F23+'SHB Liv'!F23+'Sparebank 1'!F23+'Storebrand Livsforsikring'!F23+'Telenor Forsikring'!F23+'Tryg Forsikring'!F23+'WaterCircle F'!F23+'Codan Forsikring'!F23+'Euro Accident'!F23</f>
        <v>27726.697140000004</v>
      </c>
      <c r="F23" s="44">
        <f>'Fremtind Livsforsikring'!G23+'Danica Pensjonsforsikring'!G23+'DNB Livsforsikring'!G23+'Eika Forsikring AS'!G23+'Frende Livsforsikring'!G23+'Frende Skadeforsikring'!G23+'Gjensidige Forsikring'!G23+'Gjensidige Pensjon'!G23+'Handelsbanken Liv'!G23+'If Skadeforsikring NUF'!G23+KLP!G23+'DNB Bedriftspensjon'!G23+'KLP Skadeforsikring AS'!G23+'Landkreditt Forsikring'!G23+Insr!G23+'Nordea Liv '!G23+'Oslo Pensjonsforsikring'!G23+'Protector Forsikring'!G23+'SHB Liv'!G23+'Sparebank 1'!G23+'Storebrand Livsforsikring'!G23+'Telenor Forsikring'!G23+'Tryg Forsikring'!G23+'WaterCircle F'!G23+'Codan Forsikring'!G23+'Euro Accident'!G23</f>
        <v>67303.909270000004</v>
      </c>
      <c r="G23" s="166">
        <f>IF($A$1=4,IF(E23=0, "    ---- ", IF(ABS(ROUND(100/E23*F23-100,1))&lt;999,ROUND(100/E23*F23-100,1),IF(ROUND(100/E23*F23-100,1)&gt;999,999,-999))),"")</f>
        <v>142.69999999999999</v>
      </c>
      <c r="H23" s="211">
        <f t="shared" ref="H23:H39" si="8">SUM(B23,E23)</f>
        <v>342367.02336007572</v>
      </c>
      <c r="I23" s="44">
        <f t="shared" si="6"/>
        <v>400926.96386951604</v>
      </c>
      <c r="J23" s="23">
        <f t="shared" si="7"/>
        <v>17.100000000000001</v>
      </c>
    </row>
    <row r="24" spans="1:11" ht="15.75" customHeight="1" x14ac:dyDescent="0.2">
      <c r="A24" s="547" t="s">
        <v>345</v>
      </c>
      <c r="B24" s="44">
        <f>'Fremtind Livsforsikring'!B24+'Danica Pensjonsforsikring'!B24+'DNB Livsforsikring'!B24+'Eika Forsikring AS'!B24+'Frende Livsforsikring'!B24+'Frende Skadeforsikring'!B24+'Gjensidige Forsikring'!B24+'Gjensidige Pensjon'!B24+'Handelsbanken Liv'!B24+'If Skadeforsikring NUF'!B24+KLP!B24+'DNB Bedriftspensjon'!B24+'KLP Skadeforsikring AS'!B24+'Landkreditt Forsikring'!B24+Insr!B24+'Nordea Liv '!B24+'Oslo Pensjonsforsikring'!B24+'Protector Forsikring'!B24+'SHB Liv'!B24+'Sparebank 1'!B24+'Storebrand Livsforsikring'!B24+'Telenor Forsikring'!B24+'Tryg Forsikring'!B24+'WaterCircle F'!B24+'Codan Forsikring'!B24+'Euro Accident'!B24</f>
        <v>7466.9988600000006</v>
      </c>
      <c r="C24" s="44">
        <f>'Fremtind Livsforsikring'!C24+'Danica Pensjonsforsikring'!C24+'DNB Livsforsikring'!C24+'Eika Forsikring AS'!C24+'Frende Livsforsikring'!C24+'Frende Skadeforsikring'!C24+'Gjensidige Forsikring'!C24+'Gjensidige Pensjon'!C24+'Handelsbanken Liv'!C24+'If Skadeforsikring NUF'!C24+KLP!C24+'DNB Bedriftspensjon'!C24+'KLP Skadeforsikring AS'!C24+'Landkreditt Forsikring'!C24+Insr!C24+'Nordea Liv '!C24+'Oslo Pensjonsforsikring'!C24+'Protector Forsikring'!C24+'SHB Liv'!C24+'Sparebank 1'!C24+'Storebrand Livsforsikring'!C24+'Telenor Forsikring'!C24+'Tryg Forsikring'!C24+'WaterCircle F'!C24+'Codan Forsikring'!C24+'Euro Accident'!C24</f>
        <v>7420.9076661856407</v>
      </c>
      <c r="D24" s="27">
        <f>IF($A$1=4,IF(B24=0, "    ---- ", IF(ABS(ROUND(100/B24*C24-100,1))&lt;999,ROUND(100/B24*C24-100,1),IF(ROUND(100/B24*C24-100,1)&gt;999,999,-999))),"")</f>
        <v>-0.6</v>
      </c>
      <c r="E24" s="44">
        <f>'Fremtind Livsforsikring'!F24+'Danica Pensjonsforsikring'!F24+'DNB Livsforsikring'!F24+'Eika Forsikring AS'!F24+'Frende Livsforsikring'!F24+'Frende Skadeforsikring'!F24+'Gjensidige Forsikring'!F24+'Gjensidige Pensjon'!F24+'Handelsbanken Liv'!F24+'If Skadeforsikring NUF'!F24+KLP!F24+'DNB Bedriftspensjon'!F24+'KLP Skadeforsikring AS'!F24+'Landkreditt Forsikring'!F24+Insr!F24+'Nordea Liv '!F24+'Oslo Pensjonsforsikring'!F24+'Protector Forsikring'!F24+'SHB Liv'!F24+'Sparebank 1'!F24+'Storebrand Livsforsikring'!F24+'Telenor Forsikring'!F24+'Tryg Forsikring'!F24+'WaterCircle F'!F24+'Codan Forsikring'!F24+'Euro Accident'!F24</f>
        <v>542.88850000000002</v>
      </c>
      <c r="F24" s="44">
        <f>'Fremtind Livsforsikring'!G24+'Danica Pensjonsforsikring'!G24+'DNB Livsforsikring'!G24+'Eika Forsikring AS'!G24+'Frende Livsforsikring'!G24+'Frende Skadeforsikring'!G24+'Gjensidige Forsikring'!G24+'Gjensidige Pensjon'!G24+'Handelsbanken Liv'!G24+'If Skadeforsikring NUF'!G24+KLP!G24+'DNB Bedriftspensjon'!G24+'KLP Skadeforsikring AS'!G24+'Landkreditt Forsikring'!G24+Insr!G24+'Nordea Liv '!G24+'Oslo Pensjonsforsikring'!G24+'Protector Forsikring'!G24+'SHB Liv'!G24+'Sparebank 1'!G24+'Storebrand Livsforsikring'!G24+'Telenor Forsikring'!G24+'Tryg Forsikring'!G24+'WaterCircle F'!G24+'Codan Forsikring'!G24+'Euro Accident'!G24</f>
        <v>48.021039999999999</v>
      </c>
      <c r="G24" s="166">
        <f>IF($A$1=4,IF(E24=0, "    ---- ", IF(ABS(ROUND(100/E24*F24-100,1))&lt;999,ROUND(100/E24*F24-100,1),IF(ROUND(100/E24*F24-100,1)&gt;999,999,-999))),"")</f>
        <v>-91.2</v>
      </c>
      <c r="H24" s="211">
        <f t="shared" si="8"/>
        <v>8009.8873600000006</v>
      </c>
      <c r="I24" s="44">
        <f t="shared" si="6"/>
        <v>7468.9287061856403</v>
      </c>
      <c r="J24" s="27">
        <f t="shared" si="7"/>
        <v>-6.8</v>
      </c>
    </row>
    <row r="25" spans="1:11" ht="15.75" customHeight="1" x14ac:dyDescent="0.2">
      <c r="A25" s="547" t="s">
        <v>346</v>
      </c>
      <c r="B25" s="44">
        <f>'Fremtind Livsforsikring'!B25+'Danica Pensjonsforsikring'!B25+'DNB Livsforsikring'!B25+'Eika Forsikring AS'!B25+'Frende Livsforsikring'!B25+'Frende Skadeforsikring'!B25+'Gjensidige Forsikring'!B25+'Gjensidige Pensjon'!B25+'Handelsbanken Liv'!B25+'If Skadeforsikring NUF'!B25+KLP!B25+'DNB Bedriftspensjon'!B25+'KLP Skadeforsikring AS'!B25+'Landkreditt Forsikring'!B25+Insr!B25+'Nordea Liv '!B25+'Oslo Pensjonsforsikring'!B25+'Protector Forsikring'!B25+'SHB Liv'!B25+'Sparebank 1'!B25+'Storebrand Livsforsikring'!B25+'Telenor Forsikring'!B25+'Tryg Forsikring'!B25+'WaterCircle F'!B25+'Codan Forsikring'!B25+'Euro Accident'!B25</f>
        <v>10237</v>
      </c>
      <c r="C25" s="44">
        <f>'Fremtind Livsforsikring'!C25+'Danica Pensjonsforsikring'!C25+'DNB Livsforsikring'!C25+'Eika Forsikring AS'!C25+'Frende Livsforsikring'!C25+'Frende Skadeforsikring'!C25+'Gjensidige Forsikring'!C25+'Gjensidige Pensjon'!C25+'Handelsbanken Liv'!C25+'If Skadeforsikring NUF'!C25+KLP!C25+'DNB Bedriftspensjon'!C25+'KLP Skadeforsikring AS'!C25+'Landkreditt Forsikring'!C25+Insr!C25+'Nordea Liv '!C25+'Oslo Pensjonsforsikring'!C25+'Protector Forsikring'!C25+'SHB Liv'!C25+'Sparebank 1'!C25+'Storebrand Livsforsikring'!C25+'Telenor Forsikring'!C25+'Tryg Forsikring'!C25+'WaterCircle F'!C25+'Codan Forsikring'!C25+'Euro Accident'!C25</f>
        <v>9838.6038042984001</v>
      </c>
      <c r="D25" s="27">
        <f>IF($A$1=4,IF(B25=0, "    ---- ", IF(ABS(ROUND(100/B25*C25-100,1))&lt;999,ROUND(100/B25*C25-100,1),IF(ROUND(100/B25*C25-100,1)&gt;999,999,-999))),"")</f>
        <v>-3.9</v>
      </c>
      <c r="E25" s="44">
        <f>'Fremtind Livsforsikring'!F25+'Danica Pensjonsforsikring'!F25+'DNB Livsforsikring'!F25+'Eika Forsikring AS'!F25+'Frende Livsforsikring'!F25+'Frende Skadeforsikring'!F25+'Gjensidige Forsikring'!F25+'Gjensidige Pensjon'!F25+'Handelsbanken Liv'!F25+'If Skadeforsikring NUF'!F25+KLP!F25+'DNB Bedriftspensjon'!F25+'KLP Skadeforsikring AS'!F25+'Landkreditt Forsikring'!F25+Insr!F25+'Nordea Liv '!F25+'Oslo Pensjonsforsikring'!F25+'Protector Forsikring'!F25+'SHB Liv'!F25+'Sparebank 1'!F25+'Storebrand Livsforsikring'!F25+'Telenor Forsikring'!F25+'Tryg Forsikring'!F25+'WaterCircle F'!F25+'Codan Forsikring'!F25+'Euro Accident'!F25</f>
        <v>9150.1233199999988</v>
      </c>
      <c r="F25" s="44">
        <f>'Fremtind Livsforsikring'!G25+'Danica Pensjonsforsikring'!G25+'DNB Livsforsikring'!G25+'Eika Forsikring AS'!G25+'Frende Livsforsikring'!G25+'Frende Skadeforsikring'!G25+'Gjensidige Forsikring'!G25+'Gjensidige Pensjon'!G25+'Handelsbanken Liv'!G25+'If Skadeforsikring NUF'!G25+KLP!G25+'DNB Bedriftspensjon'!G25+'KLP Skadeforsikring AS'!G25+'Landkreditt Forsikring'!G25+Insr!G25+'Nordea Liv '!G25+'Oslo Pensjonsforsikring'!G25+'Protector Forsikring'!G25+'SHB Liv'!G25+'Sparebank 1'!G25+'Storebrand Livsforsikring'!G25+'Telenor Forsikring'!G25+'Tryg Forsikring'!G25+'WaterCircle F'!G25+'Codan Forsikring'!G25+'Euro Accident'!G25</f>
        <v>3662.7771299999999</v>
      </c>
      <c r="G25" s="166">
        <f>IF($A$1=4,IF(E25=0, "    ---- ", IF(ABS(ROUND(100/E25*F25-100,1))&lt;999,ROUND(100/E25*F25-100,1),IF(ROUND(100/E25*F25-100,1)&gt;999,999,-999))),"")</f>
        <v>-60</v>
      </c>
      <c r="H25" s="211">
        <f t="shared" si="8"/>
        <v>19387.123319999999</v>
      </c>
      <c r="I25" s="44">
        <f t="shared" si="6"/>
        <v>13501.3809342984</v>
      </c>
      <c r="J25" s="27">
        <f t="shared" si="7"/>
        <v>-30.4</v>
      </c>
    </row>
    <row r="26" spans="1:11" ht="15.75" customHeight="1" x14ac:dyDescent="0.2">
      <c r="A26" s="547" t="s">
        <v>347</v>
      </c>
      <c r="B26" s="44">
        <f>'Fremtind Livsforsikring'!B26+'Danica Pensjonsforsikring'!B26+'DNB Livsforsikring'!B26+'Eika Forsikring AS'!B26+'Frende Livsforsikring'!B26+'Frende Skadeforsikring'!B26+'Gjensidige Forsikring'!B26+'Gjensidige Pensjon'!B26+'Handelsbanken Liv'!B26+'If Skadeforsikring NUF'!B26+KLP!B26+'DNB Bedriftspensjon'!B26+'KLP Skadeforsikring AS'!B26+'Landkreditt Forsikring'!B26+Insr!B26+'Nordea Liv '!B26+'Oslo Pensjonsforsikring'!B26+'Protector Forsikring'!B26+'SHB Liv'!B26+'Sparebank 1'!B26+'Storebrand Livsforsikring'!B26+'Telenor Forsikring'!B26+'Tryg Forsikring'!B26+'WaterCircle F'!B26+'Codan Forsikring'!B26+'Euro Accident'!B26</f>
        <v>0</v>
      </c>
      <c r="C26" s="44">
        <f>'Fremtind Livsforsikring'!C26+'Danica Pensjonsforsikring'!C26+'DNB Livsforsikring'!C26+'Eika Forsikring AS'!C26+'Frende Livsforsikring'!C26+'Frende Skadeforsikring'!C26+'Gjensidige Forsikring'!C26+'Gjensidige Pensjon'!C26+'Handelsbanken Liv'!C26+'If Skadeforsikring NUF'!C26+KLP!C26+'DNB Bedriftspensjon'!C26+'KLP Skadeforsikring AS'!C26+'Landkreditt Forsikring'!C26+Insr!C26+'Nordea Liv '!C26+'Oslo Pensjonsforsikring'!C26+'Protector Forsikring'!C26+'SHB Liv'!C26+'Sparebank 1'!C26+'Storebrand Livsforsikring'!C26+'Telenor Forsikring'!C26+'Tryg Forsikring'!C26+'WaterCircle F'!C26+'Codan Forsikring'!C26+'Euro Accident'!C26</f>
        <v>0</v>
      </c>
      <c r="D26" s="27"/>
      <c r="E26" s="44">
        <f>'Fremtind Livsforsikring'!F26+'Danica Pensjonsforsikring'!F26+'DNB Livsforsikring'!F26+'Eika Forsikring AS'!F26+'Frende Livsforsikring'!F26+'Frende Skadeforsikring'!F26+'Gjensidige Forsikring'!F26+'Gjensidige Pensjon'!F26+'Handelsbanken Liv'!F26+'If Skadeforsikring NUF'!F26+KLP!F26+'DNB Bedriftspensjon'!F26+'KLP Skadeforsikring AS'!F26+'Landkreditt Forsikring'!F26+Insr!F26+'Nordea Liv '!F26+'Oslo Pensjonsforsikring'!F26+'Protector Forsikring'!F26+'SHB Liv'!F26+'Sparebank 1'!F26+'Storebrand Livsforsikring'!F26+'Telenor Forsikring'!F26+'Tryg Forsikring'!F26+'WaterCircle F'!F26+'Codan Forsikring'!F26+'Euro Accident'!F26</f>
        <v>296614.92069</v>
      </c>
      <c r="F26" s="44">
        <f>'Fremtind Livsforsikring'!G26+'Danica Pensjonsforsikring'!G26+'DNB Livsforsikring'!G26+'Eika Forsikring AS'!G26+'Frende Livsforsikring'!G26+'Frende Skadeforsikring'!G26+'Gjensidige Forsikring'!G26+'Gjensidige Pensjon'!G26+'Handelsbanken Liv'!G26+'If Skadeforsikring NUF'!G26+KLP!G26+'DNB Bedriftspensjon'!G26+'KLP Skadeforsikring AS'!G26+'Landkreditt Forsikring'!G26+Insr!G26+'Nordea Liv '!G26+'Oslo Pensjonsforsikring'!G26+'Protector Forsikring'!G26+'SHB Liv'!G26+'Sparebank 1'!G26+'Storebrand Livsforsikring'!G26+'Telenor Forsikring'!G26+'Tryg Forsikring'!G26+'WaterCircle F'!G26+'Codan Forsikring'!G26+'Euro Accident'!G26</f>
        <v>352285.03827000002</v>
      </c>
      <c r="G26" s="166">
        <f>IF($A$1=4,IF(E26=0, "    ---- ", IF(ABS(ROUND(100/E26*F26-100,1))&lt;999,ROUND(100/E26*F26-100,1),IF(ROUND(100/E26*F26-100,1)&gt;999,999,-999))),"")</f>
        <v>18.8</v>
      </c>
      <c r="H26" s="211">
        <f>SUM(B26,E26)</f>
        <v>296614.92069</v>
      </c>
      <c r="I26" s="44">
        <f>SUM(C26,F26)</f>
        <v>352285.03827000002</v>
      </c>
      <c r="J26" s="27">
        <f>IF(H26=0, "    ---- ", IF(ABS(ROUND(100/H26*I26-100,1))&lt;999,ROUND(100/H26*I26-100,1),IF(ROUND(100/H26*I26-100,1)&gt;999,999,-999)))</f>
        <v>18.8</v>
      </c>
    </row>
    <row r="27" spans="1:11" ht="15.75" customHeight="1" x14ac:dyDescent="0.2">
      <c r="A27" s="545" t="s">
        <v>11</v>
      </c>
      <c r="B27" s="44">
        <f>'Fremtind Livsforsikring'!B27+'Danica Pensjonsforsikring'!B27+'DNB Livsforsikring'!B27+'Eika Forsikring AS'!B27+'Frende Livsforsikring'!B27+'Frende Skadeforsikring'!B27+'Gjensidige Forsikring'!B27+'Gjensidige Pensjon'!B27+'Handelsbanken Liv'!B27+'If Skadeforsikring NUF'!B27+KLP!B27+'DNB Bedriftspensjon'!B27+'KLP Skadeforsikring AS'!B27+'Landkreditt Forsikring'!B27+Insr!B27+'Nordea Liv '!B27+'Oslo Pensjonsforsikring'!B27+'Protector Forsikring'!B27+'SHB Liv'!B27+'Sparebank 1'!B27+'Storebrand Livsforsikring'!B27+'Telenor Forsikring'!B27+'Tryg Forsikring'!B27+'WaterCircle F'!B27+'Codan Forsikring'!B27+'Euro Accident'!B27</f>
        <v>0</v>
      </c>
      <c r="C27" s="44">
        <f>'Fremtind Livsforsikring'!C27+'Danica Pensjonsforsikring'!C27+'DNB Livsforsikring'!C27+'Eika Forsikring AS'!C27+'Frende Livsforsikring'!C27+'Frende Skadeforsikring'!C27+'Gjensidige Forsikring'!C27+'Gjensidige Pensjon'!C27+'Handelsbanken Liv'!C27+'If Skadeforsikring NUF'!C27+KLP!C27+'DNB Bedriftspensjon'!C27+'KLP Skadeforsikring AS'!C27+'Landkreditt Forsikring'!C27+Insr!C27+'Nordea Liv '!C27+'Oslo Pensjonsforsikring'!C27+'Protector Forsikring'!C27+'SHB Liv'!C27+'Sparebank 1'!C27+'Storebrand Livsforsikring'!C27+'Telenor Forsikring'!C27+'Tryg Forsikring'!C27+'WaterCircle F'!C27+'Codan Forsikring'!C27+'Euro Accident'!C27</f>
        <v>0</v>
      </c>
      <c r="D27" s="27"/>
      <c r="E27" s="44">
        <f>'Fremtind Livsforsikring'!F27+'Danica Pensjonsforsikring'!F27+'DNB Livsforsikring'!F27+'Eika Forsikring AS'!F27+'Frende Livsforsikring'!F27+'Frende Skadeforsikring'!F27+'Gjensidige Forsikring'!F27+'Gjensidige Pensjon'!F27+'Handelsbanken Liv'!F27+'If Skadeforsikring NUF'!F27+KLP!F27+'DNB Bedriftspensjon'!F27+'KLP Skadeforsikring AS'!F27+'Landkreditt Forsikring'!F27+Insr!F27+'Nordea Liv '!F27+'Oslo Pensjonsforsikring'!F27+'Protector Forsikring'!F27+'SHB Liv'!F27+'Sparebank 1'!F27+'Storebrand Livsforsikring'!F27+'Telenor Forsikring'!F27+'Tryg Forsikring'!F27+'WaterCircle F'!F27+'Codan Forsikring'!F27+'Euro Accident'!F27</f>
        <v>0</v>
      </c>
      <c r="F27" s="44">
        <f>'Fremtind Livsforsikring'!G27+'Danica Pensjonsforsikring'!G27+'DNB Livsforsikring'!G27+'Eika Forsikring AS'!G27+'Frende Livsforsikring'!G27+'Frende Skadeforsikring'!G27+'Gjensidige Forsikring'!G27+'Gjensidige Pensjon'!G27+'Handelsbanken Liv'!G27+'If Skadeforsikring NUF'!G27+KLP!G27+'DNB Bedriftspensjon'!G27+'KLP Skadeforsikring AS'!G27+'Landkreditt Forsikring'!G27+Insr!G27+'Nordea Liv '!G27+'Oslo Pensjonsforsikring'!G27+'Protector Forsikring'!G27+'SHB Liv'!G27+'Sparebank 1'!G27+'Storebrand Livsforsikring'!G27+'Telenor Forsikring'!G27+'Tryg Forsikring'!G27+'WaterCircle F'!G27+'Codan Forsikring'!G27+'Euro Accident'!G27</f>
        <v>0</v>
      </c>
      <c r="G27" s="166"/>
      <c r="H27" s="211">
        <f t="shared" si="8"/>
        <v>0</v>
      </c>
      <c r="I27" s="44">
        <f t="shared" si="6"/>
        <v>0</v>
      </c>
      <c r="J27" s="27"/>
    </row>
    <row r="28" spans="1:11" ht="15.75" customHeight="1" x14ac:dyDescent="0.2">
      <c r="A28" s="49" t="s">
        <v>252</v>
      </c>
      <c r="B28" s="44">
        <f>'Fremtind Livsforsikring'!B28+'Danica Pensjonsforsikring'!B28+'DNB Livsforsikring'!B28+'Eika Forsikring AS'!B28+'Frende Livsforsikring'!B28+'Frende Skadeforsikring'!B28+'Gjensidige Forsikring'!B28+'Gjensidige Pensjon'!B28+'Handelsbanken Liv'!B28+'If Skadeforsikring NUF'!B28+KLP!B28+'DNB Bedriftspensjon'!B28+'KLP Skadeforsikring AS'!B28+'Landkreditt Forsikring'!B28+Insr!B28+'Nordea Liv '!B28+'Oslo Pensjonsforsikring'!B28+'Protector Forsikring'!B28+'SHB Liv'!B28+'Sparebank 1'!B28+'Storebrand Livsforsikring'!B28+'Telenor Forsikring'!B28+'Tryg Forsikring'!B28+'WaterCircle F'!B28+'Codan Forsikring'!B28+'Euro Accident'!B28</f>
        <v>728324.64252883382</v>
      </c>
      <c r="C28" s="44">
        <f>'Fremtind Livsforsikring'!C28+'Danica Pensjonsforsikring'!C28+'DNB Livsforsikring'!C28+'Eika Forsikring AS'!C28+'Frende Livsforsikring'!C28+'Frende Skadeforsikring'!C28+'Gjensidige Forsikring'!C28+'Gjensidige Pensjon'!C28+'Handelsbanken Liv'!C28+'If Skadeforsikring NUF'!C28+KLP!C28+'DNB Bedriftspensjon'!C28+'KLP Skadeforsikring AS'!C28+'Landkreditt Forsikring'!C28+Insr!C28+'Nordea Liv '!C28+'Oslo Pensjonsforsikring'!C28+'Protector Forsikring'!C28+'SHB Liv'!C28+'Sparebank 1'!C28+'Storebrand Livsforsikring'!C28+'Telenor Forsikring'!C28+'Tryg Forsikring'!C28+'WaterCircle F'!C28+'Codan Forsikring'!C28+'Euro Accident'!C28</f>
        <v>727469.04660675419</v>
      </c>
      <c r="D28" s="23">
        <f t="shared" si="5"/>
        <v>-0.1</v>
      </c>
      <c r="E28" s="185">
        <f>'Fremtind Livsforsikring'!F28+'Danica Pensjonsforsikring'!F28+'DNB Livsforsikring'!F28+'Eika Forsikring AS'!F28+'Frende Livsforsikring'!F28+'Frende Skadeforsikring'!F28+'Gjensidige Forsikring'!F28+'Gjensidige Pensjon'!F28+'Handelsbanken Liv'!F28+'If Skadeforsikring NUF'!F28+KLP!F28+'DNB Bedriftspensjon'!F28+'KLP Skadeforsikring AS'!F28+'Landkreditt Forsikring'!F28+Insr!F28+'Nordea Liv '!F28+'Oslo Pensjonsforsikring'!F28+'Protector Forsikring'!F28+'SHB Liv'!F28+'Sparebank 1'!F28+'Storebrand Livsforsikring'!F28+'Telenor Forsikring'!F28+'Tryg Forsikring'!F28+'WaterCircle F'!F28+'Codan Forsikring'!F28+'Euro Accident'!F28</f>
        <v>0</v>
      </c>
      <c r="F28" s="185">
        <f>'Fremtind Livsforsikring'!G28+'Danica Pensjonsforsikring'!G28+'DNB Livsforsikring'!G28+'Eika Forsikring AS'!G28+'Frende Livsforsikring'!G28+'Frende Skadeforsikring'!G28+'Gjensidige Forsikring'!G28+'Gjensidige Pensjon'!G28+'Handelsbanken Liv'!G28+'If Skadeforsikring NUF'!G28+KLP!G28+'DNB Bedriftspensjon'!G28+'KLP Skadeforsikring AS'!G28+'Landkreditt Forsikring'!G28+Insr!G28+'Nordea Liv '!G28+'Oslo Pensjonsforsikring'!G28+'Protector Forsikring'!G28+'SHB Liv'!G28+'Sparebank 1'!G28+'Storebrand Livsforsikring'!G28+'Telenor Forsikring'!G28+'Tryg Forsikring'!G28+'WaterCircle F'!G28+'Codan Forsikring'!G28+'Euro Accident'!G28</f>
        <v>0</v>
      </c>
      <c r="G28" s="166"/>
      <c r="H28" s="211">
        <f t="shared" si="8"/>
        <v>728324.64252883382</v>
      </c>
      <c r="I28" s="44">
        <f t="shared" si="6"/>
        <v>727469.04660675419</v>
      </c>
      <c r="J28" s="23">
        <f t="shared" si="7"/>
        <v>-0.1</v>
      </c>
      <c r="K28" s="3"/>
    </row>
    <row r="29" spans="1:11" s="394" customFormat="1" ht="15.75" customHeight="1" x14ac:dyDescent="0.2">
      <c r="A29" s="39" t="s">
        <v>348</v>
      </c>
      <c r="B29" s="213">
        <f>'Fremtind Livsforsikring'!B29+'Danica Pensjonsforsikring'!B29+'DNB Livsforsikring'!B29+'Eika Forsikring AS'!B29+'Frende Livsforsikring'!B29+'Frende Skadeforsikring'!B29+'Gjensidige Forsikring'!B29+'Gjensidige Pensjon'!B29+'Handelsbanken Liv'!B29+'If Skadeforsikring NUF'!B29+KLP!B29+'DNB Bedriftspensjon'!B29+'KLP Skadeforsikring AS'!B29+'Landkreditt Forsikring'!B29+Insr!B29+'Nordea Liv '!B29+'Oslo Pensjonsforsikring'!B29+'Protector Forsikring'!B29+'SHB Liv'!B29+'Sparebank 1'!B29+'Storebrand Livsforsikring'!B29+'Telenor Forsikring'!B29+'Tryg Forsikring'!B29+'WaterCircle F'!B29+'Codan Forsikring'!B29+'Euro Accident'!B29</f>
        <v>46830826.733410731</v>
      </c>
      <c r="C29" s="213">
        <f>'Fremtind Livsforsikring'!C29+'Danica Pensjonsforsikring'!C29+'DNB Livsforsikring'!C29+'Eika Forsikring AS'!C29+'Frende Livsforsikring'!C29+'Frende Skadeforsikring'!C29+'Gjensidige Forsikring'!C29+'Gjensidige Pensjon'!C29+'Handelsbanken Liv'!C29+'If Skadeforsikring NUF'!C29+KLP!C29+'DNB Bedriftspensjon'!C29+'KLP Skadeforsikring AS'!C29+'Landkreditt Forsikring'!C29+Insr!C29+'Nordea Liv '!C29+'Oslo Pensjonsforsikring'!C29+'Protector Forsikring'!C29+'SHB Liv'!C29+'Sparebank 1'!C29+'Storebrand Livsforsikring'!C29+'Telenor Forsikring'!C29+'Tryg Forsikring'!C29+'WaterCircle F'!C29+'Codan Forsikring'!C29+'Euro Accident'!C29</f>
        <v>45814072.01641719</v>
      </c>
      <c r="D29" s="24">
        <f t="shared" si="5"/>
        <v>-2.2000000000000002</v>
      </c>
      <c r="E29" s="284">
        <f>'Fremtind Livsforsikring'!F29+'Danica Pensjonsforsikring'!F29+'DNB Livsforsikring'!F29+'Eika Forsikring AS'!F29+'Frende Livsforsikring'!F29+'Frende Skadeforsikring'!F29+'Gjensidige Forsikring'!F29+'Gjensidige Pensjon'!F29+'Handelsbanken Liv'!F29+'If Skadeforsikring NUF'!F29+KLP!F29+'DNB Bedriftspensjon'!F29+'KLP Skadeforsikring AS'!F29+'Landkreditt Forsikring'!F29+Insr!F29+'Nordea Liv '!F29+'Oslo Pensjonsforsikring'!F29+'Protector Forsikring'!F29+'SHB Liv'!F29+'Sparebank 1'!F29+'Storebrand Livsforsikring'!F29+'Telenor Forsikring'!F29+'Tryg Forsikring'!F29+'WaterCircle F'!F29+'Codan Forsikring'!F29+'Euro Accident'!F29</f>
        <v>20087775.560259998</v>
      </c>
      <c r="F29" s="284">
        <f>'Fremtind Livsforsikring'!G29+'Danica Pensjonsforsikring'!G29+'DNB Livsforsikring'!G29+'Eika Forsikring AS'!G29+'Frende Livsforsikring'!G29+'Frende Skadeforsikring'!G29+'Gjensidige Forsikring'!G29+'Gjensidige Pensjon'!G29+'Handelsbanken Liv'!G29+'If Skadeforsikring NUF'!G29+KLP!G29+'DNB Bedriftspensjon'!G29+'KLP Skadeforsikring AS'!G29+'Landkreditt Forsikring'!G29+Insr!G29+'Nordea Liv '!G29+'Oslo Pensjonsforsikring'!G29+'Protector Forsikring'!G29+'SHB Liv'!G29+'Sparebank 1'!G29+'Storebrand Livsforsikring'!G29+'Telenor Forsikring'!G29+'Tryg Forsikring'!G29+'WaterCircle F'!G29+'Codan Forsikring'!G29+'Euro Accident'!G29</f>
        <v>25414685.973739393</v>
      </c>
      <c r="G29" s="171">
        <f>IF(E29=0, "    ---- ", IF(ABS(ROUND(100/E29*F29-100,1))&lt;999,ROUND(100/E29*F29-100,1),IF(ROUND(100/E29*F29-100,1)&gt;999,999,-999)))</f>
        <v>26.5</v>
      </c>
      <c r="H29" s="284">
        <f t="shared" si="8"/>
        <v>66918602.293670729</v>
      </c>
      <c r="I29" s="213">
        <f t="shared" si="6"/>
        <v>71228757.990156591</v>
      </c>
      <c r="J29" s="24">
        <f t="shared" si="7"/>
        <v>6.4</v>
      </c>
    </row>
    <row r="30" spans="1:11" s="3" customFormat="1" ht="15.75" customHeight="1" x14ac:dyDescent="0.2">
      <c r="A30" s="547" t="s">
        <v>344</v>
      </c>
      <c r="B30" s="44">
        <f>'Fremtind Livsforsikring'!B30+'Danica Pensjonsforsikring'!B30+'DNB Livsforsikring'!B30+'Eika Forsikring AS'!B30+'Frende Livsforsikring'!B30+'Frende Skadeforsikring'!B30+'Gjensidige Forsikring'!B30+'Gjensidige Pensjon'!B30+'Handelsbanken Liv'!B30+'If Skadeforsikring NUF'!B30+KLP!B30+'DNB Bedriftspensjon'!B30+'KLP Skadeforsikring AS'!B30+'Landkreditt Forsikring'!B30+Insr!B30+'Nordea Liv '!B30+'Oslo Pensjonsforsikring'!B30+'Protector Forsikring'!B30+'SHB Liv'!B30+'Sparebank 1'!B30+'Storebrand Livsforsikring'!B30+'Telenor Forsikring'!B30+'Tryg Forsikring'!B30+'WaterCircle F'!B30+'Codan Forsikring'!B30+'Euro Accident'!B30</f>
        <v>14294535.37529074</v>
      </c>
      <c r="C30" s="44">
        <f>'Fremtind Livsforsikring'!C30+'Danica Pensjonsforsikring'!C30+'DNB Livsforsikring'!C30+'Eika Forsikring AS'!C30+'Frende Livsforsikring'!C30+'Frende Skadeforsikring'!C30+'Gjensidige Forsikring'!C30+'Gjensidige Pensjon'!C30+'Handelsbanken Liv'!C30+'If Skadeforsikring NUF'!C30+KLP!C30+'DNB Bedriftspensjon'!C30+'KLP Skadeforsikring AS'!C30+'Landkreditt Forsikring'!C30+Insr!C30+'Nordea Liv '!C30+'Oslo Pensjonsforsikring'!C30+'Protector Forsikring'!C30+'SHB Liv'!C30+'Sparebank 1'!C30+'Storebrand Livsforsikring'!C30+'Telenor Forsikring'!C30+'Tryg Forsikring'!C30+'WaterCircle F'!C30+'Codan Forsikring'!C30+'Euro Accident'!C30</f>
        <v>13712166.770829579</v>
      </c>
      <c r="D30" s="27">
        <f>IF($A$1=4,IF(B30=0, "    ---- ", IF(ABS(ROUND(100/B30*C30-100,1))&lt;999,ROUND(100/B30*C30-100,1),IF(ROUND(100/B30*C30-100,1)&gt;999,999,-999))),"")</f>
        <v>-4.0999999999999996</v>
      </c>
      <c r="E30" s="44">
        <f>'Fremtind Livsforsikring'!F30+'Danica Pensjonsforsikring'!F30+'DNB Livsforsikring'!F30+'Eika Forsikring AS'!F30+'Frende Livsforsikring'!F30+'Frende Skadeforsikring'!F30+'Gjensidige Forsikring'!F30+'Gjensidige Pensjon'!F30+'Handelsbanken Liv'!F30+'If Skadeforsikring NUF'!F30+KLP!F30+'DNB Bedriftspensjon'!F30+'KLP Skadeforsikring AS'!F30+'Landkreditt Forsikring'!F30+Insr!F30+'Nordea Liv '!F30+'Oslo Pensjonsforsikring'!F30+'Protector Forsikring'!F30+'SHB Liv'!F30+'Sparebank 1'!F30+'Storebrand Livsforsikring'!F30+'Telenor Forsikring'!F30+'Tryg Forsikring'!F30+'WaterCircle F'!F30+'Codan Forsikring'!F30+'Euro Accident'!F30</f>
        <v>3948739.6626099651</v>
      </c>
      <c r="F30" s="44">
        <f>'Fremtind Livsforsikring'!G30+'Danica Pensjonsforsikring'!G30+'DNB Livsforsikring'!G30+'Eika Forsikring AS'!G30+'Frende Livsforsikring'!G30+'Frende Skadeforsikring'!G30+'Gjensidige Forsikring'!G30+'Gjensidige Pensjon'!G30+'Handelsbanken Liv'!G30+'If Skadeforsikring NUF'!G30+KLP!G30+'DNB Bedriftspensjon'!G30+'KLP Skadeforsikring AS'!G30+'Landkreditt Forsikring'!G30+Insr!G30+'Nordea Liv '!G30+'Oslo Pensjonsforsikring'!G30+'Protector Forsikring'!G30+'SHB Liv'!G30+'Sparebank 1'!G30+'Storebrand Livsforsikring'!G30+'Telenor Forsikring'!G30+'Tryg Forsikring'!G30+'WaterCircle F'!G30+'Codan Forsikring'!G30+'Euro Accident'!G30</f>
        <v>4615895.0394744193</v>
      </c>
      <c r="G30" s="166">
        <f>IF($A$1=4,IF(E30=0, "    ---- ", IF(ABS(ROUND(100/E30*F30-100,1))&lt;999,ROUND(100/E30*F30-100,1),IF(ROUND(100/E30*F30-100,1)&gt;999,999,-999))),"")</f>
        <v>16.899999999999999</v>
      </c>
      <c r="H30" s="211">
        <f t="shared" si="8"/>
        <v>18243275.037900705</v>
      </c>
      <c r="I30" s="44">
        <f t="shared" si="6"/>
        <v>18328061.810303997</v>
      </c>
      <c r="J30" s="23">
        <f t="shared" si="7"/>
        <v>0.5</v>
      </c>
    </row>
    <row r="31" spans="1:11" s="3" customFormat="1" ht="15.75" customHeight="1" x14ac:dyDescent="0.2">
      <c r="A31" s="547" t="s">
        <v>345</v>
      </c>
      <c r="B31" s="44">
        <f>'Fremtind Livsforsikring'!B31+'Danica Pensjonsforsikring'!B31+'DNB Livsforsikring'!B31+'Eika Forsikring AS'!B31+'Frende Livsforsikring'!B31+'Frende Skadeforsikring'!B31+'Gjensidige Forsikring'!B31+'Gjensidige Pensjon'!B31+'Handelsbanken Liv'!B31+'If Skadeforsikring NUF'!B31+KLP!B31+'DNB Bedriftspensjon'!B31+'KLP Skadeforsikring AS'!B31+'Landkreditt Forsikring'!B31+Insr!B31+'Nordea Liv '!B31+'Oslo Pensjonsforsikring'!B31+'Protector Forsikring'!B31+'SHB Liv'!B31+'Sparebank 1'!B31+'Storebrand Livsforsikring'!B31+'Telenor Forsikring'!B31+'Tryg Forsikring'!B31+'WaterCircle F'!B31+'Codan Forsikring'!B31+'Euro Accident'!B31</f>
        <v>24487509.032538652</v>
      </c>
      <c r="C31" s="44">
        <f>'Fremtind Livsforsikring'!C31+'Danica Pensjonsforsikring'!C31+'DNB Livsforsikring'!C31+'Eika Forsikring AS'!C31+'Frende Livsforsikring'!C31+'Frende Skadeforsikring'!C31+'Gjensidige Forsikring'!C31+'Gjensidige Pensjon'!C31+'Handelsbanken Liv'!C31+'If Skadeforsikring NUF'!C31+KLP!C31+'DNB Bedriftspensjon'!C31+'KLP Skadeforsikring AS'!C31+'Landkreditt Forsikring'!C31+Insr!C31+'Nordea Liv '!C31+'Oslo Pensjonsforsikring'!C31+'Protector Forsikring'!C31+'SHB Liv'!C31+'Sparebank 1'!C31+'Storebrand Livsforsikring'!C31+'Telenor Forsikring'!C31+'Tryg Forsikring'!C31+'WaterCircle F'!C31+'Codan Forsikring'!C31+'Euro Accident'!C31</f>
        <v>23180454.508029722</v>
      </c>
      <c r="D31" s="27">
        <f>IF($A$1=4,IF(B31=0, "    ---- ", IF(ABS(ROUND(100/B31*C31-100,1))&lt;999,ROUND(100/B31*C31-100,1),IF(ROUND(100/B31*C31-100,1)&gt;999,999,-999))),"")</f>
        <v>-5.3</v>
      </c>
      <c r="E31" s="44">
        <f>'Fremtind Livsforsikring'!F31+'Danica Pensjonsforsikring'!F31+'DNB Livsforsikring'!F31+'Eika Forsikring AS'!F31+'Frende Livsforsikring'!F31+'Frende Skadeforsikring'!F31+'Gjensidige Forsikring'!F31+'Gjensidige Pensjon'!F31+'Handelsbanken Liv'!F31+'If Skadeforsikring NUF'!F31+KLP!F31+'DNB Bedriftspensjon'!F31+'KLP Skadeforsikring AS'!F31+'Landkreditt Forsikring'!F31+Insr!F31+'Nordea Liv '!F31+'Oslo Pensjonsforsikring'!F31+'Protector Forsikring'!F31+'SHB Liv'!F31+'Sparebank 1'!F31+'Storebrand Livsforsikring'!F31+'Telenor Forsikring'!F31+'Tryg Forsikring'!F31+'WaterCircle F'!F31+'Codan Forsikring'!F31+'Euro Accident'!F31</f>
        <v>8637339.2014900316</v>
      </c>
      <c r="F31" s="44">
        <f>'Fremtind Livsforsikring'!G31+'Danica Pensjonsforsikring'!G31+'DNB Livsforsikring'!G31+'Eika Forsikring AS'!G31+'Frende Livsforsikring'!G31+'Frende Skadeforsikring'!G31+'Gjensidige Forsikring'!G31+'Gjensidige Pensjon'!G31+'Handelsbanken Liv'!G31+'If Skadeforsikring NUF'!G31+KLP!G31+'DNB Bedriftspensjon'!G31+'KLP Skadeforsikring AS'!G31+'Landkreditt Forsikring'!G31+Insr!G31+'Nordea Liv '!G31+'Oslo Pensjonsforsikring'!G31+'Protector Forsikring'!G31+'SHB Liv'!G31+'Sparebank 1'!G31+'Storebrand Livsforsikring'!G31+'Telenor Forsikring'!G31+'Tryg Forsikring'!G31+'WaterCircle F'!G31+'Codan Forsikring'!G31+'Euro Accident'!G31</f>
        <v>9753494.5611393005</v>
      </c>
      <c r="G31" s="166">
        <f>IF($A$1=4,IF(E31=0, "    ---- ", IF(ABS(ROUND(100/E31*F31-100,1))&lt;999,ROUND(100/E31*F31-100,1),IF(ROUND(100/E31*F31-100,1)&gt;999,999,-999))),"")</f>
        <v>12.9</v>
      </c>
      <c r="H31" s="211">
        <f t="shared" si="8"/>
        <v>33124848.234028682</v>
      </c>
      <c r="I31" s="44">
        <f t="shared" si="6"/>
        <v>32933949.069169022</v>
      </c>
      <c r="J31" s="23">
        <f t="shared" si="7"/>
        <v>-0.6</v>
      </c>
    </row>
    <row r="32" spans="1:11" ht="15.75" customHeight="1" x14ac:dyDescent="0.2">
      <c r="A32" s="547" t="s">
        <v>346</v>
      </c>
      <c r="B32" s="44">
        <f>'Fremtind Livsforsikring'!B32+'Danica Pensjonsforsikring'!B32+'DNB Livsforsikring'!B32+'Eika Forsikring AS'!B32+'Frende Livsforsikring'!B32+'Frende Skadeforsikring'!B32+'Gjensidige Forsikring'!B32+'Gjensidige Pensjon'!B32+'Handelsbanken Liv'!B32+'If Skadeforsikring NUF'!B32+KLP!B32+'DNB Bedriftspensjon'!B32+'KLP Skadeforsikring AS'!B32+'Landkreditt Forsikring'!B32+Insr!B32+'Nordea Liv '!B32+'Oslo Pensjonsforsikring'!B32+'Protector Forsikring'!B32+'SHB Liv'!B32+'Sparebank 1'!B32+'Storebrand Livsforsikring'!B32+'Telenor Forsikring'!B32+'Tryg Forsikring'!B32+'WaterCircle F'!B32+'Codan Forsikring'!B32+'Euro Accident'!B32</f>
        <v>2978065.905217343</v>
      </c>
      <c r="C32" s="44">
        <f>'Fremtind Livsforsikring'!C32+'Danica Pensjonsforsikring'!C32+'DNB Livsforsikring'!C32+'Eika Forsikring AS'!C32+'Frende Livsforsikring'!C32+'Frende Skadeforsikring'!C32+'Gjensidige Forsikring'!C32+'Gjensidige Pensjon'!C32+'Handelsbanken Liv'!C32+'If Skadeforsikring NUF'!C32+KLP!C32+'DNB Bedriftspensjon'!C32+'KLP Skadeforsikring AS'!C32+'Landkreditt Forsikring'!C32+Insr!C32+'Nordea Liv '!C32+'Oslo Pensjonsforsikring'!C32+'Protector Forsikring'!C32+'SHB Liv'!C32+'Sparebank 1'!C32+'Storebrand Livsforsikring'!C32+'Telenor Forsikring'!C32+'Tryg Forsikring'!C32+'WaterCircle F'!C32+'Codan Forsikring'!C32+'Euro Accident'!C32</f>
        <v>2948415.223797882</v>
      </c>
      <c r="D32" s="27">
        <f>IF($A$1=4,IF(B32=0, "    ---- ", IF(ABS(ROUND(100/B32*C32-100,1))&lt;999,ROUND(100/B32*C32-100,1),IF(ROUND(100/B32*C32-100,1)&gt;999,999,-999))),"")</f>
        <v>-1</v>
      </c>
      <c r="E32" s="44">
        <f>'Fremtind Livsforsikring'!F32+'Danica Pensjonsforsikring'!F32+'DNB Livsforsikring'!F32+'Eika Forsikring AS'!F32+'Frende Livsforsikring'!F32+'Frende Skadeforsikring'!F32+'Gjensidige Forsikring'!F32+'Gjensidige Pensjon'!F32+'Handelsbanken Liv'!F32+'If Skadeforsikring NUF'!F32+KLP!F32+'DNB Bedriftspensjon'!F32+'KLP Skadeforsikring AS'!F32+'Landkreditt Forsikring'!F32+Insr!F32+'Nordea Liv '!F32+'Oslo Pensjonsforsikring'!F32+'Protector Forsikring'!F32+'SHB Liv'!F32+'Sparebank 1'!F32+'Storebrand Livsforsikring'!F32+'Telenor Forsikring'!F32+'Tryg Forsikring'!F32+'WaterCircle F'!F32+'Codan Forsikring'!F32+'Euro Accident'!F32</f>
        <v>4266039.6849443708</v>
      </c>
      <c r="F32" s="44">
        <f>'Fremtind Livsforsikring'!G32+'Danica Pensjonsforsikring'!G32+'DNB Livsforsikring'!G32+'Eika Forsikring AS'!G32+'Frende Livsforsikring'!G32+'Frende Skadeforsikring'!G32+'Gjensidige Forsikring'!G32+'Gjensidige Pensjon'!G32+'Handelsbanken Liv'!G32+'If Skadeforsikring NUF'!G32+KLP!G32+'DNB Bedriftspensjon'!G32+'KLP Skadeforsikring AS'!G32+'Landkreditt Forsikring'!G32+Insr!G32+'Nordea Liv '!G32+'Oslo Pensjonsforsikring'!G32+'Protector Forsikring'!G32+'SHB Liv'!G32+'Sparebank 1'!G32+'Storebrand Livsforsikring'!G32+'Telenor Forsikring'!G32+'Tryg Forsikring'!G32+'WaterCircle F'!G32+'Codan Forsikring'!G32+'Euro Accident'!G32</f>
        <v>5446847.31374026</v>
      </c>
      <c r="G32" s="166">
        <f>IF($A$1=4,IF(E32=0, "    ---- ", IF(ABS(ROUND(100/E32*F32-100,1))&lt;999,ROUND(100/E32*F32-100,1),IF(ROUND(100/E32*F32-100,1)&gt;999,999,-999))),"")</f>
        <v>27.7</v>
      </c>
      <c r="H32" s="211">
        <f t="shared" si="8"/>
        <v>7244105.5901617138</v>
      </c>
      <c r="I32" s="44">
        <f t="shared" si="6"/>
        <v>8395262.537538141</v>
      </c>
      <c r="J32" s="23">
        <f t="shared" si="7"/>
        <v>15.9</v>
      </c>
    </row>
    <row r="33" spans="1:10" ht="15.75" customHeight="1" x14ac:dyDescent="0.2">
      <c r="A33" s="547" t="s">
        <v>347</v>
      </c>
      <c r="B33" s="44">
        <f>'Fremtind Livsforsikring'!B33+'Danica Pensjonsforsikring'!B33+'DNB Livsforsikring'!B33+'Eika Forsikring AS'!B33+'Frende Livsforsikring'!B33+'Frende Skadeforsikring'!B33+'Gjensidige Forsikring'!B33+'Gjensidige Pensjon'!B33+'Handelsbanken Liv'!B33+'If Skadeforsikring NUF'!B33+KLP!B33+'DNB Bedriftspensjon'!B33+'KLP Skadeforsikring AS'!B33+'Landkreditt Forsikring'!B33+Insr!B33+'Nordea Liv '!B33+'Oslo Pensjonsforsikring'!B33+'Protector Forsikring'!B33+'SHB Liv'!B33+'Sparebank 1'!B33+'Storebrand Livsforsikring'!B33+'Telenor Forsikring'!B33+'Tryg Forsikring'!B33+'WaterCircle F'!B33+'Codan Forsikring'!B33+'Euro Accident'!B33</f>
        <v>0</v>
      </c>
      <c r="C33" s="44">
        <f>'Fremtind Livsforsikring'!C33+'Danica Pensjonsforsikring'!C33+'DNB Livsforsikring'!C33+'Eika Forsikring AS'!C33+'Frende Livsforsikring'!C33+'Frende Skadeforsikring'!C33+'Gjensidige Forsikring'!C33+'Gjensidige Pensjon'!C33+'Handelsbanken Liv'!C33+'If Skadeforsikring NUF'!C33+KLP!C33+'DNB Bedriftspensjon'!C33+'KLP Skadeforsikring AS'!C33+'Landkreditt Forsikring'!C33+Insr!C33+'Nordea Liv '!C33+'Oslo Pensjonsforsikring'!C33+'Protector Forsikring'!C33+'SHB Liv'!C33+'Sparebank 1'!C33+'Storebrand Livsforsikring'!C33+'Telenor Forsikring'!C33+'Tryg Forsikring'!C33+'WaterCircle F'!C33+'Codan Forsikring'!C33+'Euro Accident'!C33</f>
        <v>0</v>
      </c>
      <c r="D33" s="27"/>
      <c r="E33" s="44">
        <f>'Fremtind Livsforsikring'!F33+'Danica Pensjonsforsikring'!F33+'DNB Livsforsikring'!F33+'Eika Forsikring AS'!F33+'Frende Livsforsikring'!F33+'Frende Skadeforsikring'!F33+'Gjensidige Forsikring'!F33+'Gjensidige Pensjon'!F33+'Handelsbanken Liv'!F33+'If Skadeforsikring NUF'!F33+KLP!F33+'DNB Bedriftspensjon'!F33+'KLP Skadeforsikring AS'!F33+'Landkreditt Forsikring'!F33+Insr!F33+'Nordea Liv '!F33+'Oslo Pensjonsforsikring'!F33+'Protector Forsikring'!F33+'SHB Liv'!F33+'Sparebank 1'!F33+'Storebrand Livsforsikring'!F33+'Telenor Forsikring'!F33+'Tryg Forsikring'!F33+'WaterCircle F'!F33+'Codan Forsikring'!F33+'Euro Accident'!F33</f>
        <v>3235657.0112156319</v>
      </c>
      <c r="F33" s="44">
        <f>'Fremtind Livsforsikring'!G33+'Danica Pensjonsforsikring'!G33+'DNB Livsforsikring'!G33+'Eika Forsikring AS'!G33+'Frende Livsforsikring'!G33+'Frende Skadeforsikring'!G33+'Gjensidige Forsikring'!G33+'Gjensidige Pensjon'!G33+'Handelsbanken Liv'!G33+'If Skadeforsikring NUF'!G33+KLP!G33+'DNB Bedriftspensjon'!G33+'KLP Skadeforsikring AS'!G33+'Landkreditt Forsikring'!G33+Insr!G33+'Nordea Liv '!G33+'Oslo Pensjonsforsikring'!G33+'Protector Forsikring'!G33+'SHB Liv'!G33+'Sparebank 1'!G33+'Storebrand Livsforsikring'!G33+'Telenor Forsikring'!G33+'Tryg Forsikring'!G33+'WaterCircle F'!G33+'Codan Forsikring'!G33+'Euro Accident'!G33</f>
        <v>5598449.0593854096</v>
      </c>
      <c r="G33" s="166">
        <f>IF($A$1=4,IF(E33=0, "    ---- ", IF(ABS(ROUND(100/E33*F33-100,1))&lt;999,ROUND(100/E33*F33-100,1),IF(ROUND(100/E33*F33-100,1)&gt;999,999,-999))),"")</f>
        <v>73</v>
      </c>
      <c r="H33" s="211">
        <f>SUM(B33,E33)</f>
        <v>3235657.0112156319</v>
      </c>
      <c r="I33" s="44">
        <f>SUM(C33,F33)</f>
        <v>5598449.0593854096</v>
      </c>
      <c r="J33" s="23">
        <f>IF(H33=0, "    ---- ", IF(ABS(ROUND(100/H33*I33-100,1))&lt;999,ROUND(100/H33*I33-100,1),IF(ROUND(100/H33*I33-100,1)&gt;999,999,-999)))</f>
        <v>73</v>
      </c>
    </row>
    <row r="34" spans="1:10" s="43" customFormat="1" ht="15.75" customHeight="1" x14ac:dyDescent="0.2">
      <c r="A34" s="39" t="s">
        <v>342</v>
      </c>
      <c r="B34" s="213">
        <f>'Fremtind Livsforsikring'!B34+'Danica Pensjonsforsikring'!B34+'DNB Livsforsikring'!B34+'Eika Forsikring AS'!B34+'Frende Livsforsikring'!B34+'Frende Skadeforsikring'!B34+'Gjensidige Forsikring'!B34+'Gjensidige Pensjon'!B34+'Handelsbanken Liv'!B34+'If Skadeforsikring NUF'!B34+KLP!B34+'DNB Bedriftspensjon'!B34+'KLP Skadeforsikring AS'!B34+'Landkreditt Forsikring'!B34+Insr!B34+'Nordea Liv '!B34+'Oslo Pensjonsforsikring'!B34+'Protector Forsikring'!B34+'SHB Liv'!B34+'Sparebank 1'!B34+'Storebrand Livsforsikring'!B34+'Telenor Forsikring'!B34+'Tryg Forsikring'!B34+'WaterCircle F'!B34+'Codan Forsikring'!B34+'Euro Accident'!B34</f>
        <v>6440.9629999999997</v>
      </c>
      <c r="C34" s="213">
        <f>'Fremtind Livsforsikring'!C34+'Danica Pensjonsforsikring'!C34+'DNB Livsforsikring'!C34+'Eika Forsikring AS'!C34+'Frende Livsforsikring'!C34+'Frende Skadeforsikring'!C34+'Gjensidige Forsikring'!C34+'Gjensidige Pensjon'!C34+'Handelsbanken Liv'!C34+'If Skadeforsikring NUF'!C34+KLP!C34+'DNB Bedriftspensjon'!C34+'KLP Skadeforsikring AS'!C34+'Landkreditt Forsikring'!C34+Insr!C34+'Nordea Liv '!C34+'Oslo Pensjonsforsikring'!C34+'Protector Forsikring'!C34+'SHB Liv'!C34+'Sparebank 1'!C34+'Storebrand Livsforsikring'!C34+'Telenor Forsikring'!C34+'Tryg Forsikring'!C34+'WaterCircle F'!C34+'Codan Forsikring'!C34+'Euro Accident'!C34</f>
        <v>4439.8509999999997</v>
      </c>
      <c r="D34" s="24">
        <f t="shared" si="5"/>
        <v>-31.1</v>
      </c>
      <c r="E34" s="284">
        <f>'Fremtind Livsforsikring'!F34+'Danica Pensjonsforsikring'!F34+'DNB Livsforsikring'!F34+'Eika Forsikring AS'!F34+'Frende Livsforsikring'!F34+'Frende Skadeforsikring'!F34+'Gjensidige Forsikring'!F34+'Gjensidige Pensjon'!F34+'Handelsbanken Liv'!F34+'If Skadeforsikring NUF'!F34+KLP!F34+'DNB Bedriftspensjon'!F34+'KLP Skadeforsikring AS'!F34+'Landkreditt Forsikring'!F34+Insr!F34+'Nordea Liv '!F34+'Oslo Pensjonsforsikring'!F34+'Protector Forsikring'!F34+'SHB Liv'!F34+'Sparebank 1'!F34+'Storebrand Livsforsikring'!F34+'Telenor Forsikring'!F34+'Tryg Forsikring'!F34+'WaterCircle F'!F34+'Codan Forsikring'!F34+'Euro Accident'!F34</f>
        <v>11228.54977</v>
      </c>
      <c r="F34" s="284">
        <f>'Fremtind Livsforsikring'!G34+'Danica Pensjonsforsikring'!G34+'DNB Livsforsikring'!G34+'Eika Forsikring AS'!G34+'Frende Livsforsikring'!G34+'Frende Skadeforsikring'!G34+'Gjensidige Forsikring'!G34+'Gjensidige Pensjon'!G34+'Handelsbanken Liv'!G34+'If Skadeforsikring NUF'!G34+KLP!G34+'DNB Bedriftspensjon'!G34+'KLP Skadeforsikring AS'!G34+'Landkreditt Forsikring'!G34+Insr!G34+'Nordea Liv '!G34+'Oslo Pensjonsforsikring'!G34+'Protector Forsikring'!G34+'SHB Liv'!G34+'Sparebank 1'!G34+'Storebrand Livsforsikring'!G34+'Telenor Forsikring'!G34+'Tryg Forsikring'!G34+'WaterCircle F'!G34+'Codan Forsikring'!G34+'Euro Accident'!G34</f>
        <v>-25799.089139999996</v>
      </c>
      <c r="G34" s="171">
        <f>IF(E34=0, "    ---- ", IF(ABS(ROUND(100/E34*F34-100,1))&lt;999,ROUND(100/E34*F34-100,1),IF(ROUND(100/E34*F34-100,1)&gt;999,999,-999)))</f>
        <v>-329.8</v>
      </c>
      <c r="H34" s="284">
        <f t="shared" si="8"/>
        <v>17669.512770000001</v>
      </c>
      <c r="I34" s="213">
        <f t="shared" si="6"/>
        <v>-21359.238139999998</v>
      </c>
      <c r="J34" s="24">
        <f t="shared" si="7"/>
        <v>-220.9</v>
      </c>
    </row>
    <row r="35" spans="1:10" s="43" customFormat="1" ht="15.75" customHeight="1" x14ac:dyDescent="0.2">
      <c r="A35" s="39" t="s">
        <v>343</v>
      </c>
      <c r="B35" s="213">
        <f>'Fremtind Livsforsikring'!B35+'Danica Pensjonsforsikring'!B35+'DNB Livsforsikring'!B35+'Eika Forsikring AS'!B35+'Frende Livsforsikring'!B35+'Frende Skadeforsikring'!B35+'Gjensidige Forsikring'!B35+'Gjensidige Pensjon'!B35+'Handelsbanken Liv'!B35+'If Skadeforsikring NUF'!B35+KLP!B35+'DNB Bedriftspensjon'!B35+'KLP Skadeforsikring AS'!B35+'Landkreditt Forsikring'!B35+Insr!B35+'Nordea Liv '!B35+'Oslo Pensjonsforsikring'!B35+'Protector Forsikring'!B35+'SHB Liv'!B35+'Sparebank 1'!B35+'Storebrand Livsforsikring'!B35+'Telenor Forsikring'!B35+'Tryg Forsikring'!B35+'WaterCircle F'!B35+'Codan Forsikring'!B35+'Euro Accident'!B35</f>
        <v>-20461.540779999999</v>
      </c>
      <c r="C35" s="213">
        <f>'Fremtind Livsforsikring'!C35+'Danica Pensjonsforsikring'!C35+'DNB Livsforsikring'!C35+'Eika Forsikring AS'!C35+'Frende Livsforsikring'!C35+'Frende Skadeforsikring'!C35+'Gjensidige Forsikring'!C35+'Gjensidige Pensjon'!C35+'Handelsbanken Liv'!C35+'If Skadeforsikring NUF'!C35+KLP!C35+'DNB Bedriftspensjon'!C35+'KLP Skadeforsikring AS'!C35+'Landkreditt Forsikring'!C35+Insr!C35+'Nordea Liv '!C35+'Oslo Pensjonsforsikring'!C35+'Protector Forsikring'!C35+'SHB Liv'!C35+'Sparebank 1'!C35+'Storebrand Livsforsikring'!C35+'Telenor Forsikring'!C35+'Tryg Forsikring'!C35+'WaterCircle F'!C35+'Codan Forsikring'!C35+'Euro Accident'!C35</f>
        <v>-51637.385999999999</v>
      </c>
      <c r="D35" s="24">
        <f t="shared" si="5"/>
        <v>152.4</v>
      </c>
      <c r="E35" s="284">
        <f>'Fremtind Livsforsikring'!F35+'Danica Pensjonsforsikring'!F35+'DNB Livsforsikring'!F35+'Eika Forsikring AS'!F35+'Frende Livsforsikring'!F35+'Frende Skadeforsikring'!F35+'Gjensidige Forsikring'!F35+'Gjensidige Pensjon'!F35+'Handelsbanken Liv'!F35+'If Skadeforsikring NUF'!F35+KLP!F35+'DNB Bedriftspensjon'!F35+'KLP Skadeforsikring AS'!F35+'Landkreditt Forsikring'!F35+Insr!F35+'Nordea Liv '!F35+'Oslo Pensjonsforsikring'!F35+'Protector Forsikring'!F35+'SHB Liv'!F35+'Sparebank 1'!F35+'Storebrand Livsforsikring'!F35+'Telenor Forsikring'!F35+'Tryg Forsikring'!F35+'WaterCircle F'!F35+'Codan Forsikring'!F35+'Euro Accident'!F35</f>
        <v>45525.392039999999</v>
      </c>
      <c r="F35" s="284">
        <f>'Fremtind Livsforsikring'!G35+'Danica Pensjonsforsikring'!G35+'DNB Livsforsikring'!G35+'Eika Forsikring AS'!G35+'Frende Livsforsikring'!G35+'Frende Skadeforsikring'!G35+'Gjensidige Forsikring'!G35+'Gjensidige Pensjon'!G35+'Handelsbanken Liv'!G35+'If Skadeforsikring NUF'!G35+KLP!G35+'DNB Bedriftspensjon'!G35+'KLP Skadeforsikring AS'!G35+'Landkreditt Forsikring'!G35+Insr!G35+'Nordea Liv '!G35+'Oslo Pensjonsforsikring'!G35+'Protector Forsikring'!G35+'SHB Liv'!G35+'Sparebank 1'!G35+'Storebrand Livsforsikring'!G35+'Telenor Forsikring'!G35+'Tryg Forsikring'!G35+'WaterCircle F'!G35+'Codan Forsikring'!G35+'Euro Accident'!G35</f>
        <v>60364.423900000009</v>
      </c>
      <c r="G35" s="171">
        <f>IF(E35=0, "    ---- ", IF(ABS(ROUND(100/E35*F35-100,1))&lt;999,ROUND(100/E35*F35-100,1),IF(ROUND(100/E35*F35-100,1)&gt;999,999,-999)))</f>
        <v>32.6</v>
      </c>
      <c r="H35" s="284">
        <f t="shared" si="8"/>
        <v>25063.851259999999</v>
      </c>
      <c r="I35" s="213">
        <f t="shared" si="6"/>
        <v>8727.0379000000103</v>
      </c>
      <c r="J35" s="24">
        <f t="shared" si="7"/>
        <v>-65.2</v>
      </c>
    </row>
    <row r="36" spans="1:10" s="43" customFormat="1" ht="15.75" customHeight="1" x14ac:dyDescent="0.2">
      <c r="A36" s="12" t="s">
        <v>260</v>
      </c>
      <c r="B36" s="213">
        <f>'Fremtind Livsforsikring'!B36+'Danica Pensjonsforsikring'!B36+'DNB Livsforsikring'!B36+'Eika Forsikring AS'!B36+'Frende Livsforsikring'!B36+'Frende Skadeforsikring'!B36+'Gjensidige Forsikring'!B36+'Gjensidige Pensjon'!B36+'Handelsbanken Liv'!B36+'If Skadeforsikring NUF'!B36+KLP!B36+'DNB Bedriftspensjon'!B36+'KLP Skadeforsikring AS'!B36+'Landkreditt Forsikring'!B36+Insr!B36+'Nordea Liv '!B36+'Oslo Pensjonsforsikring'!B36+'Protector Forsikring'!B36+'SHB Liv'!B36+'Sparebank 1'!B36+'Storebrand Livsforsikring'!B36+'Telenor Forsikring'!B36+'Tryg Forsikring'!B36+'WaterCircle F'!B36+'Codan Forsikring'!B36+'Euro Accident'!B36</f>
        <v>686.60799999999995</v>
      </c>
      <c r="C36" s="213">
        <f>'Fremtind Livsforsikring'!C36+'Danica Pensjonsforsikring'!C36+'DNB Livsforsikring'!C36+'Eika Forsikring AS'!C36+'Frende Livsforsikring'!C36+'Frende Skadeforsikring'!C36+'Gjensidige Forsikring'!C36+'Gjensidige Pensjon'!C36+'Handelsbanken Liv'!C36+'If Skadeforsikring NUF'!C36+KLP!C36+'DNB Bedriftspensjon'!C36+'KLP Skadeforsikring AS'!C36+'Landkreditt Forsikring'!C36+Insr!C36+'Nordea Liv '!C36+'Oslo Pensjonsforsikring'!C36+'Protector Forsikring'!C36+'SHB Liv'!C36+'Sparebank 1'!C36+'Storebrand Livsforsikring'!C36+'Telenor Forsikring'!C36+'Tryg Forsikring'!C36+'WaterCircle F'!C36+'Codan Forsikring'!C36+'Euro Accident'!C36</f>
        <v>999.26</v>
      </c>
      <c r="D36" s="11">
        <f t="shared" si="5"/>
        <v>45.5</v>
      </c>
      <c r="E36" s="295">
        <f>'Fremtind Livsforsikring'!F36+'Danica Pensjonsforsikring'!F36+'DNB Livsforsikring'!F36+'Eika Forsikring AS'!F36+'Frende Livsforsikring'!F36+'Frende Skadeforsikring'!F36+'Gjensidige Forsikring'!F36+'Gjensidige Pensjon'!F36+'Handelsbanken Liv'!F36+'If Skadeforsikring NUF'!F36+KLP!F36+'DNB Bedriftspensjon'!F36+'KLP Skadeforsikring AS'!F36+'Landkreditt Forsikring'!F36+Insr!F36+'Nordea Liv '!F36+'Oslo Pensjonsforsikring'!F36+'Protector Forsikring'!F36+'SHB Liv'!F36+'Sparebank 1'!F36+'Storebrand Livsforsikring'!F36+'Telenor Forsikring'!F36+'Tryg Forsikring'!F36+'WaterCircle F'!F36+'Codan Forsikring'!F36+'Euro Accident'!F36</f>
        <v>0</v>
      </c>
      <c r="F36" s="295">
        <f>'Fremtind Livsforsikring'!G36+'Danica Pensjonsforsikring'!G36+'DNB Livsforsikring'!G36+'Eika Forsikring AS'!G36+'Frende Livsforsikring'!G36+'Frende Skadeforsikring'!G36+'Gjensidige Forsikring'!G36+'Gjensidige Pensjon'!G36+'Handelsbanken Liv'!G36+'If Skadeforsikring NUF'!G36+KLP!G36+'DNB Bedriftspensjon'!G36+'KLP Skadeforsikring AS'!G36+'Landkreditt Forsikring'!G36+Insr!G36+'Nordea Liv '!G36+'Oslo Pensjonsforsikring'!G36+'Protector Forsikring'!G36+'SHB Liv'!G36+'Sparebank 1'!G36+'Storebrand Livsforsikring'!G36+'Telenor Forsikring'!G36+'Tryg Forsikring'!G36+'WaterCircle F'!G36+'Codan Forsikring'!G36+'Euro Accident'!G36</f>
        <v>0</v>
      </c>
      <c r="G36" s="171"/>
      <c r="H36" s="284">
        <f t="shared" si="8"/>
        <v>686.60799999999995</v>
      </c>
      <c r="I36" s="213">
        <f t="shared" si="6"/>
        <v>999.26</v>
      </c>
      <c r="J36" s="11">
        <f t="shared" si="7"/>
        <v>45.5</v>
      </c>
    </row>
    <row r="37" spans="1:10" s="43" customFormat="1" ht="15.75" customHeight="1" x14ac:dyDescent="0.2">
      <c r="A37" s="548" t="s">
        <v>349</v>
      </c>
      <c r="B37" s="213">
        <f>'Fremtind Livsforsikring'!B37+'Danica Pensjonsforsikring'!B37+'DNB Livsforsikring'!B37+'Eika Forsikring AS'!B37+'Frende Livsforsikring'!B37+'Frende Skadeforsikring'!B37+'Gjensidige Forsikring'!B37+'Gjensidige Pensjon'!B37+'Handelsbanken Liv'!B37+'If Skadeforsikring NUF'!B37+KLP!B37+'DNB Bedriftspensjon'!B37+'KLP Skadeforsikring AS'!B37+'Landkreditt Forsikring'!B37+Insr!B37+'Nordea Liv '!B37+'Oslo Pensjonsforsikring'!B37+'Protector Forsikring'!B37+'SHB Liv'!B37+'Sparebank 1'!B37+'Storebrand Livsforsikring'!B37+'Telenor Forsikring'!B37+'Tryg Forsikring'!B37+'WaterCircle F'!B37+'Codan Forsikring'!B37+'Euro Accident'!B37</f>
        <v>3566636.5660000001</v>
      </c>
      <c r="C37" s="213">
        <f>'Fremtind Livsforsikring'!C37+'Danica Pensjonsforsikring'!C37+'DNB Livsforsikring'!C37+'Eika Forsikring AS'!C37+'Frende Livsforsikring'!C37+'Frende Skadeforsikring'!C37+'Gjensidige Forsikring'!C37+'Gjensidige Pensjon'!C37+'Handelsbanken Liv'!C37+'If Skadeforsikring NUF'!C37+KLP!C37+'DNB Bedriftspensjon'!C37+'KLP Skadeforsikring AS'!C37+'Landkreditt Forsikring'!C37+Insr!C37+'Nordea Liv '!C37+'Oslo Pensjonsforsikring'!C37+'Protector Forsikring'!C37+'SHB Liv'!C37+'Sparebank 1'!C37+'Storebrand Livsforsikring'!C37+'Telenor Forsikring'!C37+'Tryg Forsikring'!C37+'WaterCircle F'!C37+'Codan Forsikring'!C37+'Euro Accident'!C37</f>
        <v>3348615.6830000002</v>
      </c>
      <c r="D37" s="24">
        <f t="shared" si="5"/>
        <v>-6.1</v>
      </c>
      <c r="E37" s="300">
        <f>'Fremtind Livsforsikring'!F37+'Danica Pensjonsforsikring'!F37+'DNB Livsforsikring'!F37+'Eika Forsikring AS'!F37+'Frende Livsforsikring'!F37+'Frende Skadeforsikring'!F37+'Gjensidige Forsikring'!F37+'Gjensidige Pensjon'!F37+'Handelsbanken Liv'!F37+'If Skadeforsikring NUF'!F37+KLP!F37+'DNB Bedriftspensjon'!F37+'KLP Skadeforsikring AS'!F37+'Landkreditt Forsikring'!F37+Insr!F37+'Nordea Liv '!F37+'Oslo Pensjonsforsikring'!F37+'Protector Forsikring'!F37+'SHB Liv'!F37+'Sparebank 1'!F37+'Storebrand Livsforsikring'!F37+'Telenor Forsikring'!F37+'Tryg Forsikring'!F37+'WaterCircle F'!F37+'Codan Forsikring'!F37+'Euro Accident'!F37</f>
        <v>0</v>
      </c>
      <c r="F37" s="300">
        <f>'Fremtind Livsforsikring'!G37+'Danica Pensjonsforsikring'!G37+'DNB Livsforsikring'!G37+'Eika Forsikring AS'!G37+'Frende Livsforsikring'!G37+'Frende Skadeforsikring'!G37+'Gjensidige Forsikring'!G37+'Gjensidige Pensjon'!G37+'Handelsbanken Liv'!G37+'If Skadeforsikring NUF'!G37+KLP!G37+'DNB Bedriftspensjon'!G37+'KLP Skadeforsikring AS'!G37+'Landkreditt Forsikring'!G37+Insr!G37+'Nordea Liv '!G37+'Oslo Pensjonsforsikring'!G37+'Protector Forsikring'!G37+'SHB Liv'!G37+'Sparebank 1'!G37+'Storebrand Livsforsikring'!G37+'Telenor Forsikring'!G37+'Tryg Forsikring'!G37+'WaterCircle F'!G37+'Codan Forsikring'!G37+'Euro Accident'!G37</f>
        <v>0</v>
      </c>
      <c r="G37" s="171"/>
      <c r="H37" s="284">
        <f t="shared" si="8"/>
        <v>3566636.5660000001</v>
      </c>
      <c r="I37" s="213">
        <f t="shared" si="6"/>
        <v>3348615.6830000002</v>
      </c>
      <c r="J37" s="24">
        <f t="shared" si="7"/>
        <v>-6.1</v>
      </c>
    </row>
    <row r="38" spans="1:10" s="43" customFormat="1" ht="15.75" customHeight="1" x14ac:dyDescent="0.2">
      <c r="A38" s="548" t="s">
        <v>350</v>
      </c>
      <c r="B38" s="213">
        <f>'Fremtind Livsforsikring'!B38+'Danica Pensjonsforsikring'!B38+'DNB Livsforsikring'!B38+'Eika Forsikring AS'!B38+'Frende Livsforsikring'!B38+'Frende Skadeforsikring'!B38+'Gjensidige Forsikring'!B38+'Gjensidige Pensjon'!B38+'Handelsbanken Liv'!B38+'If Skadeforsikring NUF'!B38+KLP!B38+'DNB Bedriftspensjon'!B38+'KLP Skadeforsikring AS'!B38+'Landkreditt Forsikring'!B38+Insr!B38+'Nordea Liv '!B38+'Oslo Pensjonsforsikring'!B38+'Protector Forsikring'!B38+'SHB Liv'!B38+'Sparebank 1'!B38+'Storebrand Livsforsikring'!B38+'Telenor Forsikring'!B38+'Tryg Forsikring'!B38+'WaterCircle F'!B38+'Codan Forsikring'!B38+'Euro Accident'!B38</f>
        <v>0</v>
      </c>
      <c r="C38" s="213">
        <f>'Fremtind Livsforsikring'!C38+'Danica Pensjonsforsikring'!C38+'DNB Livsforsikring'!C38+'Eika Forsikring AS'!C38+'Frende Livsforsikring'!C38+'Frende Skadeforsikring'!C38+'Gjensidige Forsikring'!C38+'Gjensidige Pensjon'!C38+'Handelsbanken Liv'!C38+'If Skadeforsikring NUF'!C38+KLP!C38+'DNB Bedriftspensjon'!C38+'KLP Skadeforsikring AS'!C38+'Landkreditt Forsikring'!C38+Insr!C38+'Nordea Liv '!C38+'Oslo Pensjonsforsikring'!C38+'Protector Forsikring'!C38+'SHB Liv'!C38+'Sparebank 1'!C38+'Storebrand Livsforsikring'!C38+'Telenor Forsikring'!C38+'Tryg Forsikring'!C38+'WaterCircle F'!C38+'Codan Forsikring'!C38+'Euro Accident'!C38</f>
        <v>0</v>
      </c>
      <c r="D38" s="24"/>
      <c r="E38" s="295">
        <f>'Fremtind Livsforsikring'!F38+'Danica Pensjonsforsikring'!F38+'DNB Livsforsikring'!F38+'Eika Forsikring AS'!F38+'Frende Livsforsikring'!F38+'Frende Skadeforsikring'!F38+'Gjensidige Forsikring'!F38+'Gjensidige Pensjon'!F38+'Handelsbanken Liv'!F38+'If Skadeforsikring NUF'!F38+KLP!F38+'DNB Bedriftspensjon'!F38+'KLP Skadeforsikring AS'!F38+'Landkreditt Forsikring'!F38+Insr!F38+'Nordea Liv '!F38+'Oslo Pensjonsforsikring'!F38+'Protector Forsikring'!F38+'SHB Liv'!F38+'Sparebank 1'!F38+'Storebrand Livsforsikring'!F38+'Telenor Forsikring'!F38+'Tryg Forsikring'!F38+'WaterCircle F'!F38+'Codan Forsikring'!F38+'Euro Accident'!F38</f>
        <v>0</v>
      </c>
      <c r="F38" s="301">
        <f>'Fremtind Livsforsikring'!G38+'Danica Pensjonsforsikring'!G38+'DNB Livsforsikring'!G38+'Eika Forsikring AS'!G38+'Frende Livsforsikring'!G38+'Frende Skadeforsikring'!G38+'Gjensidige Forsikring'!G38+'Gjensidige Pensjon'!G38+'Handelsbanken Liv'!G38+'If Skadeforsikring NUF'!G38+KLP!G38+'DNB Bedriftspensjon'!G38+'KLP Skadeforsikring AS'!G38+'Landkreditt Forsikring'!G38+Insr!G38+'Nordea Liv '!G38+'Oslo Pensjonsforsikring'!G38+'Protector Forsikring'!G38+'SHB Liv'!G38+'Sparebank 1'!G38+'Storebrand Livsforsikring'!G38+'Telenor Forsikring'!G38+'Tryg Forsikring'!G38+'WaterCircle F'!G38+'Codan Forsikring'!G38+'Euro Accident'!G38</f>
        <v>0</v>
      </c>
      <c r="G38" s="171"/>
      <c r="H38" s="284">
        <f t="shared" si="8"/>
        <v>0</v>
      </c>
      <c r="I38" s="213">
        <f t="shared" si="6"/>
        <v>0</v>
      </c>
      <c r="J38" s="24"/>
    </row>
    <row r="39" spans="1:10" s="43" customFormat="1" ht="15.75" customHeight="1" x14ac:dyDescent="0.2">
      <c r="A39" s="549" t="s">
        <v>351</v>
      </c>
      <c r="B39" s="253">
        <f>'Fremtind Livsforsikring'!B39+'Danica Pensjonsforsikring'!B39+'DNB Livsforsikring'!B39+'Eika Forsikring AS'!B39+'Frende Livsforsikring'!B39+'Frende Skadeforsikring'!B39+'Gjensidige Forsikring'!B39+'Gjensidige Pensjon'!B39+'Handelsbanken Liv'!B39+'If Skadeforsikring NUF'!B39+KLP!B39+'DNB Bedriftspensjon'!B39+'KLP Skadeforsikring AS'!B39+'Landkreditt Forsikring'!B39+Insr!B39+'Nordea Liv '!B39+'Oslo Pensjonsforsikring'!B39+'Protector Forsikring'!B39+'SHB Liv'!B39+'Sparebank 1'!B39+'Storebrand Livsforsikring'!B39+'Telenor Forsikring'!B39+'Tryg Forsikring'!B39+'WaterCircle F'!B39+'Codan Forsikring'!B39+'Euro Accident'!B39</f>
        <v>0</v>
      </c>
      <c r="C39" s="253">
        <f>'Fremtind Livsforsikring'!C39+'Danica Pensjonsforsikring'!C39+'DNB Livsforsikring'!C39+'Eika Forsikring AS'!C39+'Frende Livsforsikring'!C39+'Frende Skadeforsikring'!C39+'Gjensidige Forsikring'!C39+'Gjensidige Pensjon'!C39+'Handelsbanken Liv'!C39+'If Skadeforsikring NUF'!C39+KLP!C39+'DNB Bedriftspensjon'!C39+'KLP Skadeforsikring AS'!C39+'Landkreditt Forsikring'!C39+Insr!C39+'Nordea Liv '!C39+'Oslo Pensjonsforsikring'!C39+'Protector Forsikring'!C39+'SHB Liv'!C39+'Sparebank 1'!C39+'Storebrand Livsforsikring'!C39+'Telenor Forsikring'!C39+'Tryg Forsikring'!C39+'WaterCircle F'!C39+'Codan Forsikring'!C39+'Euro Accident'!C39</f>
        <v>2</v>
      </c>
      <c r="D39" s="36" t="str">
        <f t="shared" si="5"/>
        <v xml:space="preserve">    ---- </v>
      </c>
      <c r="E39" s="302">
        <f>'Fremtind Livsforsikring'!F39+'Danica Pensjonsforsikring'!F39+'DNB Livsforsikring'!F39+'Eika Forsikring AS'!F39+'Frende Livsforsikring'!F39+'Frende Skadeforsikring'!F39+'Gjensidige Forsikring'!F39+'Gjensidige Pensjon'!F39+'Handelsbanken Liv'!F39+'If Skadeforsikring NUF'!F39+KLP!F39+'DNB Bedriftspensjon'!F39+'KLP Skadeforsikring AS'!F39+'Landkreditt Forsikring'!F39+Insr!F39+'Nordea Liv '!F39+'Oslo Pensjonsforsikring'!F39+'Protector Forsikring'!F39+'SHB Liv'!F39+'Sparebank 1'!F39+'Storebrand Livsforsikring'!F39+'Telenor Forsikring'!F39+'Tryg Forsikring'!F39+'WaterCircle F'!F39+'Codan Forsikring'!F39+'Euro Accident'!F39</f>
        <v>0</v>
      </c>
      <c r="F39" s="302">
        <f>'Fremtind Livsforsikring'!G39+'Danica Pensjonsforsikring'!G39+'DNB Livsforsikring'!G39+'Eika Forsikring AS'!G39+'Frende Livsforsikring'!G39+'Frende Skadeforsikring'!G39+'Gjensidige Forsikring'!G39+'Gjensidige Pensjon'!G39+'Handelsbanken Liv'!G39+'If Skadeforsikring NUF'!G39+KLP!G39+'DNB Bedriftspensjon'!G39+'KLP Skadeforsikring AS'!G39+'Landkreditt Forsikring'!G39+Insr!G39+'Nordea Liv '!G39+'Oslo Pensjonsforsikring'!G39+'Protector Forsikring'!G39+'SHB Liv'!G39+'Sparebank 1'!G39+'Storebrand Livsforsikring'!G39+'Telenor Forsikring'!G39+'Tryg Forsikring'!G39+'WaterCircle F'!G39+'Codan Forsikring'!G39+'Euro Accident'!G39</f>
        <v>0</v>
      </c>
      <c r="G39" s="169"/>
      <c r="H39" s="290">
        <f t="shared" si="8"/>
        <v>0</v>
      </c>
      <c r="I39" s="253">
        <f t="shared" si="6"/>
        <v>2</v>
      </c>
      <c r="J39" s="36" t="str">
        <f t="shared" si="7"/>
        <v xml:space="preserve">    ---- </v>
      </c>
    </row>
    <row r="40" spans="1:10" ht="15.75" customHeight="1" x14ac:dyDescent="0.2">
      <c r="A40" s="47"/>
    </row>
    <row r="41" spans="1:10" ht="15.75" customHeight="1" x14ac:dyDescent="0.2">
      <c r="A41" s="155"/>
    </row>
    <row r="42" spans="1:10" ht="15.75" customHeight="1" x14ac:dyDescent="0.25">
      <c r="A42" s="147" t="s">
        <v>249</v>
      </c>
      <c r="B42" s="689"/>
      <c r="C42" s="689"/>
      <c r="D42" s="689"/>
      <c r="E42" s="693"/>
      <c r="F42" s="693"/>
      <c r="G42" s="693"/>
      <c r="H42" s="693"/>
      <c r="I42" s="693"/>
      <c r="J42" s="693"/>
    </row>
    <row r="43" spans="1:10" ht="15.75" customHeight="1" x14ac:dyDescent="0.25">
      <c r="A43" s="163"/>
      <c r="B43" s="409"/>
      <c r="C43" s="409"/>
      <c r="D43" s="409"/>
      <c r="E43" s="274"/>
      <c r="F43" s="274"/>
      <c r="G43" s="274"/>
      <c r="H43" s="274"/>
      <c r="I43" s="274"/>
      <c r="J43" s="274"/>
    </row>
    <row r="44" spans="1:10" s="3" customFormat="1" ht="15.75" customHeight="1" x14ac:dyDescent="0.25">
      <c r="A44" s="224"/>
      <c r="B44" s="303" t="s">
        <v>0</v>
      </c>
      <c r="C44" s="304"/>
      <c r="D44" s="229"/>
      <c r="E44" s="42"/>
      <c r="F44" s="42"/>
      <c r="G44" s="40"/>
      <c r="H44" s="42"/>
      <c r="I44" s="42"/>
      <c r="J44" s="40"/>
    </row>
    <row r="45" spans="1:10" s="3" customFormat="1" ht="15.75" customHeight="1" x14ac:dyDescent="0.2">
      <c r="A45" s="140"/>
      <c r="B45" s="20" t="s">
        <v>412</v>
      </c>
      <c r="C45" s="20" t="s">
        <v>413</v>
      </c>
      <c r="D45" s="227" t="s">
        <v>3</v>
      </c>
      <c r="E45" s="42"/>
      <c r="F45" s="42"/>
      <c r="G45" s="40"/>
      <c r="H45" s="42"/>
      <c r="I45" s="42"/>
      <c r="J45" s="40"/>
    </row>
    <row r="46" spans="1:10" s="3" customFormat="1" ht="15.75" customHeight="1" x14ac:dyDescent="0.2">
      <c r="A46" s="662"/>
      <c r="B46" s="46"/>
      <c r="C46" s="228"/>
      <c r="D46" s="17" t="s">
        <v>4</v>
      </c>
      <c r="E46" s="40"/>
      <c r="F46" s="40"/>
      <c r="G46" s="40"/>
      <c r="H46" s="40"/>
      <c r="I46" s="40"/>
      <c r="J46" s="40"/>
    </row>
    <row r="47" spans="1:10" s="394" customFormat="1" ht="15.75" customHeight="1" x14ac:dyDescent="0.2">
      <c r="A47" s="14" t="s">
        <v>23</v>
      </c>
      <c r="B47" s="213">
        <f>'Fremtind Livsforsikring'!B47+'Danica Pensjonsforsikring'!B47+'DNB Livsforsikring'!B47+'Eika Forsikring AS'!B47+'Frende Livsforsikring'!B47+'Frende Skadeforsikring'!B47+'Gjensidige Forsikring'!B47+'Gjensidige Pensjon'!B47+'Handelsbanken Liv'!B47+'If Skadeforsikring NUF'!B47+KLP!B47+'DNB Bedriftspensjon'!B47+'KLP Skadeforsikring AS'!B47+'Landkreditt Forsikring'!B47+Insr!B47+'Nordea Liv '!B47+'Oslo Pensjonsforsikring'!B47+'Protector Forsikring'!B47+'SHB Liv'!B47+'Sparebank 1'!B47+'Storebrand Livsforsikring'!B47+'Telenor Forsikring'!B47+'Tryg Forsikring'!B47+'WaterCircle F'!B47+'Codan Forsikring'!B47+'Euro Accident'!B47</f>
        <v>2885226.4238871019</v>
      </c>
      <c r="C47" s="213">
        <f>'Fremtind Livsforsikring'!C47+'Danica Pensjonsforsikring'!C47+'DNB Livsforsikring'!C47+'Eika Forsikring AS'!C47+'Frende Livsforsikring'!C47+'Frende Skadeforsikring'!C47+'Gjensidige Forsikring'!C47+'Gjensidige Pensjon'!C47+'Handelsbanken Liv'!C47+'If Skadeforsikring NUF'!C47+KLP!C47+'DNB Bedriftspensjon'!C47+'KLP Skadeforsikring AS'!C47+'Landkreditt Forsikring'!C47+Insr!C47+'Nordea Liv '!C47+'Oslo Pensjonsforsikring'!C47+'Protector Forsikring'!C47+'SHB Liv'!C47+'Sparebank 1'!C47+'Storebrand Livsforsikring'!C47+'Telenor Forsikring'!C47+'Tryg Forsikring'!C47+'WaterCircle F'!C47+'Codan Forsikring'!C47+'Euro Accident'!C47</f>
        <v>3163569.7775028311</v>
      </c>
      <c r="D47" s="24">
        <f t="shared" ref="D47:D57" si="9">IF(B47=0, "    ---- ", IF(ABS(ROUND(100/B47*C47-100,1))&lt;999,ROUND(100/B47*C47-100,1),IF(ROUND(100/B47*C47-100,1)&gt;999,999,-999)))</f>
        <v>9.6</v>
      </c>
      <c r="E47" s="395"/>
      <c r="F47" s="396"/>
      <c r="G47" s="32"/>
      <c r="H47" s="397"/>
      <c r="I47" s="397"/>
      <c r="J47" s="32"/>
    </row>
    <row r="48" spans="1:10" s="3" customFormat="1" ht="15.75" customHeight="1" x14ac:dyDescent="0.2">
      <c r="A48" s="38" t="s">
        <v>352</v>
      </c>
      <c r="B48" s="44">
        <f>'Fremtind Livsforsikring'!B48+'Danica Pensjonsforsikring'!B48+'DNB Livsforsikring'!B48+'Eika Forsikring AS'!B48+'Frende Livsforsikring'!B48+'Frende Skadeforsikring'!B48+'Gjensidige Forsikring'!B48+'Gjensidige Pensjon'!B48+'Handelsbanken Liv'!B48+'If Skadeforsikring NUF'!B48+KLP!B48+'DNB Bedriftspensjon'!B48+'KLP Skadeforsikring AS'!B48+'Landkreditt Forsikring'!B48+Insr!B48+'Nordea Liv '!B48+'Oslo Pensjonsforsikring'!B48+'Protector Forsikring'!B48+'SHB Liv'!B48+'Sparebank 1'!B48+'Storebrand Livsforsikring'!B48+'Telenor Forsikring'!B48+'Tryg Forsikring'!B48+'WaterCircle F'!B48+'Codan Forsikring'!B48+'Euro Accident'!B48</f>
        <v>1567782.0010271021</v>
      </c>
      <c r="C48" s="44">
        <f>'Fremtind Livsforsikring'!C48+'Danica Pensjonsforsikring'!C48+'DNB Livsforsikring'!C48+'Eika Forsikring AS'!C48+'Frende Livsforsikring'!C48+'Frende Skadeforsikring'!C48+'Gjensidige Forsikring'!C48+'Gjensidige Pensjon'!C48+'Handelsbanken Liv'!C48+'If Skadeforsikring NUF'!C48+KLP!C48+'DNB Bedriftspensjon'!C48+'KLP Skadeforsikring AS'!C48+'Landkreditt Forsikring'!C48+Insr!C48+'Nordea Liv '!C48+'Oslo Pensjonsforsikring'!C48+'Protector Forsikring'!C48+'SHB Liv'!C48+'Sparebank 1'!C48+'Storebrand Livsforsikring'!C48+'Telenor Forsikring'!C48+'Tryg Forsikring'!C48+'WaterCircle F'!C48+'Codan Forsikring'!C48+'Euro Accident'!C48</f>
        <v>1715270.8797628307</v>
      </c>
      <c r="D48" s="23">
        <f t="shared" si="9"/>
        <v>9.4</v>
      </c>
      <c r="E48" s="35"/>
      <c r="F48" s="5"/>
      <c r="G48" s="34"/>
      <c r="H48" s="33"/>
      <c r="I48" s="33"/>
      <c r="J48" s="32"/>
    </row>
    <row r="49" spans="1:10" s="3" customFormat="1" ht="15.75" customHeight="1" x14ac:dyDescent="0.2">
      <c r="A49" s="38" t="s">
        <v>353</v>
      </c>
      <c r="B49" s="188">
        <f>'Fremtind Livsforsikring'!B49+'Danica Pensjonsforsikring'!B49+'DNB Livsforsikring'!B49+'Eika Forsikring AS'!B49+'Frende Livsforsikring'!B49+'Frende Skadeforsikring'!B49+'Gjensidige Forsikring'!B49+'Gjensidige Pensjon'!B49+'Handelsbanken Liv'!B49+'If Skadeforsikring NUF'!B49+KLP!B49+'DNB Bedriftspensjon'!B49+'KLP Skadeforsikring AS'!B49+'Landkreditt Forsikring'!B49+Insr!B49+'Nordea Liv '!B49+'Oslo Pensjonsforsikring'!B49+'Protector Forsikring'!B49+'SHB Liv'!B49+'Sparebank 1'!B49+'Storebrand Livsforsikring'!B49+'Telenor Forsikring'!B49+'Tryg Forsikring'!B49+'WaterCircle F'!B49+'Codan Forsikring'!B49+'Euro Accident'!B49</f>
        <v>1317444.4228599998</v>
      </c>
      <c r="C49" s="188">
        <f>'Fremtind Livsforsikring'!C49+'Danica Pensjonsforsikring'!C49+'DNB Livsforsikring'!C49+'Eika Forsikring AS'!C49+'Frende Livsforsikring'!C49+'Frende Skadeforsikring'!C49+'Gjensidige Forsikring'!C49+'Gjensidige Pensjon'!C49+'Handelsbanken Liv'!C49+'If Skadeforsikring NUF'!C49+KLP!C49+'DNB Bedriftspensjon'!C49+'KLP Skadeforsikring AS'!C49+'Landkreditt Forsikring'!C49+Insr!C49+'Nordea Liv '!C49+'Oslo Pensjonsforsikring'!C49+'Protector Forsikring'!C49+'SHB Liv'!C49+'Sparebank 1'!C49+'Storebrand Livsforsikring'!C49+'Telenor Forsikring'!C49+'Tryg Forsikring'!C49+'WaterCircle F'!C49+'Codan Forsikring'!C49+'Euro Accident'!C49</f>
        <v>1448298.8977399999</v>
      </c>
      <c r="D49" s="23">
        <f t="shared" si="9"/>
        <v>9.9</v>
      </c>
      <c r="E49" s="35"/>
      <c r="F49" s="5"/>
      <c r="G49" s="34"/>
      <c r="H49" s="37"/>
      <c r="I49" s="37"/>
      <c r="J49" s="32"/>
    </row>
    <row r="50" spans="1:10" s="3" customFormat="1" ht="15.75" customHeight="1" x14ac:dyDescent="0.2">
      <c r="A50" s="272" t="s">
        <v>6</v>
      </c>
      <c r="B50" s="295">
        <f>'Fremtind Livsforsikring'!C50+'Danica Pensjonsforsikring'!C50+'DNB Livsforsikring'!C50+'Eika Forsikring AS'!C50+'Frende Livsforsikring'!C50+'Frende Skadeforsikring'!C50+'Gjensidige Forsikring'!C50+'Gjensidige Pensjon'!C50+'Handelsbanken Liv'!C50+'If Skadeforsikring NUF'!C50+KLP!C50+'DNB Bedriftspensjon'!C50+'KLP Skadeforsikring AS'!C50+'Landkreditt Forsikring'!C50+Insr!C50+'Nordea Liv '!C50+'Oslo Pensjonsforsikring'!C50+'Protector Forsikring'!C50+'SHB Liv'!C50+'Sparebank 1'!C50+'Storebrand Livsforsikring'!C50+'Telenor Forsikring'!C50+'Tryg Forsikring'!C50+'WaterCircle F'!C50+'Codan Forsikring'!C50+'Euro Accident'!C50</f>
        <v>0</v>
      </c>
      <c r="C50" s="295">
        <f>'Fremtind Livsforsikring'!D50+'Danica Pensjonsforsikring'!D50+'DNB Livsforsikring'!D50+'Eika Forsikring AS'!D50+'Frende Livsforsikring'!D50+'Frende Skadeforsikring'!D50+'Gjensidige Forsikring'!D50+'Gjensidige Pensjon'!D50+'Handelsbanken Liv'!D50+'If Skadeforsikring NUF'!D50+KLP!D50+'DNB Bedriftspensjon'!D50+'KLP Skadeforsikring AS'!D50+'Landkreditt Forsikring'!D50+Insr!D50+'Nordea Liv '!D50+'Oslo Pensjonsforsikring'!D50+'Protector Forsikring'!D50+'SHB Liv'!D50+'Sparebank 1'!D50+'Storebrand Livsforsikring'!D50+'Telenor Forsikring'!D50+'Tryg Forsikring'!D50+'WaterCircle F'!D50+'Codan Forsikring'!D50+'Euro Accident'!D50</f>
        <v>0</v>
      </c>
      <c r="D50" s="27"/>
      <c r="E50" s="35"/>
      <c r="F50" s="5"/>
      <c r="G50" s="34"/>
      <c r="H50" s="33"/>
      <c r="I50" s="33"/>
      <c r="J50" s="32"/>
    </row>
    <row r="51" spans="1:10" s="3" customFormat="1" ht="15.75" customHeight="1" x14ac:dyDescent="0.2">
      <c r="A51" s="272" t="s">
        <v>7</v>
      </c>
      <c r="B51" s="295">
        <f>'Fremtind Livsforsikring'!C51+'Danica Pensjonsforsikring'!C51+'DNB Livsforsikring'!C51+'Eika Forsikring AS'!C51+'Frende Livsforsikring'!C51+'Frende Skadeforsikring'!C51+'Gjensidige Forsikring'!C51+'Gjensidige Pensjon'!C51+'Handelsbanken Liv'!C51+'If Skadeforsikring NUF'!C51+KLP!C51+'DNB Bedriftspensjon'!C51+'KLP Skadeforsikring AS'!C51+'Landkreditt Forsikring'!C51+Insr!C51+'Nordea Liv '!C51+'Oslo Pensjonsforsikring'!C51+'Protector Forsikring'!C51+'SHB Liv'!C51+'Sparebank 1'!C51+'Storebrand Livsforsikring'!C51+'Telenor Forsikring'!C51+'Tryg Forsikring'!C51+'WaterCircle F'!C51+'Codan Forsikring'!C51+'Euro Accident'!C51</f>
        <v>0</v>
      </c>
      <c r="C51" s="295">
        <f>'Fremtind Livsforsikring'!D51+'Danica Pensjonsforsikring'!D51+'DNB Livsforsikring'!D51+'Eika Forsikring AS'!D51+'Frende Livsforsikring'!D51+'Frende Skadeforsikring'!D51+'Gjensidige Forsikring'!D51+'Gjensidige Pensjon'!D51+'Handelsbanken Liv'!D51+'If Skadeforsikring NUF'!D51+KLP!D51+'DNB Bedriftspensjon'!D51+'KLP Skadeforsikring AS'!D51+'Landkreditt Forsikring'!D51+Insr!D51+'Nordea Liv '!D51+'Oslo Pensjonsforsikring'!D51+'Protector Forsikring'!D51+'SHB Liv'!D51+'Sparebank 1'!D51+'Storebrand Livsforsikring'!D51+'Telenor Forsikring'!D51+'Tryg Forsikring'!D51+'WaterCircle F'!D51+'Codan Forsikring'!D51+'Euro Accident'!D51</f>
        <v>0</v>
      </c>
      <c r="D51" s="27"/>
      <c r="E51" s="35"/>
      <c r="F51" s="5"/>
      <c r="G51" s="34"/>
      <c r="H51" s="33"/>
      <c r="I51" s="33"/>
      <c r="J51" s="32"/>
    </row>
    <row r="52" spans="1:10" s="3" customFormat="1" ht="15.75" customHeight="1" x14ac:dyDescent="0.2">
      <c r="A52" s="272" t="s">
        <v>8</v>
      </c>
      <c r="B52" s="295">
        <f>'Fremtind Livsforsikring'!C52+'Danica Pensjonsforsikring'!C52+'DNB Livsforsikring'!C52+'Eika Forsikring AS'!C52+'Frende Livsforsikring'!C52+'Frende Skadeforsikring'!C52+'Gjensidige Forsikring'!C52+'Gjensidige Pensjon'!C52+'Handelsbanken Liv'!C52+'If Skadeforsikring NUF'!C52+KLP!C52+'DNB Bedriftspensjon'!C52+'KLP Skadeforsikring AS'!C52+'Landkreditt Forsikring'!C52+Insr!C52+'Nordea Liv '!C52+'Oslo Pensjonsforsikring'!C52+'Protector Forsikring'!C52+'SHB Liv'!C52+'Sparebank 1'!C52+'Storebrand Livsforsikring'!C52+'Telenor Forsikring'!C52+'Tryg Forsikring'!C52+'WaterCircle F'!C52+'Codan Forsikring'!C52+'Euro Accident'!C52</f>
        <v>0</v>
      </c>
      <c r="C52" s="295">
        <f>'Fremtind Livsforsikring'!D52+'Danica Pensjonsforsikring'!D52+'DNB Livsforsikring'!D52+'Eika Forsikring AS'!D52+'Frende Livsforsikring'!D52+'Frende Skadeforsikring'!D52+'Gjensidige Forsikring'!D52+'Gjensidige Pensjon'!D52+'Handelsbanken Liv'!D52+'If Skadeforsikring NUF'!D52+KLP!D52+'DNB Bedriftspensjon'!D52+'KLP Skadeforsikring AS'!D52+'Landkreditt Forsikring'!D52+Insr!D52+'Nordea Liv '!D52+'Oslo Pensjonsforsikring'!D52+'Protector Forsikring'!D52+'SHB Liv'!D52+'Sparebank 1'!D52+'Storebrand Livsforsikring'!D52+'Telenor Forsikring'!D52+'Tryg Forsikring'!D52+'WaterCircle F'!D52+'Codan Forsikring'!D52+'Euro Accident'!D52</f>
        <v>0</v>
      </c>
      <c r="D52" s="27"/>
      <c r="E52" s="35"/>
      <c r="F52" s="5"/>
      <c r="G52" s="34"/>
      <c r="H52" s="33"/>
      <c r="I52" s="33"/>
      <c r="J52" s="32"/>
    </row>
    <row r="53" spans="1:10" s="394" customFormat="1" ht="15.75" customHeight="1" x14ac:dyDescent="0.2">
      <c r="A53" s="39" t="s">
        <v>354</v>
      </c>
      <c r="B53" s="213">
        <f>'Fremtind Livsforsikring'!B53+'Danica Pensjonsforsikring'!B53+'DNB Livsforsikring'!B53+'Eika Forsikring AS'!B53+'Frende Livsforsikring'!B53+'Frende Skadeforsikring'!B53+'Gjensidige Forsikring'!B53+'Gjensidige Pensjon'!B53+'Handelsbanken Liv'!B53+'If Skadeforsikring NUF'!B53+KLP!B53+'DNB Bedriftspensjon'!B53+'KLP Skadeforsikring AS'!B53+'Landkreditt Forsikring'!B53+Insr!B53+'Nordea Liv '!B53+'Oslo Pensjonsforsikring'!B53+'Protector Forsikring'!B53+'SHB Liv'!B53+'Sparebank 1'!B53+'Storebrand Livsforsikring'!B53+'Telenor Forsikring'!B53+'Tryg Forsikring'!B53+'WaterCircle F'!B53+'Codan Forsikring'!B53+'Euro Accident'!B53</f>
        <v>102391.736</v>
      </c>
      <c r="C53" s="213">
        <f>'Fremtind Livsforsikring'!C53+'Danica Pensjonsforsikring'!C53+'DNB Livsforsikring'!C53+'Eika Forsikring AS'!C53+'Frende Livsforsikring'!C53+'Frende Skadeforsikring'!C53+'Gjensidige Forsikring'!C53+'Gjensidige Pensjon'!C53+'Handelsbanken Liv'!C53+'If Skadeforsikring NUF'!C53+KLP!C53+'DNB Bedriftspensjon'!C53+'KLP Skadeforsikring AS'!C53+'Landkreditt Forsikring'!C53+Insr!C53+'Nordea Liv '!C53+'Oslo Pensjonsforsikring'!C53+'Protector Forsikring'!C53+'SHB Liv'!C53+'Sparebank 1'!C53+'Storebrand Livsforsikring'!C53+'Telenor Forsikring'!C53+'Tryg Forsikring'!C53+'WaterCircle F'!C53+'Codan Forsikring'!C53+'Euro Accident'!C53</f>
        <v>219648.68387602182</v>
      </c>
      <c r="D53" s="24">
        <f t="shared" si="9"/>
        <v>114.5</v>
      </c>
      <c r="E53" s="395"/>
      <c r="F53" s="396"/>
      <c r="G53" s="32"/>
      <c r="H53" s="173"/>
      <c r="I53" s="173"/>
      <c r="J53" s="32"/>
    </row>
    <row r="54" spans="1:10" s="3" customFormat="1" ht="15.75" customHeight="1" x14ac:dyDescent="0.2">
      <c r="A54" s="38" t="s">
        <v>352</v>
      </c>
      <c r="B54" s="44">
        <f>'Fremtind Livsforsikring'!B54+'Danica Pensjonsforsikring'!B54+'DNB Livsforsikring'!B54+'Eika Forsikring AS'!B54+'Frende Livsforsikring'!B54+'Frende Skadeforsikring'!B54+'Gjensidige Forsikring'!B54+'Gjensidige Pensjon'!B54+'Handelsbanken Liv'!B54+'If Skadeforsikring NUF'!B54+KLP!B54+'DNB Bedriftspensjon'!B54+'KLP Skadeforsikring AS'!B54+'Landkreditt Forsikring'!B54+Insr!B54+'Nordea Liv '!B54+'Oslo Pensjonsforsikring'!B54+'Protector Forsikring'!B54+'SHB Liv'!B54+'Sparebank 1'!B54+'Storebrand Livsforsikring'!B54+'Telenor Forsikring'!B54+'Tryg Forsikring'!B54+'WaterCircle F'!B54+'Codan Forsikring'!B54+'Euro Accident'!B54</f>
        <v>102391.736</v>
      </c>
      <c r="C54" s="44">
        <f>'Fremtind Livsforsikring'!C54+'Danica Pensjonsforsikring'!C54+'DNB Livsforsikring'!C54+'Eika Forsikring AS'!C54+'Frende Livsforsikring'!C54+'Frende Skadeforsikring'!C54+'Gjensidige Forsikring'!C54+'Gjensidige Pensjon'!C54+'Handelsbanken Liv'!C54+'If Skadeforsikring NUF'!C54+KLP!C54+'DNB Bedriftspensjon'!C54+'KLP Skadeforsikring AS'!C54+'Landkreditt Forsikring'!C54+Insr!C54+'Nordea Liv '!C54+'Oslo Pensjonsforsikring'!C54+'Protector Forsikring'!C54+'SHB Liv'!C54+'Sparebank 1'!C54+'Storebrand Livsforsikring'!C54+'Telenor Forsikring'!C54+'Tryg Forsikring'!C54+'WaterCircle F'!C54+'Codan Forsikring'!C54+'Euro Accident'!C54</f>
        <v>200788.4198760218</v>
      </c>
      <c r="D54" s="24">
        <f t="shared" si="9"/>
        <v>96.1</v>
      </c>
      <c r="E54" s="35"/>
      <c r="F54" s="5"/>
      <c r="G54" s="34"/>
      <c r="H54" s="33"/>
      <c r="I54" s="33"/>
      <c r="J54" s="32"/>
    </row>
    <row r="55" spans="1:10" s="3" customFormat="1" ht="15.75" customHeight="1" x14ac:dyDescent="0.2">
      <c r="A55" s="38" t="s">
        <v>353</v>
      </c>
      <c r="B55" s="44">
        <f>'Fremtind Livsforsikring'!B55+'Danica Pensjonsforsikring'!B55+'DNB Livsforsikring'!B55+'Eika Forsikring AS'!B55+'Frende Livsforsikring'!B55+'Frende Skadeforsikring'!B55+'Gjensidige Forsikring'!B55+'Gjensidige Pensjon'!B55+'Handelsbanken Liv'!B55+'If Skadeforsikring NUF'!B55+KLP!B55+'DNB Bedriftspensjon'!B55+'KLP Skadeforsikring AS'!B55+'Landkreditt Forsikring'!B55+Insr!B55+'Nordea Liv '!B55+'Oslo Pensjonsforsikring'!B55+'Protector Forsikring'!B55+'SHB Liv'!B55+'Sparebank 1'!B55+'Storebrand Livsforsikring'!B55+'Telenor Forsikring'!B55+'Tryg Forsikring'!B55+'WaterCircle F'!B55+'Codan Forsikring'!B55+'Euro Accident'!B55</f>
        <v>0</v>
      </c>
      <c r="C55" s="44">
        <f>'Fremtind Livsforsikring'!C55+'Danica Pensjonsforsikring'!C55+'DNB Livsforsikring'!C55+'Eika Forsikring AS'!C55+'Frende Livsforsikring'!C55+'Frende Skadeforsikring'!C55+'Gjensidige Forsikring'!C55+'Gjensidige Pensjon'!C55+'Handelsbanken Liv'!C55+'If Skadeforsikring NUF'!C55+KLP!C55+'DNB Bedriftspensjon'!C55+'KLP Skadeforsikring AS'!C55+'Landkreditt Forsikring'!C55+Insr!C55+'Nordea Liv '!C55+'Oslo Pensjonsforsikring'!C55+'Protector Forsikring'!C55+'SHB Liv'!C55+'Sparebank 1'!C55+'Storebrand Livsforsikring'!C55+'Telenor Forsikring'!C55+'Tryg Forsikring'!C55+'WaterCircle F'!C55+'Codan Forsikring'!C55+'Euro Accident'!C55</f>
        <v>18860.263999999999</v>
      </c>
      <c r="D55" s="24" t="str">
        <f t="shared" si="9"/>
        <v xml:space="preserve">    ---- </v>
      </c>
      <c r="E55" s="35"/>
      <c r="F55" s="5"/>
      <c r="G55" s="34"/>
      <c r="H55" s="33"/>
      <c r="I55" s="33"/>
      <c r="J55" s="32"/>
    </row>
    <row r="56" spans="1:10" s="394" customFormat="1" ht="15.75" customHeight="1" x14ac:dyDescent="0.2">
      <c r="A56" s="39" t="s">
        <v>355</v>
      </c>
      <c r="B56" s="213">
        <f>'Fremtind Livsforsikring'!B56+'Danica Pensjonsforsikring'!B56+'DNB Livsforsikring'!B56+'Eika Forsikring AS'!B56+'Frende Livsforsikring'!B56+'Frende Skadeforsikring'!B56+'Gjensidige Forsikring'!B56+'Gjensidige Pensjon'!B56+'Handelsbanken Liv'!B56+'If Skadeforsikring NUF'!B56+KLP!B56+'DNB Bedriftspensjon'!B56+'KLP Skadeforsikring AS'!B56+'Landkreditt Forsikring'!B56+Insr!B56+'Nordea Liv '!B56+'Oslo Pensjonsforsikring'!B56+'Protector Forsikring'!B56+'SHB Liv'!B56+'Sparebank 1'!B56+'Storebrand Livsforsikring'!B56+'Telenor Forsikring'!B56+'Tryg Forsikring'!B56+'WaterCircle F'!B56+'Codan Forsikring'!B56+'Euro Accident'!B56</f>
        <v>94447.146999999997</v>
      </c>
      <c r="C56" s="213">
        <f>'Fremtind Livsforsikring'!C56+'Danica Pensjonsforsikring'!C56+'DNB Livsforsikring'!C56+'Eika Forsikring AS'!C56+'Frende Livsforsikring'!C56+'Frende Skadeforsikring'!C56+'Gjensidige Forsikring'!C56+'Gjensidige Pensjon'!C56+'Handelsbanken Liv'!C56+'If Skadeforsikring NUF'!C56+KLP!C56+'DNB Bedriftspensjon'!C56+'KLP Skadeforsikring AS'!C56+'Landkreditt Forsikring'!C56+Insr!C56+'Nordea Liv '!C56+'Oslo Pensjonsforsikring'!C56+'Protector Forsikring'!C56+'SHB Liv'!C56+'Sparebank 1'!C56+'Storebrand Livsforsikring'!C56+'Telenor Forsikring'!C56+'Tryg Forsikring'!C56+'WaterCircle F'!C56+'Codan Forsikring'!C56+'Euro Accident'!C56</f>
        <v>47182.688999999998</v>
      </c>
      <c r="D56" s="24">
        <f t="shared" si="9"/>
        <v>-50</v>
      </c>
      <c r="E56" s="395"/>
      <c r="F56" s="396"/>
      <c r="G56" s="32"/>
      <c r="H56" s="173"/>
      <c r="I56" s="173"/>
      <c r="J56" s="32"/>
    </row>
    <row r="57" spans="1:10" s="3" customFormat="1" ht="15.75" customHeight="1" x14ac:dyDescent="0.2">
      <c r="A57" s="38" t="s">
        <v>352</v>
      </c>
      <c r="B57" s="44">
        <f>'Fremtind Livsforsikring'!B57+'Danica Pensjonsforsikring'!B57+'DNB Livsforsikring'!B57+'Eika Forsikring AS'!B57+'Frende Livsforsikring'!B57+'Frende Skadeforsikring'!B57+'Gjensidige Forsikring'!B57+'Gjensidige Pensjon'!B57+'Handelsbanken Liv'!B57+'If Skadeforsikring NUF'!B57+KLP!B57+'DNB Bedriftspensjon'!B57+'KLP Skadeforsikring AS'!B57+'Landkreditt Forsikring'!B57+Insr!B57+'Nordea Liv '!B57+'Oslo Pensjonsforsikring'!B57+'Protector Forsikring'!B57+'SHB Liv'!B57+'Sparebank 1'!B57+'Storebrand Livsforsikring'!B57+'Telenor Forsikring'!B57+'Tryg Forsikring'!B57+'WaterCircle F'!B57+'Codan Forsikring'!B57+'Euro Accident'!B57</f>
        <v>94447.146999999997</v>
      </c>
      <c r="C57" s="44">
        <f>'Fremtind Livsforsikring'!C57+'Danica Pensjonsforsikring'!C57+'DNB Livsforsikring'!C57+'Eika Forsikring AS'!C57+'Frende Livsforsikring'!C57+'Frende Skadeforsikring'!C57+'Gjensidige Forsikring'!C57+'Gjensidige Pensjon'!C57+'Handelsbanken Liv'!C57+'If Skadeforsikring NUF'!C57+KLP!C57+'DNB Bedriftspensjon'!C57+'KLP Skadeforsikring AS'!C57+'Landkreditt Forsikring'!C57+Insr!C57+'Nordea Liv '!C57+'Oslo Pensjonsforsikring'!C57+'Protector Forsikring'!C57+'SHB Liv'!C57+'Sparebank 1'!C57+'Storebrand Livsforsikring'!C57+'Telenor Forsikring'!C57+'Tryg Forsikring'!C57+'WaterCircle F'!C57+'Codan Forsikring'!C57+'Euro Accident'!C57</f>
        <v>47182.688999999998</v>
      </c>
      <c r="D57" s="24">
        <f t="shared" si="9"/>
        <v>-50</v>
      </c>
      <c r="E57" s="35"/>
      <c r="F57" s="5"/>
      <c r="G57" s="34"/>
      <c r="H57" s="33"/>
      <c r="I57" s="33"/>
      <c r="J57" s="32"/>
    </row>
    <row r="58" spans="1:10" s="3" customFormat="1" ht="15.75" customHeight="1" x14ac:dyDescent="0.2">
      <c r="A58" s="38" t="s">
        <v>353</v>
      </c>
      <c r="B58" s="45">
        <f>'Fremtind Livsforsikring'!B58+'Danica Pensjonsforsikring'!B58+'DNB Livsforsikring'!B58+'Eika Forsikring AS'!B58+'Frende Livsforsikring'!B58+'Frende Skadeforsikring'!B58+'Gjensidige Forsikring'!B58+'Gjensidige Pensjon'!B58+'Handelsbanken Liv'!B58+'If Skadeforsikring NUF'!B58+KLP!B58+'DNB Bedriftspensjon'!B58+'KLP Skadeforsikring AS'!B58+'Landkreditt Forsikring'!B58+Insr!B58+'Nordea Liv '!B58+'Oslo Pensjonsforsikring'!B58+'Protector Forsikring'!B58+'SHB Liv'!B58+'Sparebank 1'!B58+'Storebrand Livsforsikring'!B58+'Telenor Forsikring'!B58+'Tryg Forsikring'!B58+'WaterCircle F'!B58+'Codan Forsikring'!B58+'Euro Accident'!B58</f>
        <v>0</v>
      </c>
      <c r="C58" s="45">
        <f>'Fremtind Livsforsikring'!C58+'Danica Pensjonsforsikring'!C58+'DNB Livsforsikring'!C58+'Eika Forsikring AS'!C58+'Frende Livsforsikring'!C58+'Frende Skadeforsikring'!C58+'Gjensidige Forsikring'!C58+'Gjensidige Pensjon'!C58+'Handelsbanken Liv'!C58+'If Skadeforsikring NUF'!C58+KLP!C58+'DNB Bedriftspensjon'!C58+'KLP Skadeforsikring AS'!C58+'Landkreditt Forsikring'!C58+Insr!C58+'Nordea Liv '!C58+'Oslo Pensjonsforsikring'!C58+'Protector Forsikring'!C58+'SHB Liv'!C58+'Sparebank 1'!C58+'Storebrand Livsforsikring'!C58+'Telenor Forsikring'!C58+'Tryg Forsikring'!C58+'WaterCircle F'!C58+'Codan Forsikring'!C58+'Euro Accident'!C58</f>
        <v>0</v>
      </c>
      <c r="D58" s="36"/>
      <c r="E58" s="35"/>
      <c r="F58" s="5"/>
      <c r="G58" s="34"/>
      <c r="H58" s="33"/>
      <c r="I58" s="33"/>
      <c r="J58" s="32"/>
    </row>
    <row r="59" spans="1:10" s="3" customFormat="1" ht="15.75" customHeight="1" x14ac:dyDescent="0.25">
      <c r="A59" s="164"/>
      <c r="B59" s="30"/>
      <c r="C59" s="30"/>
      <c r="D59" s="30"/>
      <c r="E59" s="31"/>
      <c r="F59" s="31"/>
      <c r="G59" s="31"/>
      <c r="H59" s="31"/>
      <c r="I59" s="31"/>
      <c r="J59" s="31"/>
    </row>
    <row r="60" spans="1:10" ht="15.75" customHeight="1" x14ac:dyDescent="0.2">
      <c r="A60" s="155"/>
    </row>
    <row r="61" spans="1:10" ht="15.75" customHeight="1" x14ac:dyDescent="0.25">
      <c r="A61" s="147" t="s">
        <v>250</v>
      </c>
      <c r="C61" s="26"/>
      <c r="D61" s="25"/>
      <c r="E61" s="26"/>
      <c r="F61" s="26"/>
      <c r="G61" s="25"/>
      <c r="H61" s="26"/>
      <c r="I61" s="26"/>
      <c r="J61" s="25"/>
    </row>
    <row r="62" spans="1:10" ht="20.100000000000001" customHeight="1" x14ac:dyDescent="0.25">
      <c r="A62" s="149"/>
      <c r="B62" s="689"/>
      <c r="C62" s="689"/>
      <c r="D62" s="689"/>
      <c r="E62" s="689"/>
      <c r="F62" s="689"/>
      <c r="G62" s="689"/>
      <c r="H62" s="689"/>
      <c r="I62" s="689"/>
      <c r="J62" s="689"/>
    </row>
    <row r="63" spans="1:10" ht="15.75" customHeight="1" x14ac:dyDescent="0.2">
      <c r="A63" s="144"/>
      <c r="B63" s="690" t="s">
        <v>0</v>
      </c>
      <c r="C63" s="691"/>
      <c r="D63" s="691"/>
      <c r="E63" s="690" t="s">
        <v>1</v>
      </c>
      <c r="F63" s="691"/>
      <c r="G63" s="692"/>
      <c r="H63" s="691" t="s">
        <v>2</v>
      </c>
      <c r="I63" s="691"/>
      <c r="J63" s="692"/>
    </row>
    <row r="64" spans="1:10" ht="15.75" customHeight="1" x14ac:dyDescent="0.2">
      <c r="A64" s="140"/>
      <c r="B64" s="20" t="s">
        <v>412</v>
      </c>
      <c r="C64" s="20" t="s">
        <v>413</v>
      </c>
      <c r="D64" s="19" t="s">
        <v>3</v>
      </c>
      <c r="E64" s="20" t="s">
        <v>412</v>
      </c>
      <c r="F64" s="20" t="s">
        <v>413</v>
      </c>
      <c r="G64" s="19" t="s">
        <v>3</v>
      </c>
      <c r="H64" s="20" t="s">
        <v>412</v>
      </c>
      <c r="I64" s="20" t="s">
        <v>413</v>
      </c>
      <c r="J64" s="19" t="s">
        <v>3</v>
      </c>
    </row>
    <row r="65" spans="1:10" ht="15.75" customHeight="1" x14ac:dyDescent="0.2">
      <c r="A65" s="662"/>
      <c r="B65" s="15"/>
      <c r="C65" s="15"/>
      <c r="D65" s="17" t="s">
        <v>4</v>
      </c>
      <c r="E65" s="16"/>
      <c r="F65" s="16"/>
      <c r="G65" s="15" t="s">
        <v>4</v>
      </c>
      <c r="H65" s="16"/>
      <c r="I65" s="16"/>
      <c r="J65" s="15" t="s">
        <v>4</v>
      </c>
    </row>
    <row r="66" spans="1:10" s="43" customFormat="1" ht="15.75" customHeight="1" x14ac:dyDescent="0.2">
      <c r="A66" s="14" t="s">
        <v>23</v>
      </c>
      <c r="B66" s="305">
        <f>'Fremtind Livsforsikring'!B66+'Danica Pensjonsforsikring'!B66+'DNB Livsforsikring'!B66+'Eika Forsikring AS'!B66+'Frende Livsforsikring'!B66+'Frende Skadeforsikring'!B66+'Gjensidige Forsikring'!B66+'Gjensidige Pensjon'!B66+'Handelsbanken Liv'!B66+'If Skadeforsikring NUF'!B66+KLP!B66+'DNB Bedriftspensjon'!B66+'KLP Skadeforsikring AS'!B66+'Landkreditt Forsikring'!B66+Insr!B66+'Nordea Liv '!B66+'Oslo Pensjonsforsikring'!B66+'Protector Forsikring'!B66+'SHB Liv'!B66+'Sparebank 1'!B66+'Storebrand Livsforsikring'!B66+'Telenor Forsikring'!B66+'Tryg Forsikring'!B66+'WaterCircle F'!B66+'Codan Forsikring'!B66+'Euro Accident'!B66</f>
        <v>3486488.05791</v>
      </c>
      <c r="C66" s="305">
        <f>'Fremtind Livsforsikring'!C66+'Danica Pensjonsforsikring'!C66+'DNB Livsforsikring'!C66+'Eika Forsikring AS'!C66+'Frende Livsforsikring'!C66+'Frende Skadeforsikring'!C66+'Gjensidige Forsikring'!C66+'Gjensidige Pensjon'!C66+'Handelsbanken Liv'!C66+'If Skadeforsikring NUF'!C66+KLP!C66+'DNB Bedriftspensjon'!C66+'KLP Skadeforsikring AS'!C66+'Landkreditt Forsikring'!C66+Insr!C66+'Nordea Liv '!C66+'Oslo Pensjonsforsikring'!C66+'Protector Forsikring'!C66+'SHB Liv'!C66+'Sparebank 1'!C66+'Storebrand Livsforsikring'!C66+'Telenor Forsikring'!C66+'Tryg Forsikring'!C66+'WaterCircle F'!C66+'Codan Forsikring'!C66+'Euro Accident'!C66</f>
        <v>3120482.7806200003</v>
      </c>
      <c r="D66" s="24">
        <f>IF(B66=0, "    ---- ", IF(ABS(ROUND(100/B66*C66-100,1))&lt;999,ROUND(100/B66*C66-100,1),IF(ROUND(100/B66*C66-100,1)&gt;999,999,-999)))</f>
        <v>-10.5</v>
      </c>
      <c r="E66" s="213">
        <f>'Fremtind Livsforsikring'!F66+'Danica Pensjonsforsikring'!F66+'DNB Livsforsikring'!F66+'Eika Forsikring AS'!F66+'Frende Livsforsikring'!F66+'Frende Skadeforsikring'!F66+'Gjensidige Forsikring'!F66+'Gjensidige Pensjon'!F66+'Handelsbanken Liv'!F66+'If Skadeforsikring NUF'!F66+KLP!F66+'DNB Bedriftspensjon'!F66+'KLP Skadeforsikring AS'!F66+'Landkreditt Forsikring'!F66+Insr!F66+'Nordea Liv '!F66+'Oslo Pensjonsforsikring'!F66+'Protector Forsikring'!F66+'SHB Liv'!F66+'Sparebank 1'!F66+'Storebrand Livsforsikring'!F66+'Telenor Forsikring'!F66+'Tryg Forsikring'!F66+'WaterCircle F'!F66+'Codan Forsikring'!F66+'Euro Accident'!F66</f>
        <v>8792903.8099000007</v>
      </c>
      <c r="F66" s="213">
        <f>'Fremtind Livsforsikring'!G66+'Danica Pensjonsforsikring'!G66+'DNB Livsforsikring'!G66+'Eika Forsikring AS'!G66+'Frende Livsforsikring'!G66+'Frende Skadeforsikring'!G66+'Gjensidige Forsikring'!G66+'Gjensidige Pensjon'!G66+'Handelsbanken Liv'!G66+'If Skadeforsikring NUF'!G66+KLP!G66+'DNB Bedriftspensjon'!G66+'KLP Skadeforsikring AS'!G66+'Landkreditt Forsikring'!G66+Insr!G66+'Nordea Liv '!G66+'Oslo Pensjonsforsikring'!G66+'Protector Forsikring'!G66+'SHB Liv'!G66+'Sparebank 1'!G66+'Storebrand Livsforsikring'!G66+'Telenor Forsikring'!G66+'Tryg Forsikring'!G66+'WaterCircle F'!G66+'Codan Forsikring'!G66+'Euro Accident'!G66</f>
        <v>9529982.5687199999</v>
      </c>
      <c r="G66" s="171">
        <f>IF(E66=0, "    ---- ", IF(ABS(ROUND(100/E66*F66-100,1))&lt;999,ROUND(100/E66*F66-100,1),IF(ROUND(100/E66*F66-100,1)&gt;999,999,-999)))</f>
        <v>8.4</v>
      </c>
      <c r="H66" s="305">
        <f t="shared" ref="H66:H86" si="10">SUM(B66,E66)</f>
        <v>12279391.86781</v>
      </c>
      <c r="I66" s="305">
        <f t="shared" ref="I66:I86" si="11">SUM(C66,F66)</f>
        <v>12650465.349339999</v>
      </c>
      <c r="J66" s="24">
        <f t="shared" ref="J66:J112" si="12">IF(H66=0, "    ---- ", IF(ABS(ROUND(100/H66*I66-100,1))&lt;999,ROUND(100/H66*I66-100,1),IF(ROUND(100/H66*I66-100,1)&gt;999,999,-999)))</f>
        <v>3</v>
      </c>
    </row>
    <row r="67" spans="1:10" ht="15.75" customHeight="1" x14ac:dyDescent="0.25">
      <c r="A67" s="21" t="s">
        <v>9</v>
      </c>
      <c r="B67" s="211">
        <f>'Fremtind Livsforsikring'!B67+'Danica Pensjonsforsikring'!B67+'DNB Livsforsikring'!B67+'Eika Forsikring AS'!B67+'Frende Livsforsikring'!B67+'Frende Skadeforsikring'!B67+'Gjensidige Forsikring'!B67+'Gjensidige Pensjon'!B67+'Handelsbanken Liv'!B67+'If Skadeforsikring NUF'!B67+KLP!B67+'DNB Bedriftspensjon'!B67+'KLP Skadeforsikring AS'!B67+'Landkreditt Forsikring'!B67+Insr!B67+'Nordea Liv '!B67+'Oslo Pensjonsforsikring'!B67+'Protector Forsikring'!B67+'SHB Liv'!B67+'Sparebank 1'!B67+'Storebrand Livsforsikring'!B67+'Telenor Forsikring'!B67+'Tryg Forsikring'!B67+'WaterCircle F'!B67+'Codan Forsikring'!B67+'Euro Accident'!B67</f>
        <v>2756855.0359800002</v>
      </c>
      <c r="C67" s="211">
        <f>'Fremtind Livsforsikring'!C67+'Danica Pensjonsforsikring'!C67+'DNB Livsforsikring'!C67+'Eika Forsikring AS'!C67+'Frende Livsforsikring'!C67+'Frende Skadeforsikring'!C67+'Gjensidige Forsikring'!C67+'Gjensidige Pensjon'!C67+'Handelsbanken Liv'!C67+'If Skadeforsikring NUF'!C67+KLP!C67+'DNB Bedriftspensjon'!C67+'KLP Skadeforsikring AS'!C67+'Landkreditt Forsikring'!C67+Insr!C67+'Nordea Liv '!C67+'Oslo Pensjonsforsikring'!C67+'Protector Forsikring'!C67+'SHB Liv'!C67+'Sparebank 1'!C67+'Storebrand Livsforsikring'!C67+'Telenor Forsikring'!C67+'Tryg Forsikring'!C67+'WaterCircle F'!C67+'Codan Forsikring'!C67+'Euro Accident'!C67</f>
        <v>2422528.9892600002</v>
      </c>
      <c r="D67" s="218">
        <f>IF(B67=0, "    ---- ", IF(ABS(ROUND(100/B67*C67-100,1))&lt;999,ROUND(100/B67*C67-100,1),IF(ROUND(100/B67*C67-100,1)&gt;999,999,-999)))</f>
        <v>-12.1</v>
      </c>
      <c r="E67" s="44">
        <f>'Fremtind Livsforsikring'!F67+'Danica Pensjonsforsikring'!F67+'DNB Livsforsikring'!F67+'Eika Forsikring AS'!F67+'Frende Livsforsikring'!F67+'Frende Skadeforsikring'!F67+'Gjensidige Forsikring'!F67+'Gjensidige Pensjon'!F67+'Handelsbanken Liv'!F67+'If Skadeforsikring NUF'!F67+KLP!F67+'DNB Bedriftspensjon'!F67+'KLP Skadeforsikring AS'!F67+'Landkreditt Forsikring'!F67+Insr!F67+'Nordea Liv '!F67+'Oslo Pensjonsforsikring'!F67+'Protector Forsikring'!F67+'SHB Liv'!F67+'Sparebank 1'!F67+'Storebrand Livsforsikring'!F67+'Telenor Forsikring'!F67+'Tryg Forsikring'!F67+'WaterCircle F'!F67+'Codan Forsikring'!F67+'Euro Accident'!F67</f>
        <v>0</v>
      </c>
      <c r="F67" s="44">
        <f>'Fremtind Livsforsikring'!G67+'Danica Pensjonsforsikring'!G67+'DNB Livsforsikring'!G67+'Eika Forsikring AS'!G67+'Frende Livsforsikring'!G67+'Frende Skadeforsikring'!G67+'Gjensidige Forsikring'!G67+'Gjensidige Pensjon'!G67+'Handelsbanken Liv'!G67+'If Skadeforsikring NUF'!G67+KLP!G67+'DNB Bedriftspensjon'!G67+'KLP Skadeforsikring AS'!G67+'Landkreditt Forsikring'!G67+Insr!G67+'Nordea Liv '!G67+'Oslo Pensjonsforsikring'!G67+'Protector Forsikring'!G67+'SHB Liv'!G67+'Sparebank 1'!G67+'Storebrand Livsforsikring'!G67+'Telenor Forsikring'!G67+'Tryg Forsikring'!G67+'WaterCircle F'!G67+'Codan Forsikring'!G67+'Euro Accident'!G67</f>
        <v>0</v>
      </c>
      <c r="G67" s="166"/>
      <c r="H67" s="214">
        <f t="shared" si="10"/>
        <v>2756855.0359800002</v>
      </c>
      <c r="I67" s="214">
        <f t="shared" si="11"/>
        <v>2422528.9892600002</v>
      </c>
      <c r="J67" s="23">
        <f t="shared" si="12"/>
        <v>-12.1</v>
      </c>
    </row>
    <row r="68" spans="1:10" ht="15.75" customHeight="1" x14ac:dyDescent="0.25">
      <c r="A68" s="21" t="s">
        <v>10</v>
      </c>
      <c r="B68" s="211">
        <f>'Fremtind Livsforsikring'!B68+'Danica Pensjonsforsikring'!B68+'DNB Livsforsikring'!B68+'Eika Forsikring AS'!B68+'Frende Livsforsikring'!B68+'Frende Skadeforsikring'!B68+'Gjensidige Forsikring'!B68+'Gjensidige Pensjon'!B68+'Handelsbanken Liv'!B68+'If Skadeforsikring NUF'!B68+KLP!B68+'DNB Bedriftspensjon'!B68+'KLP Skadeforsikring AS'!B68+'Landkreditt Forsikring'!B68+Insr!B68+'Nordea Liv '!B68+'Oslo Pensjonsforsikring'!B68+'Protector Forsikring'!B68+'SHB Liv'!B68+'Sparebank 1'!B68+'Storebrand Livsforsikring'!B68+'Telenor Forsikring'!B68+'Tryg Forsikring'!B68+'WaterCircle F'!B68+'Codan Forsikring'!B68+'Euro Accident'!B68</f>
        <v>94026.617710000006</v>
      </c>
      <c r="C68" s="211">
        <f>'Fremtind Livsforsikring'!C68+'Danica Pensjonsforsikring'!C68+'DNB Livsforsikring'!C68+'Eika Forsikring AS'!C68+'Frende Livsforsikring'!C68+'Frende Skadeforsikring'!C68+'Gjensidige Forsikring'!C68+'Gjensidige Pensjon'!C68+'Handelsbanken Liv'!C68+'If Skadeforsikring NUF'!C68+KLP!C68+'DNB Bedriftspensjon'!C68+'KLP Skadeforsikring AS'!C68+'Landkreditt Forsikring'!C68+Insr!C68+'Nordea Liv '!C68+'Oslo Pensjonsforsikring'!C68+'Protector Forsikring'!C68+'SHB Liv'!C68+'Sparebank 1'!C68+'Storebrand Livsforsikring'!C68+'Telenor Forsikring'!C68+'Tryg Forsikring'!C68+'WaterCircle F'!C68+'Codan Forsikring'!C68+'Euro Accident'!C68</f>
        <v>13805.019399999999</v>
      </c>
      <c r="D68" s="218">
        <f>IF(B68=0, "    ---- ", IF(ABS(ROUND(100/B68*C68-100,1))&lt;999,ROUND(100/B68*C68-100,1),IF(ROUND(100/B68*C68-100,1)&gt;999,999,-999)))</f>
        <v>-85.3</v>
      </c>
      <c r="E68" s="44">
        <f>'Fremtind Livsforsikring'!F68+'Danica Pensjonsforsikring'!F68+'DNB Livsforsikring'!F68+'Eika Forsikring AS'!F68+'Frende Livsforsikring'!F68+'Frende Skadeforsikring'!F68+'Gjensidige Forsikring'!F68+'Gjensidige Pensjon'!F68+'Handelsbanken Liv'!F68+'If Skadeforsikring NUF'!F68+KLP!F68+'DNB Bedriftspensjon'!F68+'KLP Skadeforsikring AS'!F68+'Landkreditt Forsikring'!F68+Insr!F68+'Nordea Liv '!F68+'Oslo Pensjonsforsikring'!F68+'Protector Forsikring'!F68+'SHB Liv'!F68+'Sparebank 1'!F68+'Storebrand Livsforsikring'!F68+'Telenor Forsikring'!F68+'Tryg Forsikring'!F68+'WaterCircle F'!F68+'Codan Forsikring'!F68+'Euro Accident'!F68</f>
        <v>8456017.5833299998</v>
      </c>
      <c r="F68" s="44">
        <f>'Fremtind Livsforsikring'!G68+'Danica Pensjonsforsikring'!G68+'DNB Livsforsikring'!G68+'Eika Forsikring AS'!G68+'Frende Livsforsikring'!G68+'Frende Skadeforsikring'!G68+'Gjensidige Forsikring'!G68+'Gjensidige Pensjon'!G68+'Handelsbanken Liv'!G68+'If Skadeforsikring NUF'!G68+KLP!G68+'DNB Bedriftspensjon'!G68+'KLP Skadeforsikring AS'!G68+'Landkreditt Forsikring'!G68+Insr!G68+'Nordea Liv '!G68+'Oslo Pensjonsforsikring'!G68+'Protector Forsikring'!G68+'SHB Liv'!G68+'Sparebank 1'!G68+'Storebrand Livsforsikring'!G68+'Telenor Forsikring'!G68+'Tryg Forsikring'!G68+'WaterCircle F'!G68+'Codan Forsikring'!G68+'Euro Accident'!G68</f>
        <v>9158643.9639200009</v>
      </c>
      <c r="G68" s="23">
        <f t="shared" ref="G68:G126" si="13">IF(E68=0, "    ---- ", IF(ABS(ROUND(100/E68*F68-100,1))&lt;999,ROUND(100/E68*F68-100,1),IF(ROUND(100/E68*F68-100,1)&gt;999,999,-999)))</f>
        <v>8.3000000000000007</v>
      </c>
      <c r="H68" s="214">
        <f t="shared" si="10"/>
        <v>8550044.2010399997</v>
      </c>
      <c r="I68" s="214">
        <f t="shared" si="11"/>
        <v>9172448.9833200015</v>
      </c>
      <c r="J68" s="23">
        <f t="shared" si="12"/>
        <v>7.3</v>
      </c>
    </row>
    <row r="69" spans="1:10" ht="15.75" customHeight="1" x14ac:dyDescent="0.2">
      <c r="A69" s="272" t="s">
        <v>356</v>
      </c>
      <c r="B69" s="212">
        <f>'Fremtind Livsforsikring'!B69+'Danica Pensjonsforsikring'!B69+'DNB Livsforsikring'!B69+'Eika Forsikring AS'!B69+'Frende Livsforsikring'!B69+'Frende Skadeforsikring'!B69+'Gjensidige Forsikring'!B69+'Gjensidige Pensjon'!B69+'Handelsbanken Liv'!B69+'If Skadeforsikring NUF'!B69+KLP!B69+'DNB Bedriftspensjon'!B69+'KLP Skadeforsikring AS'!B69+'Landkreditt Forsikring'!B69+Insr!B69+'Nordea Liv '!B69+'Oslo Pensjonsforsikring'!B69+'Protector Forsikring'!B69+'SHB Liv'!B69+'Sparebank 1'!B69+'Storebrand Livsforsikring'!B69+'Telenor Forsikring'!B69+'Tryg Forsikring'!B69+'WaterCircle F'!B69+'Codan Forsikring'!B69+'Euro Accident'!B69</f>
        <v>0</v>
      </c>
      <c r="C69" s="212">
        <f>'Fremtind Livsforsikring'!C69+'Danica Pensjonsforsikring'!C69+'DNB Livsforsikring'!C69+'Eika Forsikring AS'!C69+'Frende Livsforsikring'!C69+'Frende Skadeforsikring'!C69+'Gjensidige Forsikring'!C69+'Gjensidige Pensjon'!C69+'Handelsbanken Liv'!C69+'If Skadeforsikring NUF'!C69+KLP!C69+'DNB Bedriftspensjon'!C69+'KLP Skadeforsikring AS'!C69+'Landkreditt Forsikring'!C69+Insr!C69+'Nordea Liv '!C69+'Oslo Pensjonsforsikring'!C69+'Protector Forsikring'!C69+'SHB Liv'!C69+'Sparebank 1'!C69+'Storebrand Livsforsikring'!C69+'Telenor Forsikring'!C69+'Tryg Forsikring'!C69+'WaterCircle F'!C69+'Codan Forsikring'!C69+'Euro Accident'!C69</f>
        <v>0</v>
      </c>
      <c r="D69" s="27"/>
      <c r="E69" s="212">
        <f>'Fremtind Livsforsikring'!E69+'Danica Pensjonsforsikring'!E69+'DNB Livsforsikring'!E69+'Eika Forsikring AS'!E69+'Frende Livsforsikring'!E69+'Frende Skadeforsikring'!E69+'Gjensidige Forsikring'!E69+'Gjensidige Pensjon'!E69+'Handelsbanken Liv'!E69+'If Skadeforsikring NUF'!E69+KLP!E69+'DNB Bedriftspensjon'!E69+'KLP Skadeforsikring AS'!E69+'Landkreditt Forsikring'!E69+Insr!E69+'Nordea Liv '!E69+'Oslo Pensjonsforsikring'!E69+'Protector Forsikring'!E69+'SHB Liv'!E69+'Sparebank 1'!E69+'Storebrand Livsforsikring'!E69+'Telenor Forsikring'!E69+'Tryg Forsikring'!E69+'WaterCircle F'!E69+'Codan Forsikring'!E69+'Euro Accident'!E69</f>
        <v>0</v>
      </c>
      <c r="F69" s="212">
        <f>'Fremtind Livsforsikring'!F69+'Danica Pensjonsforsikring'!F69+'DNB Livsforsikring'!F69+'Eika Forsikring AS'!F69+'Frende Livsforsikring'!F69+'Frende Skadeforsikring'!F69+'Gjensidige Forsikring'!F69+'Gjensidige Pensjon'!F69+'Handelsbanken Liv'!F69+'If Skadeforsikring NUF'!F69+KLP!F69+'DNB Bedriftspensjon'!F69+'KLP Skadeforsikring AS'!F69+'Landkreditt Forsikring'!F69+Insr!F69+'Nordea Liv '!F69+'Oslo Pensjonsforsikring'!F69+'Protector Forsikring'!F69+'SHB Liv'!F69+'Sparebank 1'!F69+'Storebrand Livsforsikring'!F69+'Telenor Forsikring'!F69+'Tryg Forsikring'!F69+'WaterCircle F'!F69+'Codan Forsikring'!F69+'Euro Accident'!F69</f>
        <v>0</v>
      </c>
      <c r="G69" s="166"/>
      <c r="H69" s="212">
        <f>'Fremtind Livsforsikring'!H69+'Danica Pensjonsforsikring'!H69+'DNB Livsforsikring'!H69+'Eika Forsikring AS'!H69+'Frende Livsforsikring'!H69+'Frende Skadeforsikring'!H69+'Gjensidige Forsikring'!H69+'Gjensidige Pensjon'!H69+'Handelsbanken Liv'!H69+'If Skadeforsikring NUF'!H69+KLP!H69+'DNB Bedriftspensjon'!H69+'KLP Skadeforsikring AS'!H69+'Landkreditt Forsikring'!H69+Insr!H69+'Nordea Liv '!H69+'Oslo Pensjonsforsikring'!H69+'Protector Forsikring'!H69+'SHB Liv'!H69+'Sparebank 1'!H69+'Storebrand Livsforsikring'!H69+'Telenor Forsikring'!H69+'Tryg Forsikring'!H69+'WaterCircle F'!H69+'Codan Forsikring'!H69+'Euro Accident'!H69</f>
        <v>0</v>
      </c>
      <c r="I69" s="212">
        <f>'Fremtind Livsforsikring'!I69+'Danica Pensjonsforsikring'!I69+'DNB Livsforsikring'!I69+'Eika Forsikring AS'!I69+'Frende Livsforsikring'!I69+'Frende Skadeforsikring'!I69+'Gjensidige Forsikring'!I69+'Gjensidige Pensjon'!I69+'Handelsbanken Liv'!I69+'If Skadeforsikring NUF'!I69+KLP!I69+'DNB Bedriftspensjon'!I69+'KLP Skadeforsikring AS'!I69+'Landkreditt Forsikring'!I69+Insr!I69+'Nordea Liv '!I69+'Oslo Pensjonsforsikring'!I69+'Protector Forsikring'!I69+'SHB Liv'!I69+'Sparebank 1'!I69+'Storebrand Livsforsikring'!I69+'Telenor Forsikring'!I69+'Tryg Forsikring'!I69+'WaterCircle F'!I69+'Codan Forsikring'!I69+'Euro Accident'!I69</f>
        <v>0</v>
      </c>
      <c r="J69" s="23"/>
    </row>
    <row r="70" spans="1:10" ht="15.75" customHeight="1" x14ac:dyDescent="0.2">
      <c r="A70" s="272" t="s">
        <v>12</v>
      </c>
      <c r="B70" s="212">
        <f>'Fremtind Livsforsikring'!B70+'Danica Pensjonsforsikring'!B70+'DNB Livsforsikring'!B70+'Eika Forsikring AS'!B70+'Frende Livsforsikring'!B70+'Frende Skadeforsikring'!B70+'Gjensidige Forsikring'!B70+'Gjensidige Pensjon'!B70+'Handelsbanken Liv'!B70+'If Skadeforsikring NUF'!B70+KLP!B70+'DNB Bedriftspensjon'!B70+'KLP Skadeforsikring AS'!B70+'Landkreditt Forsikring'!B70+Insr!B70+'Nordea Liv '!B70+'Oslo Pensjonsforsikring'!B70+'Protector Forsikring'!B70+'SHB Liv'!B70+'Sparebank 1'!B70+'Storebrand Livsforsikring'!B70+'Telenor Forsikring'!B70+'Tryg Forsikring'!B70+'WaterCircle F'!B70+'Codan Forsikring'!B70+'Euro Accident'!B70</f>
        <v>0</v>
      </c>
      <c r="C70" s="212">
        <f>'Fremtind Livsforsikring'!C70+'Danica Pensjonsforsikring'!C70+'DNB Livsforsikring'!C70+'Eika Forsikring AS'!C70+'Frende Livsforsikring'!C70+'Frende Skadeforsikring'!C70+'Gjensidige Forsikring'!C70+'Gjensidige Pensjon'!C70+'Handelsbanken Liv'!C70+'If Skadeforsikring NUF'!C70+KLP!C70+'DNB Bedriftspensjon'!C70+'KLP Skadeforsikring AS'!C70+'Landkreditt Forsikring'!C70+Insr!C70+'Nordea Liv '!C70+'Oslo Pensjonsforsikring'!C70+'Protector Forsikring'!C70+'SHB Liv'!C70+'Sparebank 1'!C70+'Storebrand Livsforsikring'!C70+'Telenor Forsikring'!C70+'Tryg Forsikring'!C70+'WaterCircle F'!C70+'Codan Forsikring'!C70+'Euro Accident'!C70</f>
        <v>0</v>
      </c>
      <c r="D70" s="27"/>
      <c r="E70" s="212">
        <f>'Fremtind Livsforsikring'!E70+'Danica Pensjonsforsikring'!E70+'DNB Livsforsikring'!E70+'Eika Forsikring AS'!E70+'Frende Livsforsikring'!E70+'Frende Skadeforsikring'!E70+'Gjensidige Forsikring'!E70+'Gjensidige Pensjon'!E70+'Handelsbanken Liv'!E70+'If Skadeforsikring NUF'!E70+KLP!E70+'DNB Bedriftspensjon'!E70+'KLP Skadeforsikring AS'!E70+'Landkreditt Forsikring'!E70+Insr!E70+'Nordea Liv '!E70+'Oslo Pensjonsforsikring'!E70+'Protector Forsikring'!E70+'SHB Liv'!E70+'Sparebank 1'!E70+'Storebrand Livsforsikring'!E70+'Telenor Forsikring'!E70+'Tryg Forsikring'!E70+'WaterCircle F'!E70+'Codan Forsikring'!E70+'Euro Accident'!E70</f>
        <v>0</v>
      </c>
      <c r="F70" s="212">
        <f>'Fremtind Livsforsikring'!F70+'Danica Pensjonsforsikring'!F70+'DNB Livsforsikring'!F70+'Eika Forsikring AS'!F70+'Frende Livsforsikring'!F70+'Frende Skadeforsikring'!F70+'Gjensidige Forsikring'!F70+'Gjensidige Pensjon'!F70+'Handelsbanken Liv'!F70+'If Skadeforsikring NUF'!F70+KLP!F70+'DNB Bedriftspensjon'!F70+'KLP Skadeforsikring AS'!F70+'Landkreditt Forsikring'!F70+Insr!F70+'Nordea Liv '!F70+'Oslo Pensjonsforsikring'!F70+'Protector Forsikring'!F70+'SHB Liv'!F70+'Sparebank 1'!F70+'Storebrand Livsforsikring'!F70+'Telenor Forsikring'!F70+'Tryg Forsikring'!F70+'WaterCircle F'!F70+'Codan Forsikring'!F70+'Euro Accident'!F70</f>
        <v>0</v>
      </c>
      <c r="G70" s="166"/>
      <c r="H70" s="212">
        <f>'Fremtind Livsforsikring'!H70+'Danica Pensjonsforsikring'!H70+'DNB Livsforsikring'!H70+'Eika Forsikring AS'!H70+'Frende Livsforsikring'!H70+'Frende Skadeforsikring'!H70+'Gjensidige Forsikring'!H70+'Gjensidige Pensjon'!H70+'Handelsbanken Liv'!H70+'If Skadeforsikring NUF'!H70+KLP!H70+'DNB Bedriftspensjon'!H70+'KLP Skadeforsikring AS'!H70+'Landkreditt Forsikring'!H70+Insr!H70+'Nordea Liv '!H70+'Oslo Pensjonsforsikring'!H70+'Protector Forsikring'!H70+'SHB Liv'!H70+'Sparebank 1'!H70+'Storebrand Livsforsikring'!H70+'Telenor Forsikring'!H70+'Tryg Forsikring'!H70+'WaterCircle F'!H70+'Codan Forsikring'!H70+'Euro Accident'!H70</f>
        <v>0</v>
      </c>
      <c r="I70" s="212">
        <f>'Fremtind Livsforsikring'!I70+'Danica Pensjonsforsikring'!I70+'DNB Livsforsikring'!I70+'Eika Forsikring AS'!I70+'Frende Livsforsikring'!I70+'Frende Skadeforsikring'!I70+'Gjensidige Forsikring'!I70+'Gjensidige Pensjon'!I70+'Handelsbanken Liv'!I70+'If Skadeforsikring NUF'!I70+KLP!I70+'DNB Bedriftspensjon'!I70+'KLP Skadeforsikring AS'!I70+'Landkreditt Forsikring'!I70+Insr!I70+'Nordea Liv '!I70+'Oslo Pensjonsforsikring'!I70+'Protector Forsikring'!I70+'SHB Liv'!I70+'Sparebank 1'!I70+'Storebrand Livsforsikring'!I70+'Telenor Forsikring'!I70+'Tryg Forsikring'!I70+'WaterCircle F'!I70+'Codan Forsikring'!I70+'Euro Accident'!I70</f>
        <v>0</v>
      </c>
      <c r="J70" s="23"/>
    </row>
    <row r="71" spans="1:10" ht="15.75" customHeight="1" x14ac:dyDescent="0.2">
      <c r="A71" s="272" t="s">
        <v>13</v>
      </c>
      <c r="B71" s="212">
        <f>'Fremtind Livsforsikring'!B71+'Danica Pensjonsforsikring'!B71+'DNB Livsforsikring'!B71+'Eika Forsikring AS'!B71+'Frende Livsforsikring'!B71+'Frende Skadeforsikring'!B71+'Gjensidige Forsikring'!B71+'Gjensidige Pensjon'!B71+'Handelsbanken Liv'!B71+'If Skadeforsikring NUF'!B71+KLP!B71+'DNB Bedriftspensjon'!B71+'KLP Skadeforsikring AS'!B71+'Landkreditt Forsikring'!B71+Insr!B71+'Nordea Liv '!B71+'Oslo Pensjonsforsikring'!B71+'Protector Forsikring'!B71+'SHB Liv'!B71+'Sparebank 1'!B71+'Storebrand Livsforsikring'!B71+'Telenor Forsikring'!B71+'Tryg Forsikring'!B71+'WaterCircle F'!B71+'Codan Forsikring'!B71+'Euro Accident'!B71</f>
        <v>0</v>
      </c>
      <c r="C71" s="212">
        <f>'Fremtind Livsforsikring'!C71+'Danica Pensjonsforsikring'!C71+'DNB Livsforsikring'!C71+'Eika Forsikring AS'!C71+'Frende Livsforsikring'!C71+'Frende Skadeforsikring'!C71+'Gjensidige Forsikring'!C71+'Gjensidige Pensjon'!C71+'Handelsbanken Liv'!C71+'If Skadeforsikring NUF'!C71+KLP!C71+'DNB Bedriftspensjon'!C71+'KLP Skadeforsikring AS'!C71+'Landkreditt Forsikring'!C71+Insr!C71+'Nordea Liv '!C71+'Oslo Pensjonsforsikring'!C71+'Protector Forsikring'!C71+'SHB Liv'!C71+'Sparebank 1'!C71+'Storebrand Livsforsikring'!C71+'Telenor Forsikring'!C71+'Tryg Forsikring'!C71+'WaterCircle F'!C71+'Codan Forsikring'!C71+'Euro Accident'!C71</f>
        <v>0</v>
      </c>
      <c r="D71" s="27"/>
      <c r="E71" s="212">
        <f>'Fremtind Livsforsikring'!E71+'Danica Pensjonsforsikring'!E71+'DNB Livsforsikring'!E71+'Eika Forsikring AS'!E71+'Frende Livsforsikring'!E71+'Frende Skadeforsikring'!E71+'Gjensidige Forsikring'!E71+'Gjensidige Pensjon'!E71+'Handelsbanken Liv'!E71+'If Skadeforsikring NUF'!E71+KLP!E71+'DNB Bedriftspensjon'!E71+'KLP Skadeforsikring AS'!E71+'Landkreditt Forsikring'!E71+Insr!E71+'Nordea Liv '!E71+'Oslo Pensjonsforsikring'!E71+'Protector Forsikring'!E71+'SHB Liv'!E71+'Sparebank 1'!E71+'Storebrand Livsforsikring'!E71+'Telenor Forsikring'!E71+'Tryg Forsikring'!E71+'WaterCircle F'!E71+'Codan Forsikring'!E71+'Euro Accident'!E71</f>
        <v>0</v>
      </c>
      <c r="F71" s="212">
        <f>'Fremtind Livsforsikring'!F71+'Danica Pensjonsforsikring'!F71+'DNB Livsforsikring'!F71+'Eika Forsikring AS'!F71+'Frende Livsforsikring'!F71+'Frende Skadeforsikring'!F71+'Gjensidige Forsikring'!F71+'Gjensidige Pensjon'!F71+'Handelsbanken Liv'!F71+'If Skadeforsikring NUF'!F71+KLP!F71+'DNB Bedriftspensjon'!F71+'KLP Skadeforsikring AS'!F71+'Landkreditt Forsikring'!F71+Insr!F71+'Nordea Liv '!F71+'Oslo Pensjonsforsikring'!F71+'Protector Forsikring'!F71+'SHB Liv'!F71+'Sparebank 1'!F71+'Storebrand Livsforsikring'!F71+'Telenor Forsikring'!F71+'Tryg Forsikring'!F71+'WaterCircle F'!F71+'Codan Forsikring'!F71+'Euro Accident'!F71</f>
        <v>0</v>
      </c>
      <c r="G71" s="166"/>
      <c r="H71" s="212">
        <f>'Fremtind Livsforsikring'!H71+'Danica Pensjonsforsikring'!H71+'DNB Livsforsikring'!H71+'Eika Forsikring AS'!H71+'Frende Livsforsikring'!H71+'Frende Skadeforsikring'!H71+'Gjensidige Forsikring'!H71+'Gjensidige Pensjon'!H71+'Handelsbanken Liv'!H71+'If Skadeforsikring NUF'!H71+KLP!H71+'DNB Bedriftspensjon'!H71+'KLP Skadeforsikring AS'!H71+'Landkreditt Forsikring'!H71+Insr!H71+'Nordea Liv '!H71+'Oslo Pensjonsforsikring'!H71+'Protector Forsikring'!H71+'SHB Liv'!H71+'Sparebank 1'!H71+'Storebrand Livsforsikring'!H71+'Telenor Forsikring'!H71+'Tryg Forsikring'!H71+'WaterCircle F'!H71+'Codan Forsikring'!H71+'Euro Accident'!H71</f>
        <v>0</v>
      </c>
      <c r="I71" s="212">
        <f>'Fremtind Livsforsikring'!I71+'Danica Pensjonsforsikring'!I71+'DNB Livsforsikring'!I71+'Eika Forsikring AS'!I71+'Frende Livsforsikring'!I71+'Frende Skadeforsikring'!I71+'Gjensidige Forsikring'!I71+'Gjensidige Pensjon'!I71+'Handelsbanken Liv'!I71+'If Skadeforsikring NUF'!I71+KLP!I71+'DNB Bedriftspensjon'!I71+'KLP Skadeforsikring AS'!I71+'Landkreditt Forsikring'!I71+Insr!I71+'Nordea Liv '!I71+'Oslo Pensjonsforsikring'!I71+'Protector Forsikring'!I71+'SHB Liv'!I71+'Sparebank 1'!I71+'Storebrand Livsforsikring'!I71+'Telenor Forsikring'!I71+'Tryg Forsikring'!I71+'WaterCircle F'!I71+'Codan Forsikring'!I71+'Euro Accident'!I71</f>
        <v>0</v>
      </c>
      <c r="J71" s="23"/>
    </row>
    <row r="72" spans="1:10" ht="15.75" customHeight="1" x14ac:dyDescent="0.2">
      <c r="A72" s="272" t="s">
        <v>357</v>
      </c>
      <c r="B72" s="212">
        <f>'Fremtind Livsforsikring'!B72+'Danica Pensjonsforsikring'!B72+'DNB Livsforsikring'!B72+'Eika Forsikring AS'!B72+'Frende Livsforsikring'!B72+'Frende Skadeforsikring'!B72+'Gjensidige Forsikring'!B72+'Gjensidige Pensjon'!B72+'Handelsbanken Liv'!B72+'If Skadeforsikring NUF'!B72+KLP!B72+'DNB Bedriftspensjon'!B72+'KLP Skadeforsikring AS'!B72+'Landkreditt Forsikring'!B72+Insr!B72+'Nordea Liv '!B72+'Oslo Pensjonsforsikring'!B72+'Protector Forsikring'!B72+'SHB Liv'!B72+'Sparebank 1'!B72+'Storebrand Livsforsikring'!B72+'Telenor Forsikring'!B72+'Tryg Forsikring'!B72+'WaterCircle F'!B72+'Codan Forsikring'!B72+'Euro Accident'!B72</f>
        <v>0</v>
      </c>
      <c r="C72" s="212">
        <f>'Fremtind Livsforsikring'!C72+'Danica Pensjonsforsikring'!C72+'DNB Livsforsikring'!C72+'Eika Forsikring AS'!C72+'Frende Livsforsikring'!C72+'Frende Skadeforsikring'!C72+'Gjensidige Forsikring'!C72+'Gjensidige Pensjon'!C72+'Handelsbanken Liv'!C72+'If Skadeforsikring NUF'!C72+KLP!C72+'DNB Bedriftspensjon'!C72+'KLP Skadeforsikring AS'!C72+'Landkreditt Forsikring'!C72+Insr!C72+'Nordea Liv '!C72+'Oslo Pensjonsforsikring'!C72+'Protector Forsikring'!C72+'SHB Liv'!C72+'Sparebank 1'!C72+'Storebrand Livsforsikring'!C72+'Telenor Forsikring'!C72+'Tryg Forsikring'!C72+'WaterCircle F'!C72+'Codan Forsikring'!C72+'Euro Accident'!C72</f>
        <v>0</v>
      </c>
      <c r="D72" s="27"/>
      <c r="E72" s="212">
        <f>'Fremtind Livsforsikring'!E72+'Danica Pensjonsforsikring'!E72+'DNB Livsforsikring'!E72+'Eika Forsikring AS'!E72+'Frende Livsforsikring'!E72+'Frende Skadeforsikring'!E72+'Gjensidige Forsikring'!E72+'Gjensidige Pensjon'!E72+'Handelsbanken Liv'!E72+'If Skadeforsikring NUF'!E72+KLP!E72+'DNB Bedriftspensjon'!E72+'KLP Skadeforsikring AS'!E72+'Landkreditt Forsikring'!E72+Insr!E72+'Nordea Liv '!E72+'Oslo Pensjonsforsikring'!E72+'Protector Forsikring'!E72+'SHB Liv'!E72+'Sparebank 1'!E72+'Storebrand Livsforsikring'!E72+'Telenor Forsikring'!E72+'Tryg Forsikring'!E72+'WaterCircle F'!E72+'Codan Forsikring'!E72+'Euro Accident'!E72</f>
        <v>0</v>
      </c>
      <c r="F72" s="212">
        <f>'Fremtind Livsforsikring'!F72+'Danica Pensjonsforsikring'!F72+'DNB Livsforsikring'!F72+'Eika Forsikring AS'!F72+'Frende Livsforsikring'!F72+'Frende Skadeforsikring'!F72+'Gjensidige Forsikring'!F72+'Gjensidige Pensjon'!F72+'Handelsbanken Liv'!F72+'If Skadeforsikring NUF'!F72+KLP!F72+'DNB Bedriftspensjon'!F72+'KLP Skadeforsikring AS'!F72+'Landkreditt Forsikring'!F72+Insr!F72+'Nordea Liv '!F72+'Oslo Pensjonsforsikring'!F72+'Protector Forsikring'!F72+'SHB Liv'!F72+'Sparebank 1'!F72+'Storebrand Livsforsikring'!F72+'Telenor Forsikring'!F72+'Tryg Forsikring'!F72+'WaterCircle F'!F72+'Codan Forsikring'!F72+'Euro Accident'!F72</f>
        <v>0</v>
      </c>
      <c r="G72" s="166"/>
      <c r="H72" s="212">
        <f>'Fremtind Livsforsikring'!H72+'Danica Pensjonsforsikring'!H72+'DNB Livsforsikring'!H72+'Eika Forsikring AS'!H72+'Frende Livsforsikring'!H72+'Frende Skadeforsikring'!H72+'Gjensidige Forsikring'!H72+'Gjensidige Pensjon'!H72+'Handelsbanken Liv'!H72+'If Skadeforsikring NUF'!H72+KLP!H72+'DNB Bedriftspensjon'!H72+'KLP Skadeforsikring AS'!H72+'Landkreditt Forsikring'!H72+Insr!H72+'Nordea Liv '!H72+'Oslo Pensjonsforsikring'!H72+'Protector Forsikring'!H72+'SHB Liv'!H72+'Sparebank 1'!H72+'Storebrand Livsforsikring'!H72+'Telenor Forsikring'!H72+'Tryg Forsikring'!H72+'WaterCircle F'!H72+'Codan Forsikring'!H72+'Euro Accident'!H72</f>
        <v>0</v>
      </c>
      <c r="I72" s="212">
        <f>'Fremtind Livsforsikring'!I72+'Danica Pensjonsforsikring'!I72+'DNB Livsforsikring'!I72+'Eika Forsikring AS'!I72+'Frende Livsforsikring'!I72+'Frende Skadeforsikring'!I72+'Gjensidige Forsikring'!I72+'Gjensidige Pensjon'!I72+'Handelsbanken Liv'!I72+'If Skadeforsikring NUF'!I72+KLP!I72+'DNB Bedriftspensjon'!I72+'KLP Skadeforsikring AS'!I72+'Landkreditt Forsikring'!I72+Insr!I72+'Nordea Liv '!I72+'Oslo Pensjonsforsikring'!I72+'Protector Forsikring'!I72+'SHB Liv'!I72+'Sparebank 1'!I72+'Storebrand Livsforsikring'!I72+'Telenor Forsikring'!I72+'Tryg Forsikring'!I72+'WaterCircle F'!I72+'Codan Forsikring'!I72+'Euro Accident'!I72</f>
        <v>0</v>
      </c>
      <c r="J72" s="24"/>
    </row>
    <row r="73" spans="1:10" ht="15.75" customHeight="1" x14ac:dyDescent="0.2">
      <c r="A73" s="272" t="s">
        <v>12</v>
      </c>
      <c r="B73" s="212">
        <f>'Fremtind Livsforsikring'!B73+'Danica Pensjonsforsikring'!B73+'DNB Livsforsikring'!B73+'Eika Forsikring AS'!B73+'Frende Livsforsikring'!B73+'Frende Skadeforsikring'!B73+'Gjensidige Forsikring'!B73+'Gjensidige Pensjon'!B73+'Handelsbanken Liv'!B73+'If Skadeforsikring NUF'!B73+KLP!B73+'DNB Bedriftspensjon'!B73+'KLP Skadeforsikring AS'!B73+'Landkreditt Forsikring'!B73+Insr!B73+'Nordea Liv '!B73+'Oslo Pensjonsforsikring'!B73+'Protector Forsikring'!B73+'SHB Liv'!B73+'Sparebank 1'!B73+'Storebrand Livsforsikring'!B73+'Telenor Forsikring'!B73+'Tryg Forsikring'!B73+'WaterCircle F'!B73+'Codan Forsikring'!B73+'Euro Accident'!B73</f>
        <v>0</v>
      </c>
      <c r="C73" s="212">
        <f>'Fremtind Livsforsikring'!C73+'Danica Pensjonsforsikring'!C73+'DNB Livsforsikring'!C73+'Eika Forsikring AS'!C73+'Frende Livsforsikring'!C73+'Frende Skadeforsikring'!C73+'Gjensidige Forsikring'!C73+'Gjensidige Pensjon'!C73+'Handelsbanken Liv'!C73+'If Skadeforsikring NUF'!C73+KLP!C73+'DNB Bedriftspensjon'!C73+'KLP Skadeforsikring AS'!C73+'Landkreditt Forsikring'!C73+Insr!C73+'Nordea Liv '!C73+'Oslo Pensjonsforsikring'!C73+'Protector Forsikring'!C73+'SHB Liv'!C73+'Sparebank 1'!C73+'Storebrand Livsforsikring'!C73+'Telenor Forsikring'!C73+'Tryg Forsikring'!C73+'WaterCircle F'!C73+'Codan Forsikring'!C73+'Euro Accident'!C73</f>
        <v>0</v>
      </c>
      <c r="D73" s="27"/>
      <c r="E73" s="212">
        <f>'Fremtind Livsforsikring'!E73+'Danica Pensjonsforsikring'!E73+'DNB Livsforsikring'!E73+'Eika Forsikring AS'!E73+'Frende Livsforsikring'!E73+'Frende Skadeforsikring'!E73+'Gjensidige Forsikring'!E73+'Gjensidige Pensjon'!E73+'Handelsbanken Liv'!E73+'If Skadeforsikring NUF'!E73+KLP!E73+'DNB Bedriftspensjon'!E73+'KLP Skadeforsikring AS'!E73+'Landkreditt Forsikring'!E73+Insr!E73+'Nordea Liv '!E73+'Oslo Pensjonsforsikring'!E73+'Protector Forsikring'!E73+'SHB Liv'!E73+'Sparebank 1'!E73+'Storebrand Livsforsikring'!E73+'Telenor Forsikring'!E73+'Tryg Forsikring'!E73+'WaterCircle F'!E73+'Codan Forsikring'!E73+'Euro Accident'!E73</f>
        <v>0</v>
      </c>
      <c r="F73" s="212">
        <f>'Fremtind Livsforsikring'!F73+'Danica Pensjonsforsikring'!F73+'DNB Livsforsikring'!F73+'Eika Forsikring AS'!F73+'Frende Livsforsikring'!F73+'Frende Skadeforsikring'!F73+'Gjensidige Forsikring'!F73+'Gjensidige Pensjon'!F73+'Handelsbanken Liv'!F73+'If Skadeforsikring NUF'!F73+KLP!F73+'DNB Bedriftspensjon'!F73+'KLP Skadeforsikring AS'!F73+'Landkreditt Forsikring'!F73+Insr!F73+'Nordea Liv '!F73+'Oslo Pensjonsforsikring'!F73+'Protector Forsikring'!F73+'SHB Liv'!F73+'Sparebank 1'!F73+'Storebrand Livsforsikring'!F73+'Telenor Forsikring'!F73+'Tryg Forsikring'!F73+'WaterCircle F'!F73+'Codan Forsikring'!F73+'Euro Accident'!F73</f>
        <v>0</v>
      </c>
      <c r="G73" s="166"/>
      <c r="H73" s="212">
        <f>'Fremtind Livsforsikring'!H73+'Danica Pensjonsforsikring'!H73+'DNB Livsforsikring'!H73+'Eika Forsikring AS'!H73+'Frende Livsforsikring'!H73+'Frende Skadeforsikring'!H73+'Gjensidige Forsikring'!H73+'Gjensidige Pensjon'!H73+'Handelsbanken Liv'!H73+'If Skadeforsikring NUF'!H73+KLP!H73+'DNB Bedriftspensjon'!H73+'KLP Skadeforsikring AS'!H73+'Landkreditt Forsikring'!H73+Insr!H73+'Nordea Liv '!H73+'Oslo Pensjonsforsikring'!H73+'Protector Forsikring'!H73+'SHB Liv'!H73+'Sparebank 1'!H73+'Storebrand Livsforsikring'!H73+'Telenor Forsikring'!H73+'Tryg Forsikring'!H73+'WaterCircle F'!H73+'Codan Forsikring'!H73+'Euro Accident'!H73</f>
        <v>0</v>
      </c>
      <c r="I73" s="212">
        <f>'Fremtind Livsforsikring'!I73+'Danica Pensjonsforsikring'!I73+'DNB Livsforsikring'!I73+'Eika Forsikring AS'!I73+'Frende Livsforsikring'!I73+'Frende Skadeforsikring'!I73+'Gjensidige Forsikring'!I73+'Gjensidige Pensjon'!I73+'Handelsbanken Liv'!I73+'If Skadeforsikring NUF'!I73+KLP!I73+'DNB Bedriftspensjon'!I73+'KLP Skadeforsikring AS'!I73+'Landkreditt Forsikring'!I73+Insr!I73+'Nordea Liv '!I73+'Oslo Pensjonsforsikring'!I73+'Protector Forsikring'!I73+'SHB Liv'!I73+'Sparebank 1'!I73+'Storebrand Livsforsikring'!I73+'Telenor Forsikring'!I73+'Tryg Forsikring'!I73+'WaterCircle F'!I73+'Codan Forsikring'!I73+'Euro Accident'!I73</f>
        <v>0</v>
      </c>
      <c r="J73" s="23"/>
    </row>
    <row r="74" spans="1:10" s="3" customFormat="1" ht="15.75" customHeight="1" x14ac:dyDescent="0.2">
      <c r="A74" s="272" t="s">
        <v>13</v>
      </c>
      <c r="B74" s="212">
        <f>'Fremtind Livsforsikring'!B74+'Danica Pensjonsforsikring'!B74+'DNB Livsforsikring'!B74+'Eika Forsikring AS'!B74+'Frende Livsforsikring'!B74+'Frende Skadeforsikring'!B74+'Gjensidige Forsikring'!B74+'Gjensidige Pensjon'!B74+'Handelsbanken Liv'!B74+'If Skadeforsikring NUF'!B74+KLP!B74+'DNB Bedriftspensjon'!B74+'KLP Skadeforsikring AS'!B74+'Landkreditt Forsikring'!B74+Insr!B74+'Nordea Liv '!B74+'Oslo Pensjonsforsikring'!B74+'Protector Forsikring'!B74+'SHB Liv'!B74+'Sparebank 1'!B74+'Storebrand Livsforsikring'!B74+'Telenor Forsikring'!B74+'Tryg Forsikring'!B74+'WaterCircle F'!B74+'Codan Forsikring'!B74+'Euro Accident'!B74</f>
        <v>0</v>
      </c>
      <c r="C74" s="212">
        <f>'Fremtind Livsforsikring'!C74+'Danica Pensjonsforsikring'!C74+'DNB Livsforsikring'!C74+'Eika Forsikring AS'!C74+'Frende Livsforsikring'!C74+'Frende Skadeforsikring'!C74+'Gjensidige Forsikring'!C74+'Gjensidige Pensjon'!C74+'Handelsbanken Liv'!C74+'If Skadeforsikring NUF'!C74+KLP!C74+'DNB Bedriftspensjon'!C74+'KLP Skadeforsikring AS'!C74+'Landkreditt Forsikring'!C74+Insr!C74+'Nordea Liv '!C74+'Oslo Pensjonsforsikring'!C74+'Protector Forsikring'!C74+'SHB Liv'!C74+'Sparebank 1'!C74+'Storebrand Livsforsikring'!C74+'Telenor Forsikring'!C74+'Tryg Forsikring'!C74+'WaterCircle F'!C74+'Codan Forsikring'!C74+'Euro Accident'!C74</f>
        <v>0</v>
      </c>
      <c r="D74" s="27"/>
      <c r="E74" s="212">
        <f>'Fremtind Livsforsikring'!E74+'Danica Pensjonsforsikring'!E74+'DNB Livsforsikring'!E74+'Eika Forsikring AS'!E74+'Frende Livsforsikring'!E74+'Frende Skadeforsikring'!E74+'Gjensidige Forsikring'!E74+'Gjensidige Pensjon'!E74+'Handelsbanken Liv'!E74+'If Skadeforsikring NUF'!E74+KLP!E74+'DNB Bedriftspensjon'!E74+'KLP Skadeforsikring AS'!E74+'Landkreditt Forsikring'!E74+Insr!E74+'Nordea Liv '!E74+'Oslo Pensjonsforsikring'!E74+'Protector Forsikring'!E74+'SHB Liv'!E74+'Sparebank 1'!E74+'Storebrand Livsforsikring'!E74+'Telenor Forsikring'!E74+'Tryg Forsikring'!E74+'WaterCircle F'!E74+'Codan Forsikring'!E74+'Euro Accident'!E74</f>
        <v>0</v>
      </c>
      <c r="F74" s="212">
        <f>'Fremtind Livsforsikring'!F74+'Danica Pensjonsforsikring'!F74+'DNB Livsforsikring'!F74+'Eika Forsikring AS'!F74+'Frende Livsforsikring'!F74+'Frende Skadeforsikring'!F74+'Gjensidige Forsikring'!F74+'Gjensidige Pensjon'!F74+'Handelsbanken Liv'!F74+'If Skadeforsikring NUF'!F74+KLP!F74+'DNB Bedriftspensjon'!F74+'KLP Skadeforsikring AS'!F74+'Landkreditt Forsikring'!F74+Insr!F74+'Nordea Liv '!F74+'Oslo Pensjonsforsikring'!F74+'Protector Forsikring'!F74+'SHB Liv'!F74+'Sparebank 1'!F74+'Storebrand Livsforsikring'!F74+'Telenor Forsikring'!F74+'Tryg Forsikring'!F74+'WaterCircle F'!F74+'Codan Forsikring'!F74+'Euro Accident'!F74</f>
        <v>0</v>
      </c>
      <c r="G74" s="166"/>
      <c r="H74" s="212">
        <f>'Fremtind Livsforsikring'!H74+'Danica Pensjonsforsikring'!H74+'DNB Livsforsikring'!H74+'Eika Forsikring AS'!H74+'Frende Livsforsikring'!H74+'Frende Skadeforsikring'!H74+'Gjensidige Forsikring'!H74+'Gjensidige Pensjon'!H74+'Handelsbanken Liv'!H74+'If Skadeforsikring NUF'!H74+KLP!H74+'DNB Bedriftspensjon'!H74+'KLP Skadeforsikring AS'!H74+'Landkreditt Forsikring'!H74+Insr!H74+'Nordea Liv '!H74+'Oslo Pensjonsforsikring'!H74+'Protector Forsikring'!H74+'SHB Liv'!H74+'Sparebank 1'!H74+'Storebrand Livsforsikring'!H74+'Telenor Forsikring'!H74+'Tryg Forsikring'!H74+'WaterCircle F'!H74+'Codan Forsikring'!H74+'Euro Accident'!H74</f>
        <v>0</v>
      </c>
      <c r="I74" s="212">
        <f>'Fremtind Livsforsikring'!I74+'Danica Pensjonsforsikring'!I74+'DNB Livsforsikring'!I74+'Eika Forsikring AS'!I74+'Frende Livsforsikring'!I74+'Frende Skadeforsikring'!I74+'Gjensidige Forsikring'!I74+'Gjensidige Pensjon'!I74+'Handelsbanken Liv'!I74+'If Skadeforsikring NUF'!I74+KLP!I74+'DNB Bedriftspensjon'!I74+'KLP Skadeforsikring AS'!I74+'Landkreditt Forsikring'!I74+Insr!I74+'Nordea Liv '!I74+'Oslo Pensjonsforsikring'!I74+'Protector Forsikring'!I74+'SHB Liv'!I74+'Sparebank 1'!I74+'Storebrand Livsforsikring'!I74+'Telenor Forsikring'!I74+'Tryg Forsikring'!I74+'WaterCircle F'!I74+'Codan Forsikring'!I74+'Euro Accident'!I74</f>
        <v>0</v>
      </c>
      <c r="J74" s="23"/>
    </row>
    <row r="75" spans="1:10" s="3" customFormat="1" ht="15.75" customHeight="1" x14ac:dyDescent="0.2">
      <c r="A75" s="21" t="s">
        <v>326</v>
      </c>
      <c r="B75" s="44">
        <f>'Fremtind Livsforsikring'!B75+'Danica Pensjonsforsikring'!B75+'DNB Livsforsikring'!B75+'Eika Forsikring AS'!B75+'Frende Livsforsikring'!B75+'Frende Skadeforsikring'!B75+'Gjensidige Forsikring'!B75+'Gjensidige Pensjon'!B75+'Handelsbanken Liv'!B75+'If Skadeforsikring NUF'!B75+KLP!B75+'DNB Bedriftspensjon'!B75+'KLP Skadeforsikring AS'!B75+'Landkreditt Forsikring'!B75+Insr!B75+'Nordea Liv '!B75+'Oslo Pensjonsforsikring'!B75+'Protector Forsikring'!B75+'SHB Liv'!B75+'Sparebank 1'!B75+'Storebrand Livsforsikring'!B75+'Telenor Forsikring'!B75+'Tryg Forsikring'!B75+'WaterCircle F'!B75+'Codan Forsikring'!B75+'Euro Accident'!B75</f>
        <v>129277.69422</v>
      </c>
      <c r="C75" s="44">
        <f>'Fremtind Livsforsikring'!C75+'Danica Pensjonsforsikring'!C75+'DNB Livsforsikring'!C75+'Eika Forsikring AS'!C75+'Frende Livsforsikring'!C75+'Frende Skadeforsikring'!C75+'Gjensidige Forsikring'!C75+'Gjensidige Pensjon'!C75+'Handelsbanken Liv'!C75+'If Skadeforsikring NUF'!C75+KLP!C75+'DNB Bedriftspensjon'!C75+'KLP Skadeforsikring AS'!C75+'Landkreditt Forsikring'!C75+Insr!C75+'Nordea Liv '!C75+'Oslo Pensjonsforsikring'!C75+'Protector Forsikring'!C75+'SHB Liv'!C75+'Sparebank 1'!C75+'Storebrand Livsforsikring'!C75+'Telenor Forsikring'!C75+'Tryg Forsikring'!C75+'WaterCircle F'!C75+'Codan Forsikring'!C75+'Euro Accident'!C75</f>
        <v>148389.73579999999</v>
      </c>
      <c r="D75" s="23">
        <f>IF(B75=0, "    ---- ", IF(ABS(ROUND(100/B75*C75-100,1))&lt;999,ROUND(100/B75*C75-100,1),IF(ROUND(100/B75*C75-100,1)&gt;999,999,-999)))</f>
        <v>14.8</v>
      </c>
      <c r="E75" s="44">
        <f>'Fremtind Livsforsikring'!F75+'Danica Pensjonsforsikring'!F75+'DNB Livsforsikring'!F75+'Eika Forsikring AS'!F75+'Frende Livsforsikring'!F75+'Frende Skadeforsikring'!F75+'Gjensidige Forsikring'!F75+'Gjensidige Pensjon'!F75+'Handelsbanken Liv'!F75+'If Skadeforsikring NUF'!F75+KLP!F75+'DNB Bedriftspensjon'!F75+'KLP Skadeforsikring AS'!F75+'Landkreditt Forsikring'!F75+Insr!F75+'Nordea Liv '!F75+'Oslo Pensjonsforsikring'!F75+'Protector Forsikring'!F75+'SHB Liv'!F75+'Sparebank 1'!F75+'Storebrand Livsforsikring'!F75+'Telenor Forsikring'!F75+'Tryg Forsikring'!F75+'WaterCircle F'!F75+'Codan Forsikring'!F75+'Euro Accident'!F75</f>
        <v>336886.22657000006</v>
      </c>
      <c r="F75" s="44">
        <f>'Fremtind Livsforsikring'!G75+'Danica Pensjonsforsikring'!G75+'DNB Livsforsikring'!G75+'Eika Forsikring AS'!G75+'Frende Livsforsikring'!G75+'Frende Skadeforsikring'!G75+'Gjensidige Forsikring'!G75+'Gjensidige Pensjon'!G75+'Handelsbanken Liv'!G75+'If Skadeforsikring NUF'!G75+KLP!G75+'DNB Bedriftspensjon'!G75+'KLP Skadeforsikring AS'!G75+'Landkreditt Forsikring'!G75+Insr!G75+'Nordea Liv '!G75+'Oslo Pensjonsforsikring'!G75+'Protector Forsikring'!G75+'SHB Liv'!G75+'Sparebank 1'!G75+'Storebrand Livsforsikring'!G75+'Telenor Forsikring'!G75+'Tryg Forsikring'!G75+'WaterCircle F'!G75+'Codan Forsikring'!G75+'Euro Accident'!G75</f>
        <v>371338.60479999997</v>
      </c>
      <c r="G75" s="23">
        <f t="shared" si="13"/>
        <v>10.199999999999999</v>
      </c>
      <c r="H75" s="214">
        <f t="shared" si="10"/>
        <v>466163.92079000006</v>
      </c>
      <c r="I75" s="214">
        <f t="shared" si="11"/>
        <v>519728.3406</v>
      </c>
      <c r="J75" s="23">
        <f t="shared" si="12"/>
        <v>11.5</v>
      </c>
    </row>
    <row r="76" spans="1:10" s="3" customFormat="1" ht="15.75" customHeight="1" x14ac:dyDescent="0.2">
      <c r="A76" s="21" t="s">
        <v>325</v>
      </c>
      <c r="B76" s="44">
        <f>'Fremtind Livsforsikring'!B76+'Danica Pensjonsforsikring'!B76+'DNB Livsforsikring'!B76+'Eika Forsikring AS'!B76+'Frende Livsforsikring'!B76+'Frende Skadeforsikring'!B76+'Gjensidige Forsikring'!B76+'Gjensidige Pensjon'!B76+'Handelsbanken Liv'!B76+'If Skadeforsikring NUF'!B76+KLP!B76+'DNB Bedriftspensjon'!B76+'KLP Skadeforsikring AS'!B76+'Landkreditt Forsikring'!B76+Insr!B76+'Nordea Liv '!B76+'Oslo Pensjonsforsikring'!B76+'Protector Forsikring'!B76+'SHB Liv'!B76+'Sparebank 1'!B76+'Storebrand Livsforsikring'!B76+'Telenor Forsikring'!B76+'Tryg Forsikring'!B76+'WaterCircle F'!B76+'Codan Forsikring'!B76+'Euro Accident'!B76</f>
        <v>506328.70999999996</v>
      </c>
      <c r="C76" s="44">
        <f>'Fremtind Livsforsikring'!C76+'Danica Pensjonsforsikring'!C76+'DNB Livsforsikring'!C76+'Eika Forsikring AS'!C76+'Frende Livsforsikring'!C76+'Frende Skadeforsikring'!C76+'Gjensidige Forsikring'!C76+'Gjensidige Pensjon'!C76+'Handelsbanken Liv'!C76+'If Skadeforsikring NUF'!C76+KLP!C76+'DNB Bedriftspensjon'!C76+'KLP Skadeforsikring AS'!C76+'Landkreditt Forsikring'!C76+Insr!C76+'Nordea Liv '!C76+'Oslo Pensjonsforsikring'!C76+'Protector Forsikring'!C76+'SHB Liv'!C76+'Sparebank 1'!C76+'Storebrand Livsforsikring'!C76+'Telenor Forsikring'!C76+'Tryg Forsikring'!C76+'WaterCircle F'!C76+'Codan Forsikring'!C76+'Euro Accident'!C76</f>
        <v>535759.03616000002</v>
      </c>
      <c r="D76" s="23">
        <f>IF(B76=0, "    ---- ", IF(ABS(ROUND(100/B76*C76-100,1))&lt;999,ROUND(100/B76*C76-100,1),IF(ROUND(100/B76*C76-100,1)&gt;999,999,-999)))</f>
        <v>5.8</v>
      </c>
      <c r="E76" s="44">
        <f>'Fremtind Livsforsikring'!F76+'Danica Pensjonsforsikring'!F76+'DNB Livsforsikring'!F76+'Eika Forsikring AS'!F76+'Frende Livsforsikring'!F76+'Frende Skadeforsikring'!F76+'Gjensidige Forsikring'!F76+'Gjensidige Pensjon'!F76+'Handelsbanken Liv'!F76+'If Skadeforsikring NUF'!F76+KLP!F76+'DNB Bedriftspensjon'!F76+'KLP Skadeforsikring AS'!F76+'Landkreditt Forsikring'!F76+Insr!F76+'Nordea Liv '!F76+'Oslo Pensjonsforsikring'!F76+'Protector Forsikring'!F76+'SHB Liv'!F76+'Sparebank 1'!F76+'Storebrand Livsforsikring'!F76+'Telenor Forsikring'!F76+'Tryg Forsikring'!F76+'WaterCircle F'!F76+'Codan Forsikring'!F76+'Euro Accident'!F76</f>
        <v>0</v>
      </c>
      <c r="F76" s="44">
        <f>'Fremtind Livsforsikring'!G76+'Danica Pensjonsforsikring'!G76+'DNB Livsforsikring'!G76+'Eika Forsikring AS'!G76+'Frende Livsforsikring'!G76+'Frende Skadeforsikring'!G76+'Gjensidige Forsikring'!G76+'Gjensidige Pensjon'!G76+'Handelsbanken Liv'!G76+'If Skadeforsikring NUF'!G76+KLP!G76+'DNB Bedriftspensjon'!G76+'KLP Skadeforsikring AS'!G76+'Landkreditt Forsikring'!G76+Insr!G76+'Nordea Liv '!G76+'Oslo Pensjonsforsikring'!G76+'Protector Forsikring'!G76+'SHB Liv'!G76+'Sparebank 1'!G76+'Storebrand Livsforsikring'!G76+'Telenor Forsikring'!G76+'Tryg Forsikring'!G76+'WaterCircle F'!G76+'Codan Forsikring'!G76+'Euro Accident'!G76</f>
        <v>0</v>
      </c>
      <c r="G76" s="166"/>
      <c r="H76" s="214">
        <f>SUM(B76,E76)</f>
        <v>506328.70999999996</v>
      </c>
      <c r="I76" s="214">
        <f>SUM(C76,F76)</f>
        <v>535759.03616000002</v>
      </c>
      <c r="J76" s="23">
        <f>IF(H76=0, "    ---- ", IF(ABS(ROUND(100/H76*I76-100,1))&lt;999,ROUND(100/H76*I76-100,1),IF(ROUND(100/H76*I76-100,1)&gt;999,999,-999)))</f>
        <v>5.8</v>
      </c>
    </row>
    <row r="77" spans="1:10" ht="15.75" customHeight="1" x14ac:dyDescent="0.2">
      <c r="A77" s="21" t="s">
        <v>358</v>
      </c>
      <c r="B77" s="44">
        <f>'Fremtind Livsforsikring'!B77+'Danica Pensjonsforsikring'!B77+'DNB Livsforsikring'!B77+'Eika Forsikring AS'!B77+'Frende Livsforsikring'!B77+'Frende Skadeforsikring'!B77+'Gjensidige Forsikring'!B77+'Gjensidige Pensjon'!B77+'Handelsbanken Liv'!B77+'If Skadeforsikring NUF'!B77+KLP!B77+'DNB Bedriftspensjon'!B77+'KLP Skadeforsikring AS'!B77+'Landkreditt Forsikring'!B77+Insr!B77+'Nordea Liv '!B77+'Oslo Pensjonsforsikring'!B77+'Protector Forsikring'!B77+'SHB Liv'!B77+'Sparebank 1'!B77+'Storebrand Livsforsikring'!B77+'Telenor Forsikring'!B77+'Tryg Forsikring'!B77+'WaterCircle F'!B77+'Codan Forsikring'!B77+'Euro Accident'!B77</f>
        <v>2740712.8656899999</v>
      </c>
      <c r="C77" s="211">
        <f>'Fremtind Livsforsikring'!C77+'Danica Pensjonsforsikring'!C77+'DNB Livsforsikring'!C77+'Eika Forsikring AS'!C77+'Frende Livsforsikring'!C77+'Frende Skadeforsikring'!C77+'Gjensidige Forsikring'!C77+'Gjensidige Pensjon'!C77+'Handelsbanken Liv'!C77+'If Skadeforsikring NUF'!C77+KLP!C77+'DNB Bedriftspensjon'!C77+'KLP Skadeforsikring AS'!C77+'Landkreditt Forsikring'!C77+Insr!C77+'Nordea Liv '!C77+'Oslo Pensjonsforsikring'!C77+'Protector Forsikring'!C77+'SHB Liv'!C77+'Sparebank 1'!C77+'Storebrand Livsforsikring'!C77+'Telenor Forsikring'!C77+'Tryg Forsikring'!C77+'WaterCircle F'!C77+'Codan Forsikring'!C77+'Euro Accident'!C77</f>
        <v>2345604.3716600002</v>
      </c>
      <c r="D77" s="23">
        <f>IF(B77=0, "    ---- ", IF(ABS(ROUND(100/B77*C77-100,1))&lt;999,ROUND(100/B77*C77-100,1),IF(ROUND(100/B77*C77-100,1)&gt;999,999,-999)))</f>
        <v>-14.4</v>
      </c>
      <c r="E77" s="44">
        <f>'Fremtind Livsforsikring'!F77+'Danica Pensjonsforsikring'!F77+'DNB Livsforsikring'!F77+'Eika Forsikring AS'!F77+'Frende Livsforsikring'!F77+'Frende Skadeforsikring'!F77+'Gjensidige Forsikring'!F77+'Gjensidige Pensjon'!F77+'Handelsbanken Liv'!F77+'If Skadeforsikring NUF'!F77+KLP!F77+'DNB Bedriftspensjon'!F77+'KLP Skadeforsikring AS'!F77+'Landkreditt Forsikring'!F77+Insr!F77+'Nordea Liv '!F77+'Oslo Pensjonsforsikring'!F77+'Protector Forsikring'!F77+'SHB Liv'!F77+'Sparebank 1'!F77+'Storebrand Livsforsikring'!F77+'Telenor Forsikring'!F77+'Tryg Forsikring'!F77+'WaterCircle F'!F77+'Codan Forsikring'!F77+'Euro Accident'!F77</f>
        <v>8450981.6853500009</v>
      </c>
      <c r="F77" s="44">
        <f>'Fremtind Livsforsikring'!G77+'Danica Pensjonsforsikring'!G77+'DNB Livsforsikring'!G77+'Eika Forsikring AS'!G77+'Frende Livsforsikring'!G77+'Frende Skadeforsikring'!G77+'Gjensidige Forsikring'!G77+'Gjensidige Pensjon'!G77+'Handelsbanken Liv'!G77+'If Skadeforsikring NUF'!G77+KLP!G77+'DNB Bedriftspensjon'!G77+'KLP Skadeforsikring AS'!G77+'Landkreditt Forsikring'!G77+Insr!G77+'Nordea Liv '!G77+'Oslo Pensjonsforsikring'!G77+'Protector Forsikring'!G77+'SHB Liv'!G77+'Sparebank 1'!G77+'Storebrand Livsforsikring'!G77+'Telenor Forsikring'!G77+'Tryg Forsikring'!G77+'WaterCircle F'!G77+'Codan Forsikring'!G77+'Euro Accident'!G77</f>
        <v>9155638.4229000006</v>
      </c>
      <c r="G77" s="23">
        <f t="shared" si="13"/>
        <v>8.3000000000000007</v>
      </c>
      <c r="H77" s="214">
        <f t="shared" si="10"/>
        <v>11191694.551040001</v>
      </c>
      <c r="I77" s="214">
        <f t="shared" si="11"/>
        <v>11501242.79456</v>
      </c>
      <c r="J77" s="23">
        <f t="shared" si="12"/>
        <v>2.8</v>
      </c>
    </row>
    <row r="78" spans="1:10" ht="15.75" customHeight="1" x14ac:dyDescent="0.2">
      <c r="A78" s="21" t="s">
        <v>9</v>
      </c>
      <c r="B78" s="44">
        <f>'Fremtind Livsforsikring'!B78+'Danica Pensjonsforsikring'!B78+'DNB Livsforsikring'!B78+'Eika Forsikring AS'!B78+'Frende Livsforsikring'!B78+'Frende Skadeforsikring'!B78+'Gjensidige Forsikring'!B78+'Gjensidige Pensjon'!B78+'Handelsbanken Liv'!B78+'If Skadeforsikring NUF'!B78+KLP!B78+'DNB Bedriftspensjon'!B78+'KLP Skadeforsikring AS'!B78+'Landkreditt Forsikring'!B78+Insr!B78+'Nordea Liv '!B78+'Oslo Pensjonsforsikring'!B78+'Protector Forsikring'!B78+'SHB Liv'!B78+'Sparebank 1'!B78+'Storebrand Livsforsikring'!B78+'Telenor Forsikring'!B78+'Tryg Forsikring'!B78+'WaterCircle F'!B78+'Codan Forsikring'!B78+'Euro Accident'!B78</f>
        <v>2647603.24798</v>
      </c>
      <c r="C78" s="211">
        <f>'Fremtind Livsforsikring'!C78+'Danica Pensjonsforsikring'!C78+'DNB Livsforsikring'!C78+'Eika Forsikring AS'!C78+'Frende Livsforsikring'!C78+'Frende Skadeforsikring'!C78+'Gjensidige Forsikring'!C78+'Gjensidige Pensjon'!C78+'Handelsbanken Liv'!C78+'If Skadeforsikring NUF'!C78+KLP!C78+'DNB Bedriftspensjon'!C78+'KLP Skadeforsikring AS'!C78+'Landkreditt Forsikring'!C78+Insr!C78+'Nordea Liv '!C78+'Oslo Pensjonsforsikring'!C78+'Protector Forsikring'!C78+'SHB Liv'!C78+'Sparebank 1'!C78+'Storebrand Livsforsikring'!C78+'Telenor Forsikring'!C78+'Tryg Forsikring'!C78+'WaterCircle F'!C78+'Codan Forsikring'!C78+'Euro Accident'!C78</f>
        <v>2332620.3522600001</v>
      </c>
      <c r="D78" s="23">
        <f>IF(B78=0, "    ---- ", IF(ABS(ROUND(100/B78*C78-100,1))&lt;999,ROUND(100/B78*C78-100,1),IF(ROUND(100/B78*C78-100,1)&gt;999,999,-999)))</f>
        <v>-11.9</v>
      </c>
      <c r="E78" s="44">
        <f>'Fremtind Livsforsikring'!F78+'Danica Pensjonsforsikring'!F78+'DNB Livsforsikring'!F78+'Eika Forsikring AS'!F78+'Frende Livsforsikring'!F78+'Frende Skadeforsikring'!F78+'Gjensidige Forsikring'!F78+'Gjensidige Pensjon'!F78+'Handelsbanken Liv'!F78+'If Skadeforsikring NUF'!F78+KLP!F78+'DNB Bedriftspensjon'!F78+'KLP Skadeforsikring AS'!F78+'Landkreditt Forsikring'!F78+Insr!F78+'Nordea Liv '!F78+'Oslo Pensjonsforsikring'!F78+'Protector Forsikring'!F78+'SHB Liv'!F78+'Sparebank 1'!F78+'Storebrand Livsforsikring'!F78+'Telenor Forsikring'!F78+'Tryg Forsikring'!F78+'WaterCircle F'!F78+'Codan Forsikring'!F78+'Euro Accident'!F78</f>
        <v>0</v>
      </c>
      <c r="F78" s="44">
        <f>'Fremtind Livsforsikring'!G78+'Danica Pensjonsforsikring'!G78+'DNB Livsforsikring'!G78+'Eika Forsikring AS'!G78+'Frende Livsforsikring'!G78+'Frende Skadeforsikring'!G78+'Gjensidige Forsikring'!G78+'Gjensidige Pensjon'!G78+'Handelsbanken Liv'!G78+'If Skadeforsikring NUF'!G78+KLP!G78+'DNB Bedriftspensjon'!G78+'KLP Skadeforsikring AS'!G78+'Landkreditt Forsikring'!G78+Insr!G78+'Nordea Liv '!G78+'Oslo Pensjonsforsikring'!G78+'Protector Forsikring'!G78+'SHB Liv'!G78+'Sparebank 1'!G78+'Storebrand Livsforsikring'!G78+'Telenor Forsikring'!G78+'Tryg Forsikring'!G78+'WaterCircle F'!G78+'Codan Forsikring'!G78+'Euro Accident'!G78</f>
        <v>0</v>
      </c>
      <c r="G78" s="166"/>
      <c r="H78" s="214">
        <f t="shared" si="10"/>
        <v>2647603.24798</v>
      </c>
      <c r="I78" s="214">
        <f t="shared" si="11"/>
        <v>2332620.3522600001</v>
      </c>
      <c r="J78" s="23">
        <f t="shared" si="12"/>
        <v>-11.9</v>
      </c>
    </row>
    <row r="79" spans="1:10" ht="15.75" customHeight="1" x14ac:dyDescent="0.2">
      <c r="A79" s="38" t="s">
        <v>398</v>
      </c>
      <c r="B79" s="44">
        <f>'Fremtind Livsforsikring'!B79+'Danica Pensjonsforsikring'!B79+'DNB Livsforsikring'!B79+'Eika Forsikring AS'!B79+'Frende Livsforsikring'!B79+'Frende Skadeforsikring'!B79+'Gjensidige Forsikring'!B79+'Gjensidige Pensjon'!B79+'Handelsbanken Liv'!B79+'If Skadeforsikring NUF'!B79+KLP!B79+'DNB Bedriftspensjon'!B79+'KLP Skadeforsikring AS'!B79+'Landkreditt Forsikring'!B79+Insr!B79+'Nordea Liv '!B79+'Oslo Pensjonsforsikring'!B79+'Protector Forsikring'!B79+'SHB Liv'!B79+'Sparebank 1'!B79+'Storebrand Livsforsikring'!B79+'Telenor Forsikring'!B79+'Tryg Forsikring'!B79+'WaterCircle F'!B79+'Codan Forsikring'!B79+'Euro Accident'!B79</f>
        <v>93109.617710000006</v>
      </c>
      <c r="C79" s="145">
        <f>'Fremtind Livsforsikring'!C79+'Danica Pensjonsforsikring'!C79+'DNB Livsforsikring'!C79+'Eika Forsikring AS'!C79+'Frende Livsforsikring'!C79+'Frende Skadeforsikring'!C79+'Gjensidige Forsikring'!C79+'Gjensidige Pensjon'!C79+'Handelsbanken Liv'!C79+'If Skadeforsikring NUF'!C79+KLP!C79+'DNB Bedriftspensjon'!C79+'KLP Skadeforsikring AS'!C79+'Landkreditt Forsikring'!C79+Insr!C79+'Nordea Liv '!C79+'Oslo Pensjonsforsikring'!C79+'Protector Forsikring'!C79+'SHB Liv'!C79+'Sparebank 1'!C79+'Storebrand Livsforsikring'!C79+'Telenor Forsikring'!C79+'Tryg Forsikring'!C79+'WaterCircle F'!C79+'Codan Forsikring'!C79+'Euro Accident'!C79</f>
        <v>12984.019399999999</v>
      </c>
      <c r="D79" s="23">
        <f>IF(B79=0, "    ---- ", IF(ABS(ROUND(100/B79*C79-100,1))&lt;999,ROUND(100/B79*C79-100,1),IF(ROUND(100/B79*C79-100,1)&gt;999,999,-999)))</f>
        <v>-86.1</v>
      </c>
      <c r="E79" s="44">
        <f>'Fremtind Livsforsikring'!F79+'Danica Pensjonsforsikring'!F79+'DNB Livsforsikring'!F79+'Eika Forsikring AS'!F79+'Frende Livsforsikring'!F79+'Frende Skadeforsikring'!F79+'Gjensidige Forsikring'!F79+'Gjensidige Pensjon'!F79+'Handelsbanken Liv'!F79+'If Skadeforsikring NUF'!F79+KLP!F79+'DNB Bedriftspensjon'!F79+'KLP Skadeforsikring AS'!F79+'Landkreditt Forsikring'!F79+Insr!F79+'Nordea Liv '!F79+'Oslo Pensjonsforsikring'!F79+'Protector Forsikring'!F79+'SHB Liv'!F79+'Sparebank 1'!F79+'Storebrand Livsforsikring'!F79+'Telenor Forsikring'!F79+'Tryg Forsikring'!F79+'WaterCircle F'!F79+'Codan Forsikring'!F79+'Euro Accident'!F79</f>
        <v>8450981.6853500009</v>
      </c>
      <c r="F79" s="44">
        <f>'Fremtind Livsforsikring'!G79+'Danica Pensjonsforsikring'!G79+'DNB Livsforsikring'!G79+'Eika Forsikring AS'!G79+'Frende Livsforsikring'!G79+'Frende Skadeforsikring'!G79+'Gjensidige Forsikring'!G79+'Gjensidige Pensjon'!G79+'Handelsbanken Liv'!G79+'If Skadeforsikring NUF'!G79+KLP!G79+'DNB Bedriftspensjon'!G79+'KLP Skadeforsikring AS'!G79+'Landkreditt Forsikring'!G79+Insr!G79+'Nordea Liv '!G79+'Oslo Pensjonsforsikring'!G79+'Protector Forsikring'!G79+'SHB Liv'!G79+'Sparebank 1'!G79+'Storebrand Livsforsikring'!G79+'Telenor Forsikring'!G79+'Tryg Forsikring'!G79+'WaterCircle F'!G79+'Codan Forsikring'!G79+'Euro Accident'!G79</f>
        <v>9155638.4229000006</v>
      </c>
      <c r="G79" s="23">
        <f t="shared" si="13"/>
        <v>8.3000000000000007</v>
      </c>
      <c r="H79" s="214">
        <f t="shared" si="10"/>
        <v>8544091.3030600008</v>
      </c>
      <c r="I79" s="214">
        <f t="shared" si="11"/>
        <v>9168622.4423000012</v>
      </c>
      <c r="J79" s="23">
        <f t="shared" si="12"/>
        <v>7.3</v>
      </c>
    </row>
    <row r="80" spans="1:10" ht="15.75" customHeight="1" x14ac:dyDescent="0.2">
      <c r="A80" s="272" t="s">
        <v>356</v>
      </c>
      <c r="B80" s="212">
        <f>'Fremtind Livsforsikring'!B80+'Danica Pensjonsforsikring'!B80+'DNB Livsforsikring'!B80+'Eika Forsikring AS'!B80+'Frende Livsforsikring'!B80+'Frende Skadeforsikring'!B80+'Gjensidige Forsikring'!B80+'Gjensidige Pensjon'!B80+'Handelsbanken Liv'!B80+'If Skadeforsikring NUF'!B80+KLP!B80+'DNB Bedriftspensjon'!B80+'KLP Skadeforsikring AS'!B80+'Landkreditt Forsikring'!B80+Insr!B80+'Nordea Liv '!B80+'Oslo Pensjonsforsikring'!B80+'Protector Forsikring'!B80+'SHB Liv'!B80+'Sparebank 1'!B80+'Storebrand Livsforsikring'!B80+'Telenor Forsikring'!B80+'Tryg Forsikring'!B80+'WaterCircle F'!B80+'Codan Forsikring'!B80+'Euro Accident'!B80</f>
        <v>0</v>
      </c>
      <c r="C80" s="212">
        <f>'Fremtind Livsforsikring'!C80+'Danica Pensjonsforsikring'!C80+'DNB Livsforsikring'!C80+'Eika Forsikring AS'!C80+'Frende Livsforsikring'!C80+'Frende Skadeforsikring'!C80+'Gjensidige Forsikring'!C80+'Gjensidige Pensjon'!C80+'Handelsbanken Liv'!C80+'If Skadeforsikring NUF'!C80+KLP!C80+'DNB Bedriftspensjon'!C80+'KLP Skadeforsikring AS'!C80+'Landkreditt Forsikring'!C80+Insr!C80+'Nordea Liv '!C80+'Oslo Pensjonsforsikring'!C80+'Protector Forsikring'!C80+'SHB Liv'!C80+'Sparebank 1'!C80+'Storebrand Livsforsikring'!C80+'Telenor Forsikring'!C80+'Tryg Forsikring'!C80+'WaterCircle F'!C80+'Codan Forsikring'!C80+'Euro Accident'!C80</f>
        <v>0</v>
      </c>
      <c r="D80" s="27"/>
      <c r="E80" s="212"/>
      <c r="F80" s="212"/>
      <c r="G80" s="166"/>
      <c r="H80" s="212"/>
      <c r="I80" s="212"/>
      <c r="J80" s="23"/>
    </row>
    <row r="81" spans="1:13" ht="15.75" customHeight="1" x14ac:dyDescent="0.2">
      <c r="A81" s="272" t="s">
        <v>12</v>
      </c>
      <c r="B81" s="212">
        <f>'Fremtind Livsforsikring'!B81+'Danica Pensjonsforsikring'!B81+'DNB Livsforsikring'!B81+'Eika Forsikring AS'!B81+'Frende Livsforsikring'!B81+'Frende Skadeforsikring'!B81+'Gjensidige Forsikring'!B81+'Gjensidige Pensjon'!B81+'Handelsbanken Liv'!B81+'If Skadeforsikring NUF'!B81+KLP!B81+'DNB Bedriftspensjon'!B81+'KLP Skadeforsikring AS'!B81+'Landkreditt Forsikring'!B81+Insr!B81+'Nordea Liv '!B81+'Oslo Pensjonsforsikring'!B81+'Protector Forsikring'!B81+'SHB Liv'!B81+'Sparebank 1'!B81+'Storebrand Livsforsikring'!B81+'Telenor Forsikring'!B81+'Tryg Forsikring'!B81+'WaterCircle F'!B81+'Codan Forsikring'!B81+'Euro Accident'!B81</f>
        <v>0</v>
      </c>
      <c r="C81" s="212">
        <f>'Fremtind Livsforsikring'!C81+'Danica Pensjonsforsikring'!C81+'DNB Livsforsikring'!C81+'Eika Forsikring AS'!C81+'Frende Livsforsikring'!C81+'Frende Skadeforsikring'!C81+'Gjensidige Forsikring'!C81+'Gjensidige Pensjon'!C81+'Handelsbanken Liv'!C81+'If Skadeforsikring NUF'!C81+KLP!C81+'DNB Bedriftspensjon'!C81+'KLP Skadeforsikring AS'!C81+'Landkreditt Forsikring'!C81+Insr!C81+'Nordea Liv '!C81+'Oslo Pensjonsforsikring'!C81+'Protector Forsikring'!C81+'SHB Liv'!C81+'Sparebank 1'!C81+'Storebrand Livsforsikring'!C81+'Telenor Forsikring'!C81+'Tryg Forsikring'!C81+'WaterCircle F'!C81+'Codan Forsikring'!C81+'Euro Accident'!C81</f>
        <v>0</v>
      </c>
      <c r="D81" s="27"/>
      <c r="E81" s="212"/>
      <c r="F81" s="212"/>
      <c r="G81" s="166"/>
      <c r="H81" s="212"/>
      <c r="I81" s="212"/>
      <c r="J81" s="23"/>
    </row>
    <row r="82" spans="1:13" ht="15.75" customHeight="1" x14ac:dyDescent="0.2">
      <c r="A82" s="272" t="s">
        <v>13</v>
      </c>
      <c r="B82" s="212">
        <f>'Fremtind Livsforsikring'!B82+'Danica Pensjonsforsikring'!B82+'DNB Livsforsikring'!B82+'Eika Forsikring AS'!B82+'Frende Livsforsikring'!B82+'Frende Skadeforsikring'!B82+'Gjensidige Forsikring'!B82+'Gjensidige Pensjon'!B82+'Handelsbanken Liv'!B82+'If Skadeforsikring NUF'!B82+KLP!B82+'DNB Bedriftspensjon'!B82+'KLP Skadeforsikring AS'!B82+'Landkreditt Forsikring'!B82+Insr!B82+'Nordea Liv '!B82+'Oslo Pensjonsforsikring'!B82+'Protector Forsikring'!B82+'SHB Liv'!B82+'Sparebank 1'!B82+'Storebrand Livsforsikring'!B82+'Telenor Forsikring'!B82+'Tryg Forsikring'!B82+'WaterCircle F'!B82+'Codan Forsikring'!B82+'Euro Accident'!B82</f>
        <v>0</v>
      </c>
      <c r="C82" s="212">
        <f>'Fremtind Livsforsikring'!C82+'Danica Pensjonsforsikring'!C82+'DNB Livsforsikring'!C82+'Eika Forsikring AS'!C82+'Frende Livsforsikring'!C82+'Frende Skadeforsikring'!C82+'Gjensidige Forsikring'!C82+'Gjensidige Pensjon'!C82+'Handelsbanken Liv'!C82+'If Skadeforsikring NUF'!C82+KLP!C82+'DNB Bedriftspensjon'!C82+'KLP Skadeforsikring AS'!C82+'Landkreditt Forsikring'!C82+Insr!C82+'Nordea Liv '!C82+'Oslo Pensjonsforsikring'!C82+'Protector Forsikring'!C82+'SHB Liv'!C82+'Sparebank 1'!C82+'Storebrand Livsforsikring'!C82+'Telenor Forsikring'!C82+'Tryg Forsikring'!C82+'WaterCircle F'!C82+'Codan Forsikring'!C82+'Euro Accident'!C82</f>
        <v>0</v>
      </c>
      <c r="D82" s="27"/>
      <c r="E82" s="212"/>
      <c r="F82" s="212"/>
      <c r="G82" s="166"/>
      <c r="H82" s="212"/>
      <c r="I82" s="212"/>
      <c r="J82" s="23"/>
    </row>
    <row r="83" spans="1:13" ht="15.75" customHeight="1" x14ac:dyDescent="0.2">
      <c r="A83" s="272" t="s">
        <v>357</v>
      </c>
      <c r="B83" s="212">
        <f>'Fremtind Livsforsikring'!B83+'Danica Pensjonsforsikring'!B83+'DNB Livsforsikring'!B83+'Eika Forsikring AS'!B83+'Frende Livsforsikring'!B83+'Frende Skadeforsikring'!B83+'Gjensidige Forsikring'!B83+'Gjensidige Pensjon'!B83+'Handelsbanken Liv'!B83+'If Skadeforsikring NUF'!B83+KLP!B83+'DNB Bedriftspensjon'!B83+'KLP Skadeforsikring AS'!B83+'Landkreditt Forsikring'!B83+Insr!B83+'Nordea Liv '!B83+'Oslo Pensjonsforsikring'!B83+'Protector Forsikring'!B83+'SHB Liv'!B83+'Sparebank 1'!B83+'Storebrand Livsforsikring'!B83+'Telenor Forsikring'!B83+'Tryg Forsikring'!B83+'WaterCircle F'!B83+'Codan Forsikring'!B83+'Euro Accident'!B83</f>
        <v>0</v>
      </c>
      <c r="C83" s="212">
        <f>'Fremtind Livsforsikring'!C83+'Danica Pensjonsforsikring'!C83+'DNB Livsforsikring'!C83+'Eika Forsikring AS'!C83+'Frende Livsforsikring'!C83+'Frende Skadeforsikring'!C83+'Gjensidige Forsikring'!C83+'Gjensidige Pensjon'!C83+'Handelsbanken Liv'!C83+'If Skadeforsikring NUF'!C83+KLP!C83+'DNB Bedriftspensjon'!C83+'KLP Skadeforsikring AS'!C83+'Landkreditt Forsikring'!C83+Insr!C83+'Nordea Liv '!C83+'Oslo Pensjonsforsikring'!C83+'Protector Forsikring'!C83+'SHB Liv'!C83+'Sparebank 1'!C83+'Storebrand Livsforsikring'!C83+'Telenor Forsikring'!C83+'Tryg Forsikring'!C83+'WaterCircle F'!C83+'Codan Forsikring'!C83+'Euro Accident'!C83</f>
        <v>0</v>
      </c>
      <c r="D83" s="27"/>
      <c r="E83" s="212"/>
      <c r="F83" s="212"/>
      <c r="G83" s="166"/>
      <c r="H83" s="212"/>
      <c r="I83" s="212"/>
      <c r="J83" s="24"/>
    </row>
    <row r="84" spans="1:13" ht="15.75" customHeight="1" x14ac:dyDescent="0.2">
      <c r="A84" s="272" t="s">
        <v>12</v>
      </c>
      <c r="B84" s="212">
        <f>'Fremtind Livsforsikring'!B84+'Danica Pensjonsforsikring'!B84+'DNB Livsforsikring'!B84+'Eika Forsikring AS'!B84+'Frende Livsforsikring'!B84+'Frende Skadeforsikring'!B84+'Gjensidige Forsikring'!B84+'Gjensidige Pensjon'!B84+'Handelsbanken Liv'!B84+'If Skadeforsikring NUF'!B84+KLP!B84+'DNB Bedriftspensjon'!B84+'KLP Skadeforsikring AS'!B84+'Landkreditt Forsikring'!B84+Insr!B84+'Nordea Liv '!B84+'Oslo Pensjonsforsikring'!B84+'Protector Forsikring'!B84+'SHB Liv'!B84+'Sparebank 1'!B84+'Storebrand Livsforsikring'!B84+'Telenor Forsikring'!B84+'Tryg Forsikring'!B84+'WaterCircle F'!B84+'Codan Forsikring'!B84+'Euro Accident'!B84</f>
        <v>0</v>
      </c>
      <c r="C84" s="212">
        <f>'Fremtind Livsforsikring'!C84+'Danica Pensjonsforsikring'!C84+'DNB Livsforsikring'!C84+'Eika Forsikring AS'!C84+'Frende Livsforsikring'!C84+'Frende Skadeforsikring'!C84+'Gjensidige Forsikring'!C84+'Gjensidige Pensjon'!C84+'Handelsbanken Liv'!C84+'If Skadeforsikring NUF'!C84+KLP!C84+'DNB Bedriftspensjon'!C84+'KLP Skadeforsikring AS'!C84+'Landkreditt Forsikring'!C84+Insr!C84+'Nordea Liv '!C84+'Oslo Pensjonsforsikring'!C84+'Protector Forsikring'!C84+'SHB Liv'!C84+'Sparebank 1'!C84+'Storebrand Livsforsikring'!C84+'Telenor Forsikring'!C84+'Tryg Forsikring'!C84+'WaterCircle F'!C84+'Codan Forsikring'!C84+'Euro Accident'!C84</f>
        <v>0</v>
      </c>
      <c r="D84" s="27"/>
      <c r="E84" s="212"/>
      <c r="F84" s="212"/>
      <c r="G84" s="166"/>
      <c r="H84" s="212"/>
      <c r="I84" s="212"/>
      <c r="J84" s="23"/>
    </row>
    <row r="85" spans="1:13" ht="15.75" customHeight="1" x14ac:dyDescent="0.2">
      <c r="A85" s="272" t="s">
        <v>13</v>
      </c>
      <c r="B85" s="212">
        <f>'Fremtind Livsforsikring'!B85+'Danica Pensjonsforsikring'!B85+'DNB Livsforsikring'!B85+'Eika Forsikring AS'!B85+'Frende Livsforsikring'!B85+'Frende Skadeforsikring'!B85+'Gjensidige Forsikring'!B85+'Gjensidige Pensjon'!B85+'Handelsbanken Liv'!B85+'If Skadeforsikring NUF'!B85+KLP!B85+'DNB Bedriftspensjon'!B85+'KLP Skadeforsikring AS'!B85+'Landkreditt Forsikring'!B85+Insr!B85+'Nordea Liv '!B85+'Oslo Pensjonsforsikring'!B85+'Protector Forsikring'!B85+'SHB Liv'!B85+'Sparebank 1'!B85+'Storebrand Livsforsikring'!B85+'Telenor Forsikring'!B85+'Tryg Forsikring'!B85+'WaterCircle F'!B85+'Codan Forsikring'!B85+'Euro Accident'!B85</f>
        <v>0</v>
      </c>
      <c r="C85" s="212">
        <f>'Fremtind Livsforsikring'!C85+'Danica Pensjonsforsikring'!C85+'DNB Livsforsikring'!C85+'Eika Forsikring AS'!C85+'Frende Livsforsikring'!C85+'Frende Skadeforsikring'!C85+'Gjensidige Forsikring'!C85+'Gjensidige Pensjon'!C85+'Handelsbanken Liv'!C85+'If Skadeforsikring NUF'!C85+KLP!C85+'DNB Bedriftspensjon'!C85+'KLP Skadeforsikring AS'!C85+'Landkreditt Forsikring'!C85+Insr!C85+'Nordea Liv '!C85+'Oslo Pensjonsforsikring'!C85+'Protector Forsikring'!C85+'SHB Liv'!C85+'Sparebank 1'!C85+'Storebrand Livsforsikring'!C85+'Telenor Forsikring'!C85+'Tryg Forsikring'!C85+'WaterCircle F'!C85+'Codan Forsikring'!C85+'Euro Accident'!C85</f>
        <v>0</v>
      </c>
      <c r="D85" s="27"/>
      <c r="E85" s="212"/>
      <c r="F85" s="212"/>
      <c r="G85" s="166"/>
      <c r="H85" s="212"/>
      <c r="I85" s="212"/>
      <c r="J85" s="23"/>
    </row>
    <row r="86" spans="1:13" ht="15.75" customHeight="1" x14ac:dyDescent="0.2">
      <c r="A86" s="21" t="s">
        <v>359</v>
      </c>
      <c r="B86" s="211">
        <f>'Fremtind Livsforsikring'!B86+'Danica Pensjonsforsikring'!B86+'DNB Livsforsikring'!B86+'Eika Forsikring AS'!B86+'Frende Livsforsikring'!B86+'Frende Skadeforsikring'!B86+'Gjensidige Forsikring'!B86+'Gjensidige Pensjon'!B86+'Handelsbanken Liv'!B86+'If Skadeforsikring NUF'!B86+KLP!B86+'DNB Bedriftspensjon'!B86+'KLP Skadeforsikring AS'!B86+'Landkreditt Forsikring'!B86+Insr!B86+'Nordea Liv '!B86+'Oslo Pensjonsforsikring'!B86+'Protector Forsikring'!B86+'SHB Liv'!B86+'Sparebank 1'!B86+'Storebrand Livsforsikring'!B86+'Telenor Forsikring'!B86+'Tryg Forsikring'!B86+'WaterCircle F'!B86+'Codan Forsikring'!B86+'Euro Accident'!B86</f>
        <v>110168.788</v>
      </c>
      <c r="C86" s="211">
        <f>'Fremtind Livsforsikring'!C86+'Danica Pensjonsforsikring'!C86+'DNB Livsforsikring'!C86+'Eika Forsikring AS'!C86+'Frende Livsforsikring'!C86+'Frende Skadeforsikring'!C86+'Gjensidige Forsikring'!C86+'Gjensidige Pensjon'!C86+'Handelsbanken Liv'!C86+'If Skadeforsikring NUF'!C86+KLP!C86+'DNB Bedriftspensjon'!C86+'KLP Skadeforsikring AS'!C86+'Landkreditt Forsikring'!C86+Insr!C86+'Nordea Liv '!C86+'Oslo Pensjonsforsikring'!C86+'Protector Forsikring'!C86+'SHB Liv'!C86+'Sparebank 1'!C86+'Storebrand Livsforsikring'!C86+'Telenor Forsikring'!C86+'Tryg Forsikring'!C86+'WaterCircle F'!C86+'Codan Forsikring'!C86+'Euro Accident'!C86</f>
        <v>90729.999000000011</v>
      </c>
      <c r="D86" s="23">
        <f>IF(B86=0, "    ---- ", IF(ABS(ROUND(100/B86*C86-100,1))&lt;999,ROUND(100/B86*C86-100,1),IF(ROUND(100/B86*C86-100,1)&gt;999,999,-999)))</f>
        <v>-17.600000000000001</v>
      </c>
      <c r="E86" s="44">
        <f>'Fremtind Livsforsikring'!F86+'Danica Pensjonsforsikring'!F86+'DNB Livsforsikring'!F86+'Eika Forsikring AS'!F86+'Frende Livsforsikring'!F86+'Frende Skadeforsikring'!F86+'Gjensidige Forsikring'!F86+'Gjensidige Pensjon'!F86+'Handelsbanken Liv'!F86+'If Skadeforsikring NUF'!F86+KLP!F86+'DNB Bedriftspensjon'!F86+'KLP Skadeforsikring AS'!F86+'Landkreditt Forsikring'!F86+Insr!F86+'Nordea Liv '!F86+'Oslo Pensjonsforsikring'!F86+'Protector Forsikring'!F86+'SHB Liv'!F86+'Sparebank 1'!F86+'Storebrand Livsforsikring'!F86+'Telenor Forsikring'!F86+'Tryg Forsikring'!F86+'WaterCircle F'!F86+'Codan Forsikring'!F86+'Euro Accident'!F86</f>
        <v>5035.8979799999997</v>
      </c>
      <c r="F86" s="44">
        <f>'Fremtind Livsforsikring'!G86+'Danica Pensjonsforsikring'!G86+'DNB Livsforsikring'!G86+'Eika Forsikring AS'!G86+'Frende Livsforsikring'!G86+'Frende Skadeforsikring'!G86+'Gjensidige Forsikring'!G86+'Gjensidige Pensjon'!G86+'Handelsbanken Liv'!G86+'If Skadeforsikring NUF'!G86+KLP!G86+'DNB Bedriftspensjon'!G86+'KLP Skadeforsikring AS'!G86+'Landkreditt Forsikring'!G86+Insr!G86+'Nordea Liv '!G86+'Oslo Pensjonsforsikring'!G86+'Protector Forsikring'!G86+'SHB Liv'!G86+'Sparebank 1'!G86+'Storebrand Livsforsikring'!G86+'Telenor Forsikring'!G86+'Tryg Forsikring'!G86+'WaterCircle F'!G86+'Codan Forsikring'!G86+'Euro Accident'!G86</f>
        <v>3005.8030199999998</v>
      </c>
      <c r="G86" s="23">
        <f t="shared" si="13"/>
        <v>-40.299999999999997</v>
      </c>
      <c r="H86" s="214">
        <f t="shared" si="10"/>
        <v>115204.68597999999</v>
      </c>
      <c r="I86" s="214">
        <f t="shared" si="11"/>
        <v>93735.802020000017</v>
      </c>
      <c r="J86" s="23">
        <f t="shared" si="12"/>
        <v>-18.600000000000001</v>
      </c>
    </row>
    <row r="87" spans="1:13" s="43" customFormat="1" ht="15.75" customHeight="1" x14ac:dyDescent="0.2">
      <c r="A87" s="13" t="s">
        <v>341</v>
      </c>
      <c r="B87" s="284">
        <f>'Fremtind Livsforsikring'!B87+'Danica Pensjonsforsikring'!B87+'DNB Livsforsikring'!B87+'Eika Forsikring AS'!B87+'Frende Livsforsikring'!B87+'Frende Skadeforsikring'!B87+'Gjensidige Forsikring'!B87+'Gjensidige Pensjon'!B87+'Handelsbanken Liv'!B87+'If Skadeforsikring NUF'!B87+KLP!B87+'DNB Bedriftspensjon'!B87+'KLP Skadeforsikring AS'!B87+'Landkreditt Forsikring'!B87+Insr!B87+'Nordea Liv '!B87+'Oslo Pensjonsforsikring'!B87+'Protector Forsikring'!B87+'SHB Liv'!B87+'Sparebank 1'!B87+'Storebrand Livsforsikring'!B87+'Telenor Forsikring'!B87+'Tryg Forsikring'!B87+'WaterCircle F'!B87+'Codan Forsikring'!B87+'Euro Accident'!B87</f>
        <v>392655330.49770975</v>
      </c>
      <c r="C87" s="284">
        <f>'Fremtind Livsforsikring'!C87+'Danica Pensjonsforsikring'!C87+'DNB Livsforsikring'!C87+'Eika Forsikring AS'!C87+'Frende Livsforsikring'!C87+'Frende Skadeforsikring'!C87+'Gjensidige Forsikring'!C87+'Gjensidige Pensjon'!C87+'Handelsbanken Liv'!C87+'If Skadeforsikring NUF'!C87+KLP!C87+'DNB Bedriftspensjon'!C87+'KLP Skadeforsikring AS'!C87+'Landkreditt Forsikring'!C87+Insr!C87+'Nordea Liv '!C87+'Oslo Pensjonsforsikring'!C87+'Protector Forsikring'!C87+'SHB Liv'!C87+'Sparebank 1'!C87+'Storebrand Livsforsikring'!C87+'Telenor Forsikring'!C87+'Tryg Forsikring'!C87+'WaterCircle F'!C87+'Codan Forsikring'!C87+'Euro Accident'!C87</f>
        <v>398969561.00984657</v>
      </c>
      <c r="D87" s="24">
        <f>IF(B87=0, "    ---- ", IF(ABS(ROUND(100/B87*C87-100,1))&lt;999,ROUND(100/B87*C87-100,1),IF(ROUND(100/B87*C87-100,1)&gt;999,999,-999)))</f>
        <v>1.6</v>
      </c>
      <c r="E87" s="213">
        <f>'Fremtind Livsforsikring'!F87+'Danica Pensjonsforsikring'!F87+'DNB Livsforsikring'!F87+'Eika Forsikring AS'!F87+'Frende Livsforsikring'!F87+'Frende Skadeforsikring'!F87+'Gjensidige Forsikring'!F87+'Gjensidige Pensjon'!F87+'Handelsbanken Liv'!F87+'If Skadeforsikring NUF'!F87+KLP!F87+'DNB Bedriftspensjon'!F87+'KLP Skadeforsikring AS'!F87+'Landkreditt Forsikring'!F87+Insr!F87+'Nordea Liv '!F87+'Oslo Pensjonsforsikring'!F87+'Protector Forsikring'!F87+'SHB Liv'!F87+'Sparebank 1'!F87+'Storebrand Livsforsikring'!F87+'Telenor Forsikring'!F87+'Tryg Forsikring'!F87+'WaterCircle F'!F87+'Codan Forsikring'!F87+'Euro Accident'!F87</f>
        <v>280257985.39462996</v>
      </c>
      <c r="F87" s="213">
        <f>'Fremtind Livsforsikring'!G87+'Danica Pensjonsforsikring'!G87+'DNB Livsforsikring'!G87+'Eika Forsikring AS'!G87+'Frende Livsforsikring'!G87+'Frende Skadeforsikring'!G87+'Gjensidige Forsikring'!G87+'Gjensidige Pensjon'!G87+'Handelsbanken Liv'!G87+'If Skadeforsikring NUF'!G87+KLP!G87+'DNB Bedriftspensjon'!G87+'KLP Skadeforsikring AS'!G87+'Landkreditt Forsikring'!G87+Insr!G87+'Nordea Liv '!G87+'Oslo Pensjonsforsikring'!G87+'Protector Forsikring'!G87+'SHB Liv'!G87+'Sparebank 1'!G87+'Storebrand Livsforsikring'!G87+'Telenor Forsikring'!G87+'Tryg Forsikring'!G87+'WaterCircle F'!G87+'Codan Forsikring'!G87+'Euro Accident'!G87</f>
        <v>393569552.66609597</v>
      </c>
      <c r="G87" s="24">
        <f t="shared" si="13"/>
        <v>40.4</v>
      </c>
      <c r="H87" s="305">
        <f t="shared" ref="H87:H112" si="14">SUM(B87,E87)</f>
        <v>672913315.89233971</v>
      </c>
      <c r="I87" s="305">
        <f t="shared" ref="I87:I112" si="15">SUM(C87,F87)</f>
        <v>792539113.67594254</v>
      </c>
      <c r="J87" s="24">
        <f t="shared" si="12"/>
        <v>17.8</v>
      </c>
    </row>
    <row r="88" spans="1:13" ht="15.75" customHeight="1" x14ac:dyDescent="0.2">
      <c r="A88" s="21" t="s">
        <v>9</v>
      </c>
      <c r="B88" s="211">
        <f>'Fremtind Livsforsikring'!B88+'Danica Pensjonsforsikring'!B88+'DNB Livsforsikring'!B88+'Eika Forsikring AS'!B88+'Frende Livsforsikring'!B88+'Frende Skadeforsikring'!B88+'Gjensidige Forsikring'!B88+'Gjensidige Pensjon'!B88+'Handelsbanken Liv'!B88+'If Skadeforsikring NUF'!B88+KLP!B88+'DNB Bedriftspensjon'!B88+'KLP Skadeforsikring AS'!B88+'Landkreditt Forsikring'!B88+Insr!B88+'Nordea Liv '!B88+'Oslo Pensjonsforsikring'!B88+'Protector Forsikring'!B88+'SHB Liv'!B88+'Sparebank 1'!B88+'Storebrand Livsforsikring'!B88+'Telenor Forsikring'!B88+'Tryg Forsikring'!B88+'WaterCircle F'!B88+'Codan Forsikring'!B88+'Euro Accident'!B88</f>
        <v>381786254.86112708</v>
      </c>
      <c r="C88" s="211">
        <f>'Fremtind Livsforsikring'!C88+'Danica Pensjonsforsikring'!C88+'DNB Livsforsikring'!C88+'Eika Forsikring AS'!C88+'Frende Livsforsikring'!C88+'Frende Skadeforsikring'!C88+'Gjensidige Forsikring'!C88+'Gjensidige Pensjon'!C88+'Handelsbanken Liv'!C88+'If Skadeforsikring NUF'!C88+KLP!C88+'DNB Bedriftspensjon'!C88+'KLP Skadeforsikring AS'!C88+'Landkreditt Forsikring'!C88+Insr!C88+'Nordea Liv '!C88+'Oslo Pensjonsforsikring'!C88+'Protector Forsikring'!C88+'SHB Liv'!C88+'Sparebank 1'!C88+'Storebrand Livsforsikring'!C88+'Telenor Forsikring'!C88+'Tryg Forsikring'!C88+'WaterCircle F'!C88+'Codan Forsikring'!C88+'Euro Accident'!C88</f>
        <v>386530313.68927664</v>
      </c>
      <c r="D88" s="23">
        <f>IF(B88=0, "    ---- ", IF(ABS(ROUND(100/B88*C88-100,1))&lt;999,ROUND(100/B88*C88-100,1),IF(ROUND(100/B88*C88-100,1)&gt;999,999,-999)))</f>
        <v>1.2</v>
      </c>
      <c r="E88" s="44">
        <f>'Fremtind Livsforsikring'!F88+'Danica Pensjonsforsikring'!F88+'DNB Livsforsikring'!F88+'Eika Forsikring AS'!F88+'Frende Livsforsikring'!F88+'Frende Skadeforsikring'!F88+'Gjensidige Forsikring'!F88+'Gjensidige Pensjon'!F88+'Handelsbanken Liv'!F88+'If Skadeforsikring NUF'!F88+KLP!F88+'DNB Bedriftspensjon'!F88+'KLP Skadeforsikring AS'!F88+'Landkreditt Forsikring'!F88+Insr!F88+'Nordea Liv '!F88+'Oslo Pensjonsforsikring'!F88+'Protector Forsikring'!F88+'SHB Liv'!F88+'Sparebank 1'!F88+'Storebrand Livsforsikring'!F88+'Telenor Forsikring'!F88+'Tryg Forsikring'!F88+'WaterCircle F'!F88+'Codan Forsikring'!F88+'Euro Accident'!F88</f>
        <v>0</v>
      </c>
      <c r="F88" s="44">
        <f>'Fremtind Livsforsikring'!G88+'Danica Pensjonsforsikring'!G88+'DNB Livsforsikring'!G88+'Eika Forsikring AS'!G88+'Frende Livsforsikring'!G88+'Frende Skadeforsikring'!G88+'Gjensidige Forsikring'!G88+'Gjensidige Pensjon'!G88+'Handelsbanken Liv'!G88+'If Skadeforsikring NUF'!G88+KLP!G88+'DNB Bedriftspensjon'!G88+'KLP Skadeforsikring AS'!G88+'Landkreditt Forsikring'!G88+Insr!G88+'Nordea Liv '!G88+'Oslo Pensjonsforsikring'!G88+'Protector Forsikring'!G88+'SHB Liv'!G88+'Sparebank 1'!G88+'Storebrand Livsforsikring'!G88+'Telenor Forsikring'!G88+'Tryg Forsikring'!G88+'WaterCircle F'!G88+'Codan Forsikring'!G88+'Euro Accident'!G88</f>
        <v>0</v>
      </c>
      <c r="G88" s="166" t="str">
        <f t="shared" si="13"/>
        <v xml:space="preserve">    ---- </v>
      </c>
      <c r="H88" s="214">
        <f t="shared" si="14"/>
        <v>381786254.86112708</v>
      </c>
      <c r="I88" s="214">
        <f t="shared" si="15"/>
        <v>386530313.68927664</v>
      </c>
      <c r="J88" s="23">
        <f t="shared" si="12"/>
        <v>1.2</v>
      </c>
      <c r="M88" s="149"/>
    </row>
    <row r="89" spans="1:13" ht="15.75" customHeight="1" x14ac:dyDescent="0.2">
      <c r="A89" s="21" t="s">
        <v>10</v>
      </c>
      <c r="B89" s="211">
        <f>'Fremtind Livsforsikring'!B89+'Danica Pensjonsforsikring'!B89+'DNB Livsforsikring'!B89+'Eika Forsikring AS'!B89+'Frende Livsforsikring'!B89+'Frende Skadeforsikring'!B89+'Gjensidige Forsikring'!B89+'Gjensidige Pensjon'!B89+'Handelsbanken Liv'!B89+'If Skadeforsikring NUF'!B89+KLP!B89+'DNB Bedriftspensjon'!B89+'KLP Skadeforsikring AS'!B89+'Landkreditt Forsikring'!B89+Insr!B89+'Nordea Liv '!B89+'Oslo Pensjonsforsikring'!B89+'Protector Forsikring'!B89+'SHB Liv'!B89+'Sparebank 1'!B89+'Storebrand Livsforsikring'!B89+'Telenor Forsikring'!B89+'Tryg Forsikring'!B89+'WaterCircle F'!B89+'Codan Forsikring'!B89+'Euro Accident'!B89</f>
        <v>3100365.2542926096</v>
      </c>
      <c r="C89" s="211">
        <f>'Fremtind Livsforsikring'!C89+'Danica Pensjonsforsikring'!C89+'DNB Livsforsikring'!C89+'Eika Forsikring AS'!C89+'Frende Livsforsikring'!C89+'Frende Skadeforsikring'!C89+'Gjensidige Forsikring'!C89+'Gjensidige Pensjon'!C89+'Handelsbanken Liv'!C89+'If Skadeforsikring NUF'!C89+KLP!C89+'DNB Bedriftspensjon'!C89+'KLP Skadeforsikring AS'!C89+'Landkreditt Forsikring'!C89+Insr!C89+'Nordea Liv '!C89+'Oslo Pensjonsforsikring'!C89+'Protector Forsikring'!C89+'SHB Liv'!C89+'Sparebank 1'!C89+'Storebrand Livsforsikring'!C89+'Telenor Forsikring'!C89+'Tryg Forsikring'!C89+'WaterCircle F'!C89+'Codan Forsikring'!C89+'Euro Accident'!C89</f>
        <v>3056173.5037099998</v>
      </c>
      <c r="D89" s="23">
        <f>IF(B89=0, "    ---- ", IF(ABS(ROUND(100/B89*C89-100,1))&lt;999,ROUND(100/B89*C89-100,1),IF(ROUND(100/B89*C89-100,1)&gt;999,999,-999)))</f>
        <v>-1.4</v>
      </c>
      <c r="E89" s="44">
        <f>'Fremtind Livsforsikring'!F89+'Danica Pensjonsforsikring'!F89+'DNB Livsforsikring'!F89+'Eika Forsikring AS'!F89+'Frende Livsforsikring'!F89+'Frende Skadeforsikring'!F89+'Gjensidige Forsikring'!F89+'Gjensidige Pensjon'!F89+'Handelsbanken Liv'!F89+'If Skadeforsikring NUF'!F89+KLP!F89+'DNB Bedriftspensjon'!F89+'KLP Skadeforsikring AS'!F89+'Landkreditt Forsikring'!F89+Insr!F89+'Nordea Liv '!F89+'Oslo Pensjonsforsikring'!F89+'Protector Forsikring'!F89+'SHB Liv'!F89+'Sparebank 1'!F89+'Storebrand Livsforsikring'!F89+'Telenor Forsikring'!F89+'Tryg Forsikring'!F89+'WaterCircle F'!F89+'Codan Forsikring'!F89+'Euro Accident'!F89</f>
        <v>278595665.99615997</v>
      </c>
      <c r="F89" s="44">
        <f>'Fremtind Livsforsikring'!G89+'Danica Pensjonsforsikring'!G89+'DNB Livsforsikring'!G89+'Eika Forsikring AS'!G89+'Frende Livsforsikring'!G89+'Frende Skadeforsikring'!G89+'Gjensidige Forsikring'!G89+'Gjensidige Pensjon'!G89+'Handelsbanken Liv'!G89+'If Skadeforsikring NUF'!G89+KLP!G89+'DNB Bedriftspensjon'!G89+'KLP Skadeforsikring AS'!G89+'Landkreditt Forsikring'!G89+Insr!G89+'Nordea Liv '!G89+'Oslo Pensjonsforsikring'!G89+'Protector Forsikring'!G89+'SHB Liv'!G89+'Sparebank 1'!G89+'Storebrand Livsforsikring'!G89+'Telenor Forsikring'!G89+'Tryg Forsikring'!G89+'WaterCircle F'!G89+'Codan Forsikring'!G89+'Euro Accident'!G89</f>
        <v>389978027.86210597</v>
      </c>
      <c r="G89" s="23">
        <f t="shared" si="13"/>
        <v>40</v>
      </c>
      <c r="H89" s="214">
        <f t="shared" si="14"/>
        <v>281696031.25045258</v>
      </c>
      <c r="I89" s="214">
        <f t="shared" si="15"/>
        <v>393034201.36581594</v>
      </c>
      <c r="J89" s="23">
        <f t="shared" si="12"/>
        <v>39.5</v>
      </c>
      <c r="M89" s="149"/>
    </row>
    <row r="90" spans="1:13" ht="15.75" customHeight="1" x14ac:dyDescent="0.2">
      <c r="A90" s="272" t="s">
        <v>356</v>
      </c>
      <c r="B90" s="212">
        <f>'Fremtind Livsforsikring'!B90+'Danica Pensjonsforsikring'!B90+'DNB Livsforsikring'!B90+'Eika Forsikring AS'!B90+'Frende Livsforsikring'!B90+'Frende Skadeforsikring'!B90+'Gjensidige Forsikring'!B90+'Gjensidige Pensjon'!B90+'Handelsbanken Liv'!B90+'If Skadeforsikring NUF'!B90+KLP!B90+'DNB Bedriftspensjon'!B90+'KLP Skadeforsikring AS'!B90+'Landkreditt Forsikring'!B90+Insr!B90+'Nordea Liv '!B90+'Oslo Pensjonsforsikring'!B90+'Protector Forsikring'!B90+'SHB Liv'!B90+'Sparebank 1'!B90+'Storebrand Livsforsikring'!B90+'Telenor Forsikring'!B90+'Tryg Forsikring'!B90+'WaterCircle F'!B90+'Codan Forsikring'!B90+'Euro Accident'!B90</f>
        <v>0</v>
      </c>
      <c r="C90" s="212">
        <f>'Fremtind Livsforsikring'!C90+'Danica Pensjonsforsikring'!C90+'DNB Livsforsikring'!C90+'Eika Forsikring AS'!C90+'Frende Livsforsikring'!C90+'Frende Skadeforsikring'!C90+'Gjensidige Forsikring'!C90+'Gjensidige Pensjon'!C90+'Handelsbanken Liv'!C90+'If Skadeforsikring NUF'!C90+KLP!C90+'DNB Bedriftspensjon'!C90+'KLP Skadeforsikring AS'!C90+'Landkreditt Forsikring'!C90+Insr!C90+'Nordea Liv '!C90+'Oslo Pensjonsforsikring'!C90+'Protector Forsikring'!C90+'SHB Liv'!C90+'Sparebank 1'!C90+'Storebrand Livsforsikring'!C90+'Telenor Forsikring'!C90+'Tryg Forsikring'!C90+'WaterCircle F'!C90+'Codan Forsikring'!C90+'Euro Accident'!C90</f>
        <v>0</v>
      </c>
      <c r="D90" s="27"/>
      <c r="E90" s="212">
        <f>'Fremtind Livsforsikring'!E90+'Danica Pensjonsforsikring'!E90+'DNB Livsforsikring'!E90+'Eika Forsikring AS'!E90+'Frende Livsforsikring'!E90+'Frende Skadeforsikring'!E90+'Gjensidige Forsikring'!E90+'Gjensidige Pensjon'!E90+'Handelsbanken Liv'!E90+'If Skadeforsikring NUF'!E90+KLP!E90+'DNB Bedriftspensjon'!E90+'KLP Skadeforsikring AS'!E90+'Landkreditt Forsikring'!E90+Insr!E90+'Nordea Liv '!E90+'Oslo Pensjonsforsikring'!E90+'Protector Forsikring'!E90+'SHB Liv'!E90+'Sparebank 1'!E90+'Storebrand Livsforsikring'!E90+'Telenor Forsikring'!E90+'Tryg Forsikring'!E90+'WaterCircle F'!E90+'Codan Forsikring'!E90+'Euro Accident'!E90</f>
        <v>0</v>
      </c>
      <c r="F90" s="212">
        <f>'Fremtind Livsforsikring'!F90+'Danica Pensjonsforsikring'!F90+'DNB Livsforsikring'!F90+'Eika Forsikring AS'!F90+'Frende Livsforsikring'!F90+'Frende Skadeforsikring'!F90+'Gjensidige Forsikring'!F90+'Gjensidige Pensjon'!F90+'Handelsbanken Liv'!F90+'If Skadeforsikring NUF'!F90+KLP!F90+'DNB Bedriftspensjon'!F90+'KLP Skadeforsikring AS'!F90+'Landkreditt Forsikring'!F90+Insr!F90+'Nordea Liv '!F90+'Oslo Pensjonsforsikring'!F90+'Protector Forsikring'!F90+'SHB Liv'!F90+'Sparebank 1'!F90+'Storebrand Livsforsikring'!F90+'Telenor Forsikring'!F90+'Tryg Forsikring'!F90+'WaterCircle F'!F90+'Codan Forsikring'!F90+'Euro Accident'!F90</f>
        <v>0</v>
      </c>
      <c r="G90" s="166"/>
      <c r="H90" s="212">
        <f>'Fremtind Livsforsikring'!H90+'Danica Pensjonsforsikring'!H90+'DNB Livsforsikring'!H90+'Eika Forsikring AS'!H90+'Frende Livsforsikring'!H90+'Frende Skadeforsikring'!H90+'Gjensidige Forsikring'!H90+'Gjensidige Pensjon'!H90+'Handelsbanken Liv'!H90+'If Skadeforsikring NUF'!H90+KLP!H90+'DNB Bedriftspensjon'!H90+'KLP Skadeforsikring AS'!H90+'Landkreditt Forsikring'!H90+Insr!H90+'Nordea Liv '!H90+'Oslo Pensjonsforsikring'!H90+'Protector Forsikring'!H90+'SHB Liv'!H90+'Sparebank 1'!H90+'Storebrand Livsforsikring'!H90+'Telenor Forsikring'!H90+'Tryg Forsikring'!H90+'WaterCircle F'!H90+'Codan Forsikring'!H90+'Euro Accident'!H90</f>
        <v>0</v>
      </c>
      <c r="I90" s="212">
        <f>'Fremtind Livsforsikring'!I90+'Danica Pensjonsforsikring'!I90+'DNB Livsforsikring'!I90+'Eika Forsikring AS'!I90+'Frende Livsforsikring'!I90+'Frende Skadeforsikring'!I90+'Gjensidige Forsikring'!I90+'Gjensidige Pensjon'!I90+'Handelsbanken Liv'!I90+'If Skadeforsikring NUF'!I90+KLP!I90+'DNB Bedriftspensjon'!I90+'KLP Skadeforsikring AS'!I90+'Landkreditt Forsikring'!I90+Insr!I90+'Nordea Liv '!I90+'Oslo Pensjonsforsikring'!I90+'Protector Forsikring'!I90+'SHB Liv'!I90+'Sparebank 1'!I90+'Storebrand Livsforsikring'!I90+'Telenor Forsikring'!I90+'Tryg Forsikring'!I90+'WaterCircle F'!I90+'Codan Forsikring'!I90+'Euro Accident'!I90</f>
        <v>0</v>
      </c>
      <c r="J90" s="23"/>
    </row>
    <row r="91" spans="1:13" ht="15.75" customHeight="1" x14ac:dyDescent="0.2">
      <c r="A91" s="272" t="s">
        <v>12</v>
      </c>
      <c r="B91" s="212">
        <f>'Fremtind Livsforsikring'!B91+'Danica Pensjonsforsikring'!B91+'DNB Livsforsikring'!B91+'Eika Forsikring AS'!B91+'Frende Livsforsikring'!B91+'Frende Skadeforsikring'!B91+'Gjensidige Forsikring'!B91+'Gjensidige Pensjon'!B91+'Handelsbanken Liv'!B91+'If Skadeforsikring NUF'!B91+KLP!B91+'DNB Bedriftspensjon'!B91+'KLP Skadeforsikring AS'!B91+'Landkreditt Forsikring'!B91+Insr!B91+'Nordea Liv '!B91+'Oslo Pensjonsforsikring'!B91+'Protector Forsikring'!B91+'SHB Liv'!B91+'Sparebank 1'!B91+'Storebrand Livsforsikring'!B91+'Telenor Forsikring'!B91+'Tryg Forsikring'!B91+'WaterCircle F'!B91+'Codan Forsikring'!B91+'Euro Accident'!B91</f>
        <v>0</v>
      </c>
      <c r="C91" s="212">
        <f>'Fremtind Livsforsikring'!C91+'Danica Pensjonsforsikring'!C91+'DNB Livsforsikring'!C91+'Eika Forsikring AS'!C91+'Frende Livsforsikring'!C91+'Frende Skadeforsikring'!C91+'Gjensidige Forsikring'!C91+'Gjensidige Pensjon'!C91+'Handelsbanken Liv'!C91+'If Skadeforsikring NUF'!C91+KLP!C91+'DNB Bedriftspensjon'!C91+'KLP Skadeforsikring AS'!C91+'Landkreditt Forsikring'!C91+Insr!C91+'Nordea Liv '!C91+'Oslo Pensjonsforsikring'!C91+'Protector Forsikring'!C91+'SHB Liv'!C91+'Sparebank 1'!C91+'Storebrand Livsforsikring'!C91+'Telenor Forsikring'!C91+'Tryg Forsikring'!C91+'WaterCircle F'!C91+'Codan Forsikring'!C91+'Euro Accident'!C91</f>
        <v>0</v>
      </c>
      <c r="D91" s="27"/>
      <c r="E91" s="212">
        <f>'Fremtind Livsforsikring'!E91+'Danica Pensjonsforsikring'!E91+'DNB Livsforsikring'!E91+'Eika Forsikring AS'!E91+'Frende Livsforsikring'!E91+'Frende Skadeforsikring'!E91+'Gjensidige Forsikring'!E91+'Gjensidige Pensjon'!E91+'Handelsbanken Liv'!E91+'If Skadeforsikring NUF'!E91+KLP!E91+'DNB Bedriftspensjon'!E91+'KLP Skadeforsikring AS'!E91+'Landkreditt Forsikring'!E91+Insr!E91+'Nordea Liv '!E91+'Oslo Pensjonsforsikring'!E91+'Protector Forsikring'!E91+'SHB Liv'!E91+'Sparebank 1'!E91+'Storebrand Livsforsikring'!E91+'Telenor Forsikring'!E91+'Tryg Forsikring'!E91+'WaterCircle F'!E91+'Codan Forsikring'!E91+'Euro Accident'!E91</f>
        <v>0</v>
      </c>
      <c r="F91" s="212">
        <f>'Fremtind Livsforsikring'!F91+'Danica Pensjonsforsikring'!F91+'DNB Livsforsikring'!F91+'Eika Forsikring AS'!F91+'Frende Livsforsikring'!F91+'Frende Skadeforsikring'!F91+'Gjensidige Forsikring'!F91+'Gjensidige Pensjon'!F91+'Handelsbanken Liv'!F91+'If Skadeforsikring NUF'!F91+KLP!F91+'DNB Bedriftspensjon'!F91+'KLP Skadeforsikring AS'!F91+'Landkreditt Forsikring'!F91+Insr!F91+'Nordea Liv '!F91+'Oslo Pensjonsforsikring'!F91+'Protector Forsikring'!F91+'SHB Liv'!F91+'Sparebank 1'!F91+'Storebrand Livsforsikring'!F91+'Telenor Forsikring'!F91+'Tryg Forsikring'!F91+'WaterCircle F'!F91+'Codan Forsikring'!F91+'Euro Accident'!F91</f>
        <v>0</v>
      </c>
      <c r="G91" s="166"/>
      <c r="H91" s="212">
        <f>'Fremtind Livsforsikring'!H91+'Danica Pensjonsforsikring'!H91+'DNB Livsforsikring'!H91+'Eika Forsikring AS'!H91+'Frende Livsforsikring'!H91+'Frende Skadeforsikring'!H91+'Gjensidige Forsikring'!H91+'Gjensidige Pensjon'!H91+'Handelsbanken Liv'!H91+'If Skadeforsikring NUF'!H91+KLP!H91+'DNB Bedriftspensjon'!H91+'KLP Skadeforsikring AS'!H91+'Landkreditt Forsikring'!H91+Insr!H91+'Nordea Liv '!H91+'Oslo Pensjonsforsikring'!H91+'Protector Forsikring'!H91+'SHB Liv'!H91+'Sparebank 1'!H91+'Storebrand Livsforsikring'!H91+'Telenor Forsikring'!H91+'Tryg Forsikring'!H91+'WaterCircle F'!H91+'Codan Forsikring'!H91+'Euro Accident'!H91</f>
        <v>0</v>
      </c>
      <c r="I91" s="212">
        <f>'Fremtind Livsforsikring'!I91+'Danica Pensjonsforsikring'!I91+'DNB Livsforsikring'!I91+'Eika Forsikring AS'!I91+'Frende Livsforsikring'!I91+'Frende Skadeforsikring'!I91+'Gjensidige Forsikring'!I91+'Gjensidige Pensjon'!I91+'Handelsbanken Liv'!I91+'If Skadeforsikring NUF'!I91+KLP!I91+'DNB Bedriftspensjon'!I91+'KLP Skadeforsikring AS'!I91+'Landkreditt Forsikring'!I91+Insr!I91+'Nordea Liv '!I91+'Oslo Pensjonsforsikring'!I91+'Protector Forsikring'!I91+'SHB Liv'!I91+'Sparebank 1'!I91+'Storebrand Livsforsikring'!I91+'Telenor Forsikring'!I91+'Tryg Forsikring'!I91+'WaterCircle F'!I91+'Codan Forsikring'!I91+'Euro Accident'!I91</f>
        <v>0</v>
      </c>
      <c r="J91" s="23"/>
    </row>
    <row r="92" spans="1:13" ht="15.75" customHeight="1" x14ac:dyDescent="0.2">
      <c r="A92" s="272" t="s">
        <v>13</v>
      </c>
      <c r="B92" s="212">
        <f>'Fremtind Livsforsikring'!B92+'Danica Pensjonsforsikring'!B92+'DNB Livsforsikring'!B92+'Eika Forsikring AS'!B92+'Frende Livsforsikring'!B92+'Frende Skadeforsikring'!B92+'Gjensidige Forsikring'!B92+'Gjensidige Pensjon'!B92+'Handelsbanken Liv'!B92+'If Skadeforsikring NUF'!B92+KLP!B92+'DNB Bedriftspensjon'!B92+'KLP Skadeforsikring AS'!B92+'Landkreditt Forsikring'!B92+Insr!B92+'Nordea Liv '!B92+'Oslo Pensjonsforsikring'!B92+'Protector Forsikring'!B92+'SHB Liv'!B92+'Sparebank 1'!B92+'Storebrand Livsforsikring'!B92+'Telenor Forsikring'!B92+'Tryg Forsikring'!B92+'WaterCircle F'!B92+'Codan Forsikring'!B92+'Euro Accident'!B92</f>
        <v>0</v>
      </c>
      <c r="C92" s="212">
        <f>'Fremtind Livsforsikring'!C92+'Danica Pensjonsforsikring'!C92+'DNB Livsforsikring'!C92+'Eika Forsikring AS'!C92+'Frende Livsforsikring'!C92+'Frende Skadeforsikring'!C92+'Gjensidige Forsikring'!C92+'Gjensidige Pensjon'!C92+'Handelsbanken Liv'!C92+'If Skadeforsikring NUF'!C92+KLP!C92+'DNB Bedriftspensjon'!C92+'KLP Skadeforsikring AS'!C92+'Landkreditt Forsikring'!C92+Insr!C92+'Nordea Liv '!C92+'Oslo Pensjonsforsikring'!C92+'Protector Forsikring'!C92+'SHB Liv'!C92+'Sparebank 1'!C92+'Storebrand Livsforsikring'!C92+'Telenor Forsikring'!C92+'Tryg Forsikring'!C92+'WaterCircle F'!C92+'Codan Forsikring'!C92+'Euro Accident'!C92</f>
        <v>0</v>
      </c>
      <c r="D92" s="27"/>
      <c r="E92" s="212">
        <f>'Fremtind Livsforsikring'!E92+'Danica Pensjonsforsikring'!E92+'DNB Livsforsikring'!E92+'Eika Forsikring AS'!E92+'Frende Livsforsikring'!E92+'Frende Skadeforsikring'!E92+'Gjensidige Forsikring'!E92+'Gjensidige Pensjon'!E92+'Handelsbanken Liv'!E92+'If Skadeforsikring NUF'!E92+KLP!E92+'DNB Bedriftspensjon'!E92+'KLP Skadeforsikring AS'!E92+'Landkreditt Forsikring'!E92+Insr!E92+'Nordea Liv '!E92+'Oslo Pensjonsforsikring'!E92+'Protector Forsikring'!E92+'SHB Liv'!E92+'Sparebank 1'!E92+'Storebrand Livsforsikring'!E92+'Telenor Forsikring'!E92+'Tryg Forsikring'!E92+'WaterCircle F'!E92+'Codan Forsikring'!E92+'Euro Accident'!E92</f>
        <v>0</v>
      </c>
      <c r="F92" s="212">
        <f>'Fremtind Livsforsikring'!F92+'Danica Pensjonsforsikring'!F92+'DNB Livsforsikring'!F92+'Eika Forsikring AS'!F92+'Frende Livsforsikring'!F92+'Frende Skadeforsikring'!F92+'Gjensidige Forsikring'!F92+'Gjensidige Pensjon'!F92+'Handelsbanken Liv'!F92+'If Skadeforsikring NUF'!F92+KLP!F92+'DNB Bedriftspensjon'!F92+'KLP Skadeforsikring AS'!F92+'Landkreditt Forsikring'!F92+Insr!F92+'Nordea Liv '!F92+'Oslo Pensjonsforsikring'!F92+'Protector Forsikring'!F92+'SHB Liv'!F92+'Sparebank 1'!F92+'Storebrand Livsforsikring'!F92+'Telenor Forsikring'!F92+'Tryg Forsikring'!F92+'WaterCircle F'!F92+'Codan Forsikring'!F92+'Euro Accident'!F92</f>
        <v>0</v>
      </c>
      <c r="G92" s="166"/>
      <c r="H92" s="212">
        <f>'Fremtind Livsforsikring'!H92+'Danica Pensjonsforsikring'!H92+'DNB Livsforsikring'!H92+'Eika Forsikring AS'!H92+'Frende Livsforsikring'!H92+'Frende Skadeforsikring'!H92+'Gjensidige Forsikring'!H92+'Gjensidige Pensjon'!H92+'Handelsbanken Liv'!H92+'If Skadeforsikring NUF'!H92+KLP!H92+'DNB Bedriftspensjon'!H92+'KLP Skadeforsikring AS'!H92+'Landkreditt Forsikring'!H92+Insr!H92+'Nordea Liv '!H92+'Oslo Pensjonsforsikring'!H92+'Protector Forsikring'!H92+'SHB Liv'!H92+'Sparebank 1'!H92+'Storebrand Livsforsikring'!H92+'Telenor Forsikring'!H92+'Tryg Forsikring'!H92+'WaterCircle F'!H92+'Codan Forsikring'!H92+'Euro Accident'!H92</f>
        <v>0</v>
      </c>
      <c r="I92" s="212">
        <f>'Fremtind Livsforsikring'!I92+'Danica Pensjonsforsikring'!I92+'DNB Livsforsikring'!I92+'Eika Forsikring AS'!I92+'Frende Livsforsikring'!I92+'Frende Skadeforsikring'!I92+'Gjensidige Forsikring'!I92+'Gjensidige Pensjon'!I92+'Handelsbanken Liv'!I92+'If Skadeforsikring NUF'!I92+KLP!I92+'DNB Bedriftspensjon'!I92+'KLP Skadeforsikring AS'!I92+'Landkreditt Forsikring'!I92+Insr!I92+'Nordea Liv '!I92+'Oslo Pensjonsforsikring'!I92+'Protector Forsikring'!I92+'SHB Liv'!I92+'Sparebank 1'!I92+'Storebrand Livsforsikring'!I92+'Telenor Forsikring'!I92+'Tryg Forsikring'!I92+'WaterCircle F'!I92+'Codan Forsikring'!I92+'Euro Accident'!I92</f>
        <v>0</v>
      </c>
      <c r="J92" s="23"/>
    </row>
    <row r="93" spans="1:13" ht="15.75" customHeight="1" x14ac:dyDescent="0.2">
      <c r="A93" s="272" t="s">
        <v>357</v>
      </c>
      <c r="B93" s="212">
        <f>'Fremtind Livsforsikring'!B93+'Danica Pensjonsforsikring'!B93+'DNB Livsforsikring'!B93+'Eika Forsikring AS'!B93+'Frende Livsforsikring'!B93+'Frende Skadeforsikring'!B93+'Gjensidige Forsikring'!B93+'Gjensidige Pensjon'!B93+'Handelsbanken Liv'!B93+'If Skadeforsikring NUF'!B93+KLP!B93+'DNB Bedriftspensjon'!B93+'KLP Skadeforsikring AS'!B93+'Landkreditt Forsikring'!B93+Insr!B93+'Nordea Liv '!B93+'Oslo Pensjonsforsikring'!B93+'Protector Forsikring'!B93+'SHB Liv'!B93+'Sparebank 1'!B93+'Storebrand Livsforsikring'!B93+'Telenor Forsikring'!B93+'Tryg Forsikring'!B93+'WaterCircle F'!B93+'Codan Forsikring'!B93+'Euro Accident'!B93</f>
        <v>0</v>
      </c>
      <c r="C93" s="212">
        <f>'Fremtind Livsforsikring'!C93+'Danica Pensjonsforsikring'!C93+'DNB Livsforsikring'!C93+'Eika Forsikring AS'!C93+'Frende Livsforsikring'!C93+'Frende Skadeforsikring'!C93+'Gjensidige Forsikring'!C93+'Gjensidige Pensjon'!C93+'Handelsbanken Liv'!C93+'If Skadeforsikring NUF'!C93+KLP!C93+'DNB Bedriftspensjon'!C93+'KLP Skadeforsikring AS'!C93+'Landkreditt Forsikring'!C93+Insr!C93+'Nordea Liv '!C93+'Oslo Pensjonsforsikring'!C93+'Protector Forsikring'!C93+'SHB Liv'!C93+'Sparebank 1'!C93+'Storebrand Livsforsikring'!C93+'Telenor Forsikring'!C93+'Tryg Forsikring'!C93+'WaterCircle F'!C93+'Codan Forsikring'!C93+'Euro Accident'!C93</f>
        <v>0</v>
      </c>
      <c r="D93" s="27"/>
      <c r="E93" s="212">
        <f>'Fremtind Livsforsikring'!E93+'Danica Pensjonsforsikring'!E93+'DNB Livsforsikring'!E93+'Eika Forsikring AS'!E93+'Frende Livsforsikring'!E93+'Frende Skadeforsikring'!E93+'Gjensidige Forsikring'!E93+'Gjensidige Pensjon'!E93+'Handelsbanken Liv'!E93+'If Skadeforsikring NUF'!E93+KLP!E93+'DNB Bedriftspensjon'!E93+'KLP Skadeforsikring AS'!E93+'Landkreditt Forsikring'!E93+Insr!E93+'Nordea Liv '!E93+'Oslo Pensjonsforsikring'!E93+'Protector Forsikring'!E93+'SHB Liv'!E93+'Sparebank 1'!E93+'Storebrand Livsforsikring'!E93+'Telenor Forsikring'!E93+'Tryg Forsikring'!E93+'WaterCircle F'!E93+'Codan Forsikring'!E93+'Euro Accident'!E93</f>
        <v>0</v>
      </c>
      <c r="F93" s="212">
        <f>'Fremtind Livsforsikring'!F93+'Danica Pensjonsforsikring'!F93+'DNB Livsforsikring'!F93+'Eika Forsikring AS'!F93+'Frende Livsforsikring'!F93+'Frende Skadeforsikring'!F93+'Gjensidige Forsikring'!F93+'Gjensidige Pensjon'!F93+'Handelsbanken Liv'!F93+'If Skadeforsikring NUF'!F93+KLP!F93+'DNB Bedriftspensjon'!F93+'KLP Skadeforsikring AS'!F93+'Landkreditt Forsikring'!F93+Insr!F93+'Nordea Liv '!F93+'Oslo Pensjonsforsikring'!F93+'Protector Forsikring'!F93+'SHB Liv'!F93+'Sparebank 1'!F93+'Storebrand Livsforsikring'!F93+'Telenor Forsikring'!F93+'Tryg Forsikring'!F93+'WaterCircle F'!F93+'Codan Forsikring'!F93+'Euro Accident'!F93</f>
        <v>0</v>
      </c>
      <c r="G93" s="166"/>
      <c r="H93" s="212">
        <f>'Fremtind Livsforsikring'!H93+'Danica Pensjonsforsikring'!H93+'DNB Livsforsikring'!H93+'Eika Forsikring AS'!H93+'Frende Livsforsikring'!H93+'Frende Skadeforsikring'!H93+'Gjensidige Forsikring'!H93+'Gjensidige Pensjon'!H93+'Handelsbanken Liv'!H93+'If Skadeforsikring NUF'!H93+KLP!H93+'DNB Bedriftspensjon'!H93+'KLP Skadeforsikring AS'!H93+'Landkreditt Forsikring'!H93+Insr!H93+'Nordea Liv '!H93+'Oslo Pensjonsforsikring'!H93+'Protector Forsikring'!H93+'SHB Liv'!H93+'Sparebank 1'!H93+'Storebrand Livsforsikring'!H93+'Telenor Forsikring'!H93+'Tryg Forsikring'!H93+'WaterCircle F'!H93+'Codan Forsikring'!H93+'Euro Accident'!H93</f>
        <v>0</v>
      </c>
      <c r="I93" s="212">
        <f>'Fremtind Livsforsikring'!I93+'Danica Pensjonsforsikring'!I93+'DNB Livsforsikring'!I93+'Eika Forsikring AS'!I93+'Frende Livsforsikring'!I93+'Frende Skadeforsikring'!I93+'Gjensidige Forsikring'!I93+'Gjensidige Pensjon'!I93+'Handelsbanken Liv'!I93+'If Skadeforsikring NUF'!I93+KLP!I93+'DNB Bedriftspensjon'!I93+'KLP Skadeforsikring AS'!I93+'Landkreditt Forsikring'!I93+Insr!I93+'Nordea Liv '!I93+'Oslo Pensjonsforsikring'!I93+'Protector Forsikring'!I93+'SHB Liv'!I93+'Sparebank 1'!I93+'Storebrand Livsforsikring'!I93+'Telenor Forsikring'!I93+'Tryg Forsikring'!I93+'WaterCircle F'!I93+'Codan Forsikring'!I93+'Euro Accident'!I93</f>
        <v>0</v>
      </c>
      <c r="J93" s="23"/>
    </row>
    <row r="94" spans="1:13" ht="15.75" customHeight="1" x14ac:dyDescent="0.2">
      <c r="A94" s="272" t="s">
        <v>12</v>
      </c>
      <c r="B94" s="212">
        <f>'Fremtind Livsforsikring'!B94+'Danica Pensjonsforsikring'!B94+'DNB Livsforsikring'!B94+'Eika Forsikring AS'!B94+'Frende Livsforsikring'!B94+'Frende Skadeforsikring'!B94+'Gjensidige Forsikring'!B94+'Gjensidige Pensjon'!B94+'Handelsbanken Liv'!B94+'If Skadeforsikring NUF'!B94+KLP!B94+'DNB Bedriftspensjon'!B94+'KLP Skadeforsikring AS'!B94+'Landkreditt Forsikring'!B94+Insr!B94+'Nordea Liv '!B94+'Oslo Pensjonsforsikring'!B94+'Protector Forsikring'!B94+'SHB Liv'!B94+'Sparebank 1'!B94+'Storebrand Livsforsikring'!B94+'Telenor Forsikring'!B94+'Tryg Forsikring'!B94+'WaterCircle F'!B94+'Codan Forsikring'!B94+'Euro Accident'!B94</f>
        <v>0</v>
      </c>
      <c r="C94" s="212">
        <f>'Fremtind Livsforsikring'!C94+'Danica Pensjonsforsikring'!C94+'DNB Livsforsikring'!C94+'Eika Forsikring AS'!C94+'Frende Livsforsikring'!C94+'Frende Skadeforsikring'!C94+'Gjensidige Forsikring'!C94+'Gjensidige Pensjon'!C94+'Handelsbanken Liv'!C94+'If Skadeforsikring NUF'!C94+KLP!C94+'DNB Bedriftspensjon'!C94+'KLP Skadeforsikring AS'!C94+'Landkreditt Forsikring'!C94+Insr!C94+'Nordea Liv '!C94+'Oslo Pensjonsforsikring'!C94+'Protector Forsikring'!C94+'SHB Liv'!C94+'Sparebank 1'!C94+'Storebrand Livsforsikring'!C94+'Telenor Forsikring'!C94+'Tryg Forsikring'!C94+'WaterCircle F'!C94+'Codan Forsikring'!C94+'Euro Accident'!C94</f>
        <v>0</v>
      </c>
      <c r="D94" s="27"/>
      <c r="E94" s="212">
        <f>'Fremtind Livsforsikring'!E94+'Danica Pensjonsforsikring'!E94+'DNB Livsforsikring'!E94+'Eika Forsikring AS'!E94+'Frende Livsforsikring'!E94+'Frende Skadeforsikring'!E94+'Gjensidige Forsikring'!E94+'Gjensidige Pensjon'!E94+'Handelsbanken Liv'!E94+'If Skadeforsikring NUF'!E94+KLP!E94+'DNB Bedriftspensjon'!E94+'KLP Skadeforsikring AS'!E94+'Landkreditt Forsikring'!E94+Insr!E94+'Nordea Liv '!E94+'Oslo Pensjonsforsikring'!E94+'Protector Forsikring'!E94+'SHB Liv'!E94+'Sparebank 1'!E94+'Storebrand Livsforsikring'!E94+'Telenor Forsikring'!E94+'Tryg Forsikring'!E94+'WaterCircle F'!E94+'Codan Forsikring'!E94+'Euro Accident'!E94</f>
        <v>0</v>
      </c>
      <c r="F94" s="212">
        <f>'Fremtind Livsforsikring'!F94+'Danica Pensjonsforsikring'!F94+'DNB Livsforsikring'!F94+'Eika Forsikring AS'!F94+'Frende Livsforsikring'!F94+'Frende Skadeforsikring'!F94+'Gjensidige Forsikring'!F94+'Gjensidige Pensjon'!F94+'Handelsbanken Liv'!F94+'If Skadeforsikring NUF'!F94+KLP!F94+'DNB Bedriftspensjon'!F94+'KLP Skadeforsikring AS'!F94+'Landkreditt Forsikring'!F94+Insr!F94+'Nordea Liv '!F94+'Oslo Pensjonsforsikring'!F94+'Protector Forsikring'!F94+'SHB Liv'!F94+'Sparebank 1'!F94+'Storebrand Livsforsikring'!F94+'Telenor Forsikring'!F94+'Tryg Forsikring'!F94+'WaterCircle F'!F94+'Codan Forsikring'!F94+'Euro Accident'!F94</f>
        <v>0</v>
      </c>
      <c r="G94" s="166"/>
      <c r="H94" s="212">
        <f>'Fremtind Livsforsikring'!H94+'Danica Pensjonsforsikring'!H94+'DNB Livsforsikring'!H94+'Eika Forsikring AS'!H94+'Frende Livsforsikring'!H94+'Frende Skadeforsikring'!H94+'Gjensidige Forsikring'!H94+'Gjensidige Pensjon'!H94+'Handelsbanken Liv'!H94+'If Skadeforsikring NUF'!H94+KLP!H94+'DNB Bedriftspensjon'!H94+'KLP Skadeforsikring AS'!H94+'Landkreditt Forsikring'!H94+Insr!H94+'Nordea Liv '!H94+'Oslo Pensjonsforsikring'!H94+'Protector Forsikring'!H94+'SHB Liv'!H94+'Sparebank 1'!H94+'Storebrand Livsforsikring'!H94+'Telenor Forsikring'!H94+'Tryg Forsikring'!H94+'WaterCircle F'!H94+'Codan Forsikring'!H94+'Euro Accident'!H94</f>
        <v>0</v>
      </c>
      <c r="I94" s="212">
        <f>'Fremtind Livsforsikring'!I94+'Danica Pensjonsforsikring'!I94+'DNB Livsforsikring'!I94+'Eika Forsikring AS'!I94+'Frende Livsforsikring'!I94+'Frende Skadeforsikring'!I94+'Gjensidige Forsikring'!I94+'Gjensidige Pensjon'!I94+'Handelsbanken Liv'!I94+'If Skadeforsikring NUF'!I94+KLP!I94+'DNB Bedriftspensjon'!I94+'KLP Skadeforsikring AS'!I94+'Landkreditt Forsikring'!I94+Insr!I94+'Nordea Liv '!I94+'Oslo Pensjonsforsikring'!I94+'Protector Forsikring'!I94+'SHB Liv'!I94+'Sparebank 1'!I94+'Storebrand Livsforsikring'!I94+'Telenor Forsikring'!I94+'Tryg Forsikring'!I94+'WaterCircle F'!I94+'Codan Forsikring'!I94+'Euro Accident'!I94</f>
        <v>0</v>
      </c>
      <c r="J94" s="23"/>
    </row>
    <row r="95" spans="1:13" ht="15.75" customHeight="1" x14ac:dyDescent="0.2">
      <c r="A95" s="272" t="s">
        <v>13</v>
      </c>
      <c r="B95" s="212">
        <f>'Fremtind Livsforsikring'!B95+'Danica Pensjonsforsikring'!B95+'DNB Livsforsikring'!B95+'Eika Forsikring AS'!B95+'Frende Livsforsikring'!B95+'Frende Skadeforsikring'!B95+'Gjensidige Forsikring'!B95+'Gjensidige Pensjon'!B95+'Handelsbanken Liv'!B95+'If Skadeforsikring NUF'!B95+KLP!B95+'DNB Bedriftspensjon'!B95+'KLP Skadeforsikring AS'!B95+'Landkreditt Forsikring'!B95+Insr!B95+'Nordea Liv '!B95+'Oslo Pensjonsforsikring'!B95+'Protector Forsikring'!B95+'SHB Liv'!B95+'Sparebank 1'!B95+'Storebrand Livsforsikring'!B95+'Telenor Forsikring'!B95+'Tryg Forsikring'!B95+'WaterCircle F'!B95+'Codan Forsikring'!B95+'Euro Accident'!B95</f>
        <v>0</v>
      </c>
      <c r="C95" s="212">
        <f>'Fremtind Livsforsikring'!C95+'Danica Pensjonsforsikring'!C95+'DNB Livsforsikring'!C95+'Eika Forsikring AS'!C95+'Frende Livsforsikring'!C95+'Frende Skadeforsikring'!C95+'Gjensidige Forsikring'!C95+'Gjensidige Pensjon'!C95+'Handelsbanken Liv'!C95+'If Skadeforsikring NUF'!C95+KLP!C95+'DNB Bedriftspensjon'!C95+'KLP Skadeforsikring AS'!C95+'Landkreditt Forsikring'!C95+Insr!C95+'Nordea Liv '!C95+'Oslo Pensjonsforsikring'!C95+'Protector Forsikring'!C95+'SHB Liv'!C95+'Sparebank 1'!C95+'Storebrand Livsforsikring'!C95+'Telenor Forsikring'!C95+'Tryg Forsikring'!C95+'WaterCircle F'!C95+'Codan Forsikring'!C95+'Euro Accident'!C95</f>
        <v>0</v>
      </c>
      <c r="D95" s="27"/>
      <c r="E95" s="212">
        <f>'Fremtind Livsforsikring'!E95+'Danica Pensjonsforsikring'!E95+'DNB Livsforsikring'!E95+'Eika Forsikring AS'!E95+'Frende Livsforsikring'!E95+'Frende Skadeforsikring'!E95+'Gjensidige Forsikring'!E95+'Gjensidige Pensjon'!E95+'Handelsbanken Liv'!E95+'If Skadeforsikring NUF'!E95+KLP!E95+'DNB Bedriftspensjon'!E95+'KLP Skadeforsikring AS'!E95+'Landkreditt Forsikring'!E95+Insr!E95+'Nordea Liv '!E95+'Oslo Pensjonsforsikring'!E95+'Protector Forsikring'!E95+'SHB Liv'!E95+'Sparebank 1'!E95+'Storebrand Livsforsikring'!E95+'Telenor Forsikring'!E95+'Tryg Forsikring'!E95+'WaterCircle F'!E95+'Codan Forsikring'!E95+'Euro Accident'!E95</f>
        <v>0</v>
      </c>
      <c r="F95" s="212">
        <f>'Fremtind Livsforsikring'!F95+'Danica Pensjonsforsikring'!F95+'DNB Livsforsikring'!F95+'Eika Forsikring AS'!F95+'Frende Livsforsikring'!F95+'Frende Skadeforsikring'!F95+'Gjensidige Forsikring'!F95+'Gjensidige Pensjon'!F95+'Handelsbanken Liv'!F95+'If Skadeforsikring NUF'!F95+KLP!F95+'DNB Bedriftspensjon'!F95+'KLP Skadeforsikring AS'!F95+'Landkreditt Forsikring'!F95+Insr!F95+'Nordea Liv '!F95+'Oslo Pensjonsforsikring'!F95+'Protector Forsikring'!F95+'SHB Liv'!F95+'Sparebank 1'!F95+'Storebrand Livsforsikring'!F95+'Telenor Forsikring'!F95+'Tryg Forsikring'!F95+'WaterCircle F'!F95+'Codan Forsikring'!F95+'Euro Accident'!F95</f>
        <v>0</v>
      </c>
      <c r="G95" s="166"/>
      <c r="H95" s="212">
        <f>'Fremtind Livsforsikring'!H95+'Danica Pensjonsforsikring'!H95+'DNB Livsforsikring'!H95+'Eika Forsikring AS'!H95+'Frende Livsforsikring'!H95+'Frende Skadeforsikring'!H95+'Gjensidige Forsikring'!H95+'Gjensidige Pensjon'!H95+'Handelsbanken Liv'!H95+'If Skadeforsikring NUF'!H95+KLP!H95+'DNB Bedriftspensjon'!H95+'KLP Skadeforsikring AS'!H95+'Landkreditt Forsikring'!H95+Insr!H95+'Nordea Liv '!H95+'Oslo Pensjonsforsikring'!H95+'Protector Forsikring'!H95+'SHB Liv'!H95+'Sparebank 1'!H95+'Storebrand Livsforsikring'!H95+'Telenor Forsikring'!H95+'Tryg Forsikring'!H95+'WaterCircle F'!H95+'Codan Forsikring'!H95+'Euro Accident'!H95</f>
        <v>0</v>
      </c>
      <c r="I95" s="212">
        <f>'Fremtind Livsforsikring'!I95+'Danica Pensjonsforsikring'!I95+'DNB Livsforsikring'!I95+'Eika Forsikring AS'!I95+'Frende Livsforsikring'!I95+'Frende Skadeforsikring'!I95+'Gjensidige Forsikring'!I95+'Gjensidige Pensjon'!I95+'Handelsbanken Liv'!I95+'If Skadeforsikring NUF'!I95+KLP!I95+'DNB Bedriftspensjon'!I95+'KLP Skadeforsikring AS'!I95+'Landkreditt Forsikring'!I95+Insr!I95+'Nordea Liv '!I95+'Oslo Pensjonsforsikring'!I95+'Protector Forsikring'!I95+'SHB Liv'!I95+'Sparebank 1'!I95+'Storebrand Livsforsikring'!I95+'Telenor Forsikring'!I95+'Tryg Forsikring'!I95+'WaterCircle F'!I95+'Codan Forsikring'!I95+'Euro Accident'!I95</f>
        <v>0</v>
      </c>
      <c r="J95" s="23"/>
    </row>
    <row r="96" spans="1:13" ht="15.75" customHeight="1" x14ac:dyDescent="0.2">
      <c r="A96" s="21" t="s">
        <v>326</v>
      </c>
      <c r="B96" s="211">
        <f>'Fremtind Livsforsikring'!B96+'Danica Pensjonsforsikring'!B96+'DNB Livsforsikring'!B96+'Eika Forsikring AS'!B96+'Frende Livsforsikring'!B96+'Frende Skadeforsikring'!B96+'Gjensidige Forsikring'!B96+'Gjensidige Pensjon'!B96+'Handelsbanken Liv'!B96+'If Skadeforsikring NUF'!B96+KLP!B96+'DNB Bedriftspensjon'!B96+'KLP Skadeforsikring AS'!B96+'Landkreditt Forsikring'!B96+Insr!B96+'Nordea Liv '!B96+'Oslo Pensjonsforsikring'!B96+'Protector Forsikring'!B96+'SHB Liv'!B96+'Sparebank 1'!B96+'Storebrand Livsforsikring'!B96+'Telenor Forsikring'!B96+'Tryg Forsikring'!B96+'WaterCircle F'!B96+'Codan Forsikring'!B96+'Euro Accident'!B96</f>
        <v>1547559.5576300002</v>
      </c>
      <c r="C96" s="211">
        <f>'Fremtind Livsforsikring'!C96+'Danica Pensjonsforsikring'!C96+'DNB Livsforsikring'!C96+'Eika Forsikring AS'!C96+'Frende Livsforsikring'!C96+'Frende Skadeforsikring'!C96+'Gjensidige Forsikring'!C96+'Gjensidige Pensjon'!C96+'Handelsbanken Liv'!C96+'If Skadeforsikring NUF'!C96+KLP!C96+'DNB Bedriftspensjon'!C96+'KLP Skadeforsikring AS'!C96+'Landkreditt Forsikring'!C96+Insr!C96+'Nordea Liv '!C96+'Oslo Pensjonsforsikring'!C96+'Protector Forsikring'!C96+'SHB Liv'!C96+'Sparebank 1'!C96+'Storebrand Livsforsikring'!C96+'Telenor Forsikring'!C96+'Tryg Forsikring'!C96+'WaterCircle F'!C96+'Codan Forsikring'!C96+'Euro Accident'!C96</f>
        <v>2268547.0063399998</v>
      </c>
      <c r="D96" s="23">
        <f t="shared" ref="D96:D100" si="16">IF(B96=0, "    ---- ", IF(ABS(ROUND(100/B96*C96-100,1))&lt;999,ROUND(100/B96*C96-100,1),IF(ROUND(100/B96*C96-100,1)&gt;999,999,-999)))</f>
        <v>46.6</v>
      </c>
      <c r="E96" s="44">
        <f>'Fremtind Livsforsikring'!F96+'Danica Pensjonsforsikring'!F96+'DNB Livsforsikring'!F96+'Eika Forsikring AS'!F96+'Frende Livsforsikring'!F96+'Frende Skadeforsikring'!F96+'Gjensidige Forsikring'!F96+'Gjensidige Pensjon'!F96+'Handelsbanken Liv'!F96+'If Skadeforsikring NUF'!F96+KLP!F96+'DNB Bedriftspensjon'!F96+'KLP Skadeforsikring AS'!F96+'Landkreditt Forsikring'!F96+Insr!F96+'Nordea Liv '!F96+'Oslo Pensjonsforsikring'!F96+'Protector Forsikring'!F96+'SHB Liv'!F96+'Sparebank 1'!F96+'Storebrand Livsforsikring'!F96+'Telenor Forsikring'!F96+'Tryg Forsikring'!F96+'WaterCircle F'!F96+'Codan Forsikring'!F96+'Euro Accident'!F96</f>
        <v>1662319.3984699999</v>
      </c>
      <c r="F96" s="44">
        <f>'Fremtind Livsforsikring'!G96+'Danica Pensjonsforsikring'!G96+'DNB Livsforsikring'!G96+'Eika Forsikring AS'!G96+'Frende Livsforsikring'!G96+'Frende Skadeforsikring'!G96+'Gjensidige Forsikring'!G96+'Gjensidige Pensjon'!G96+'Handelsbanken Liv'!G96+'If Skadeforsikring NUF'!G96+KLP!G96+'DNB Bedriftspensjon'!G96+'KLP Skadeforsikring AS'!G96+'Landkreditt Forsikring'!G96+Insr!G96+'Nordea Liv '!G96+'Oslo Pensjonsforsikring'!G96+'Protector Forsikring'!G96+'SHB Liv'!G96+'Sparebank 1'!G96+'Storebrand Livsforsikring'!G96+'Telenor Forsikring'!G96+'Tryg Forsikring'!G96+'WaterCircle F'!G96+'Codan Forsikring'!G96+'Euro Accident'!G96</f>
        <v>3591524.8039899999</v>
      </c>
      <c r="G96" s="23">
        <f t="shared" si="13"/>
        <v>116.1</v>
      </c>
      <c r="H96" s="214">
        <f t="shared" si="14"/>
        <v>3209878.9561000001</v>
      </c>
      <c r="I96" s="214">
        <f t="shared" si="15"/>
        <v>5860071.8103299998</v>
      </c>
      <c r="J96" s="23">
        <f t="shared" si="12"/>
        <v>82.6</v>
      </c>
    </row>
    <row r="97" spans="1:13" ht="15.75" customHeight="1" x14ac:dyDescent="0.2">
      <c r="A97" s="21" t="s">
        <v>325</v>
      </c>
      <c r="B97" s="211">
        <f>'Fremtind Livsforsikring'!B97+'Danica Pensjonsforsikring'!B97+'DNB Livsforsikring'!B97+'Eika Forsikring AS'!B97+'Frende Livsforsikring'!B97+'Frende Skadeforsikring'!B97+'Gjensidige Forsikring'!B97+'Gjensidige Pensjon'!B97+'Handelsbanken Liv'!B97+'If Skadeforsikring NUF'!B97+KLP!B97+'DNB Bedriftspensjon'!B97+'KLP Skadeforsikring AS'!B97+'Landkreditt Forsikring'!B97+Insr!B97+'Nordea Liv '!B97+'Oslo Pensjonsforsikring'!B97+'Protector Forsikring'!B97+'SHB Liv'!B97+'Sparebank 1'!B97+'Storebrand Livsforsikring'!B97+'Telenor Forsikring'!B97+'Tryg Forsikring'!B97+'WaterCircle F'!B97+'Codan Forsikring'!B97+'Euro Accident'!B97</f>
        <v>6221150.8246600004</v>
      </c>
      <c r="C97" s="211">
        <f>'Fremtind Livsforsikring'!C97+'Danica Pensjonsforsikring'!C97+'DNB Livsforsikring'!C97+'Eika Forsikring AS'!C97+'Frende Livsforsikring'!C97+'Frende Skadeforsikring'!C97+'Gjensidige Forsikring'!C97+'Gjensidige Pensjon'!C97+'Handelsbanken Liv'!C97+'If Skadeforsikring NUF'!C97+KLP!C97+'DNB Bedriftspensjon'!C97+'KLP Skadeforsikring AS'!C97+'Landkreditt Forsikring'!C97+Insr!C97+'Nordea Liv '!C97+'Oslo Pensjonsforsikring'!C97+'Protector Forsikring'!C97+'SHB Liv'!C97+'Sparebank 1'!C97+'Storebrand Livsforsikring'!C97+'Telenor Forsikring'!C97+'Tryg Forsikring'!C97+'WaterCircle F'!C97+'Codan Forsikring'!C97+'Euro Accident'!C97</f>
        <v>7114526.8105200008</v>
      </c>
      <c r="D97" s="23">
        <f t="shared" si="16"/>
        <v>14.4</v>
      </c>
      <c r="E97" s="44">
        <f>'Fremtind Livsforsikring'!F97+'Danica Pensjonsforsikring'!F97+'DNB Livsforsikring'!F97+'Eika Forsikring AS'!F97+'Frende Livsforsikring'!F97+'Frende Skadeforsikring'!F97+'Gjensidige Forsikring'!F97+'Gjensidige Pensjon'!F97+'Handelsbanken Liv'!F97+'If Skadeforsikring NUF'!F97+KLP!F97+'DNB Bedriftspensjon'!F97+'KLP Skadeforsikring AS'!F97+'Landkreditt Forsikring'!F97+Insr!F97+'Nordea Liv '!F97+'Oslo Pensjonsforsikring'!F97+'Protector Forsikring'!F97+'SHB Liv'!F97+'Sparebank 1'!F97+'Storebrand Livsforsikring'!F97+'Telenor Forsikring'!F97+'Tryg Forsikring'!F97+'WaterCircle F'!F97+'Codan Forsikring'!F97+'Euro Accident'!F97</f>
        <v>0</v>
      </c>
      <c r="F97" s="44">
        <f>'Fremtind Livsforsikring'!G97+'Danica Pensjonsforsikring'!G97+'DNB Livsforsikring'!G97+'Eika Forsikring AS'!G97+'Frende Livsforsikring'!G97+'Frende Skadeforsikring'!G97+'Gjensidige Forsikring'!G97+'Gjensidige Pensjon'!G97+'Handelsbanken Liv'!G97+'If Skadeforsikring NUF'!G97+KLP!G97+'DNB Bedriftspensjon'!G97+'KLP Skadeforsikring AS'!G97+'Landkreditt Forsikring'!G97+Insr!G97+'Nordea Liv '!G97+'Oslo Pensjonsforsikring'!G97+'Protector Forsikring'!G97+'SHB Liv'!G97+'Sparebank 1'!G97+'Storebrand Livsforsikring'!G97+'Telenor Forsikring'!G97+'Tryg Forsikring'!G97+'WaterCircle F'!G97+'Codan Forsikring'!G97+'Euro Accident'!G97</f>
        <v>0</v>
      </c>
      <c r="G97" s="166"/>
      <c r="H97" s="214">
        <f>SUM(B97,E97)</f>
        <v>6221150.8246600004</v>
      </c>
      <c r="I97" s="214">
        <f>SUM(C97,F97)</f>
        <v>7114526.8105200008</v>
      </c>
      <c r="J97" s="23">
        <f>IF(H97=0, "    ---- ", IF(ABS(ROUND(100/H97*I97-100,1))&lt;999,ROUND(100/H97*I97-100,1),IF(ROUND(100/H97*I97-100,1)&gt;999,999,-999)))</f>
        <v>14.4</v>
      </c>
    </row>
    <row r="98" spans="1:13" ht="15.75" customHeight="1" x14ac:dyDescent="0.2">
      <c r="A98" s="21" t="s">
        <v>358</v>
      </c>
      <c r="B98" s="211">
        <f>'Fremtind Livsforsikring'!B98+'Danica Pensjonsforsikring'!B98+'DNB Livsforsikring'!B98+'Eika Forsikring AS'!B98+'Frende Livsforsikring'!B98+'Frende Skadeforsikring'!B98+'Gjensidige Forsikring'!B98+'Gjensidige Pensjon'!B98+'Handelsbanken Liv'!B98+'If Skadeforsikring NUF'!B98+KLP!B98+'DNB Bedriftspensjon'!B98+'KLP Skadeforsikring AS'!B98+'Landkreditt Forsikring'!B98+Insr!B98+'Nordea Liv '!B98+'Oslo Pensjonsforsikring'!B98+'Protector Forsikring'!B98+'SHB Liv'!B98+'Sparebank 1'!B98+'Storebrand Livsforsikring'!B98+'Telenor Forsikring'!B98+'Tryg Forsikring'!B98+'WaterCircle F'!B98+'Codan Forsikring'!B98+'Euro Accident'!B98</f>
        <v>380294395.29141974</v>
      </c>
      <c r="C98" s="211">
        <f>'Fremtind Livsforsikring'!C98+'Danica Pensjonsforsikring'!C98+'DNB Livsforsikring'!C98+'Eika Forsikring AS'!C98+'Frende Livsforsikring'!C98+'Frende Skadeforsikring'!C98+'Gjensidige Forsikring'!C98+'Gjensidige Pensjon'!C98+'Handelsbanken Liv'!C98+'If Skadeforsikring NUF'!C98+KLP!C98+'DNB Bedriftspensjon'!C98+'KLP Skadeforsikring AS'!C98+'Landkreditt Forsikring'!C98+Insr!C98+'Nordea Liv '!C98+'Oslo Pensjonsforsikring'!C98+'Protector Forsikring'!C98+'SHB Liv'!C98+'Sparebank 1'!C98+'Storebrand Livsforsikring'!C98+'Telenor Forsikring'!C98+'Tryg Forsikring'!C98+'WaterCircle F'!C98+'Codan Forsikring'!C98+'Euro Accident'!C98</f>
        <v>385140114.88460267</v>
      </c>
      <c r="D98" s="23">
        <f t="shared" si="16"/>
        <v>1.3</v>
      </c>
      <c r="E98" s="44">
        <f>'Fremtind Livsforsikring'!F98+'Danica Pensjonsforsikring'!F98+'DNB Livsforsikring'!F98+'Eika Forsikring AS'!F98+'Frende Livsforsikring'!F98+'Frende Skadeforsikring'!F98+'Gjensidige Forsikring'!F98+'Gjensidige Pensjon'!F98+'Handelsbanken Liv'!F98+'If Skadeforsikring NUF'!F98+KLP!F98+'DNB Bedriftspensjon'!F98+'KLP Skadeforsikring AS'!F98+'Landkreditt Forsikring'!F98+Insr!F98+'Nordea Liv '!F98+'Oslo Pensjonsforsikring'!F98+'Protector Forsikring'!F98+'SHB Liv'!F98+'Sparebank 1'!F98+'Storebrand Livsforsikring'!F98+'Telenor Forsikring'!F98+'Tryg Forsikring'!F98+'WaterCircle F'!F98+'Codan Forsikring'!F98+'Euro Accident'!F98</f>
        <v>277813491.07894003</v>
      </c>
      <c r="F98" s="44">
        <f>'Fremtind Livsforsikring'!G98+'Danica Pensjonsforsikring'!G98+'DNB Livsforsikring'!G98+'Eika Forsikring AS'!G98+'Frende Livsforsikring'!G98+'Frende Skadeforsikring'!G98+'Gjensidige Forsikring'!G98+'Gjensidige Pensjon'!G98+'Handelsbanken Liv'!G98+'If Skadeforsikring NUF'!G98+KLP!G98+'DNB Bedriftspensjon'!G98+'KLP Skadeforsikring AS'!G98+'Landkreditt Forsikring'!G98+Insr!G98+'Nordea Liv '!G98+'Oslo Pensjonsforsikring'!G98+'Protector Forsikring'!G98+'SHB Liv'!G98+'Sparebank 1'!G98+'Storebrand Livsforsikring'!G98+'Telenor Forsikring'!G98+'Tryg Forsikring'!G98+'WaterCircle F'!G98+'Codan Forsikring'!G98+'Euro Accident'!G98</f>
        <v>388899648.09296602</v>
      </c>
      <c r="G98" s="166">
        <f t="shared" si="13"/>
        <v>40</v>
      </c>
      <c r="H98" s="214">
        <f t="shared" si="14"/>
        <v>658107886.37035978</v>
      </c>
      <c r="I98" s="214">
        <f t="shared" si="15"/>
        <v>774039762.97756863</v>
      </c>
      <c r="J98" s="23">
        <f t="shared" si="12"/>
        <v>17.600000000000001</v>
      </c>
    </row>
    <row r="99" spans="1:13" ht="15.75" customHeight="1" x14ac:dyDescent="0.2">
      <c r="A99" s="21" t="s">
        <v>9</v>
      </c>
      <c r="B99" s="211">
        <f>'Fremtind Livsforsikring'!B99+'Danica Pensjonsforsikring'!B99+'DNB Livsforsikring'!B99+'Eika Forsikring AS'!B99+'Frende Livsforsikring'!B99+'Frende Skadeforsikring'!B99+'Gjensidige Forsikring'!B99+'Gjensidige Pensjon'!B99+'Handelsbanken Liv'!B99+'If Skadeforsikring NUF'!B99+KLP!B99+'DNB Bedriftspensjon'!B99+'KLP Skadeforsikring AS'!B99+'Landkreditt Forsikring'!B99+Insr!B99+'Nordea Liv '!B99+'Oslo Pensjonsforsikring'!B99+'Protector Forsikring'!B99+'SHB Liv'!B99+'Sparebank 1'!B99+'Storebrand Livsforsikring'!B99+'Telenor Forsikring'!B99+'Tryg Forsikring'!B99+'WaterCircle F'!B99+'Codan Forsikring'!B99+'Euro Accident'!B99</f>
        <v>377194030.03712714</v>
      </c>
      <c r="C99" s="211">
        <f>'Fremtind Livsforsikring'!C99+'Danica Pensjonsforsikring'!C99+'DNB Livsforsikring'!C99+'Eika Forsikring AS'!C99+'Frende Livsforsikring'!C99+'Frende Skadeforsikring'!C99+'Gjensidige Forsikring'!C99+'Gjensidige Pensjon'!C99+'Handelsbanken Liv'!C99+'If Skadeforsikring NUF'!C99+KLP!C99+'DNB Bedriftspensjon'!C99+'KLP Skadeforsikring AS'!C99+'Landkreditt Forsikring'!C99+Insr!C99+'Nordea Liv '!C99+'Oslo Pensjonsforsikring'!C99+'Protector Forsikring'!C99+'SHB Liv'!C99+'Sparebank 1'!C99+'Storebrand Livsforsikring'!C99+'Telenor Forsikring'!C99+'Tryg Forsikring'!C99+'WaterCircle F'!C99+'Codan Forsikring'!C99+'Euro Accident'!C99</f>
        <v>382083941.38089263</v>
      </c>
      <c r="D99" s="23">
        <f t="shared" si="16"/>
        <v>1.3</v>
      </c>
      <c r="E99" s="44">
        <f>'Fremtind Livsforsikring'!F99+'Danica Pensjonsforsikring'!F99+'DNB Livsforsikring'!F99+'Eika Forsikring AS'!F99+'Frende Livsforsikring'!F99+'Frende Skadeforsikring'!F99+'Gjensidige Forsikring'!F99+'Gjensidige Pensjon'!F99+'Handelsbanken Liv'!F99+'If Skadeforsikring NUF'!F99+KLP!F99+'DNB Bedriftspensjon'!F99+'KLP Skadeforsikring AS'!F99+'Landkreditt Forsikring'!F99+Insr!F99+'Nordea Liv '!F99+'Oslo Pensjonsforsikring'!F99+'Protector Forsikring'!F99+'SHB Liv'!F99+'Sparebank 1'!F99+'Storebrand Livsforsikring'!F99+'Telenor Forsikring'!F99+'Tryg Forsikring'!F99+'WaterCircle F'!F99+'Codan Forsikring'!F99+'Euro Accident'!F99</f>
        <v>0</v>
      </c>
      <c r="F99" s="44">
        <f>'Fremtind Livsforsikring'!G99+'Danica Pensjonsforsikring'!G99+'DNB Livsforsikring'!G99+'Eika Forsikring AS'!G99+'Frende Livsforsikring'!G99+'Frende Skadeforsikring'!G99+'Gjensidige Forsikring'!G99+'Gjensidige Pensjon'!G99+'Handelsbanken Liv'!G99+'If Skadeforsikring NUF'!G99+KLP!G99+'DNB Bedriftspensjon'!G99+'KLP Skadeforsikring AS'!G99+'Landkreditt Forsikring'!G99+Insr!G99+'Nordea Liv '!G99+'Oslo Pensjonsforsikring'!G99+'Protector Forsikring'!G99+'SHB Liv'!G99+'Sparebank 1'!G99+'Storebrand Livsforsikring'!G99+'Telenor Forsikring'!G99+'Tryg Forsikring'!G99+'WaterCircle F'!G99+'Codan Forsikring'!G99+'Euro Accident'!G99</f>
        <v>0</v>
      </c>
      <c r="G99" s="166"/>
      <c r="H99" s="214">
        <f t="shared" si="14"/>
        <v>377194030.03712714</v>
      </c>
      <c r="I99" s="214">
        <f t="shared" si="15"/>
        <v>382083941.38089263</v>
      </c>
      <c r="J99" s="23">
        <f t="shared" si="12"/>
        <v>1.3</v>
      </c>
    </row>
    <row r="100" spans="1:13" ht="15.75" customHeight="1" x14ac:dyDescent="0.2">
      <c r="A100" s="38" t="s">
        <v>399</v>
      </c>
      <c r="B100" s="211">
        <f>'Fremtind Livsforsikring'!B100+'Danica Pensjonsforsikring'!B100+'DNB Livsforsikring'!B100+'Eika Forsikring AS'!B100+'Frende Livsforsikring'!B100+'Frende Skadeforsikring'!B100+'Gjensidige Forsikring'!B100+'Gjensidige Pensjon'!B100+'Handelsbanken Liv'!B100+'If Skadeforsikring NUF'!B100+KLP!B100+'DNB Bedriftspensjon'!B100+'KLP Skadeforsikring AS'!B100+'Landkreditt Forsikring'!B100+Insr!B100+'Nordea Liv '!B100+'Oslo Pensjonsforsikring'!B100+'Protector Forsikring'!B100+'SHB Liv'!B100+'Sparebank 1'!B100+'Storebrand Livsforsikring'!B100+'Telenor Forsikring'!B100+'Tryg Forsikring'!B100+'WaterCircle F'!B100+'Codan Forsikring'!B100+'Euro Accident'!B100</f>
        <v>3100365.2542926096</v>
      </c>
      <c r="C100" s="211">
        <f>'Fremtind Livsforsikring'!C100+'Danica Pensjonsforsikring'!C100+'DNB Livsforsikring'!C100+'Eika Forsikring AS'!C100+'Frende Livsforsikring'!C100+'Frende Skadeforsikring'!C100+'Gjensidige Forsikring'!C100+'Gjensidige Pensjon'!C100+'Handelsbanken Liv'!C100+'If Skadeforsikring NUF'!C100+KLP!C100+'DNB Bedriftspensjon'!C100+'KLP Skadeforsikring AS'!C100+'Landkreditt Forsikring'!C100+Insr!C100+'Nordea Liv '!C100+'Oslo Pensjonsforsikring'!C100+'Protector Forsikring'!C100+'SHB Liv'!C100+'Sparebank 1'!C100+'Storebrand Livsforsikring'!C100+'Telenor Forsikring'!C100+'Tryg Forsikring'!C100+'WaterCircle F'!C100+'Codan Forsikring'!C100+'Euro Accident'!C100</f>
        <v>3056173.5037099998</v>
      </c>
      <c r="D100" s="23">
        <f t="shared" si="16"/>
        <v>-1.4</v>
      </c>
      <c r="E100" s="44">
        <f>'Fremtind Livsforsikring'!F100+'Danica Pensjonsforsikring'!F100+'DNB Livsforsikring'!F100+'Eika Forsikring AS'!F100+'Frende Livsforsikring'!F100+'Frende Skadeforsikring'!F100+'Gjensidige Forsikring'!F100+'Gjensidige Pensjon'!F100+'Handelsbanken Liv'!F100+'If Skadeforsikring NUF'!F100+KLP!F100+'DNB Bedriftspensjon'!F100+'KLP Skadeforsikring AS'!F100+'Landkreditt Forsikring'!F100+Insr!F100+'Nordea Liv '!F100+'Oslo Pensjonsforsikring'!F100+'Protector Forsikring'!F100+'SHB Liv'!F100+'Sparebank 1'!F100+'Storebrand Livsforsikring'!F100+'Telenor Forsikring'!F100+'Tryg Forsikring'!F100+'WaterCircle F'!F100+'Codan Forsikring'!F100+'Euro Accident'!F100</f>
        <v>277813491.07894003</v>
      </c>
      <c r="F100" s="44">
        <f>'Fremtind Livsforsikring'!G100+'Danica Pensjonsforsikring'!G100+'DNB Livsforsikring'!G100+'Eika Forsikring AS'!G100+'Frende Livsforsikring'!G100+'Frende Skadeforsikring'!G100+'Gjensidige Forsikring'!G100+'Gjensidige Pensjon'!G100+'Handelsbanken Liv'!G100+'If Skadeforsikring NUF'!G100+KLP!G100+'DNB Bedriftspensjon'!G100+'KLP Skadeforsikring AS'!G100+'Landkreditt Forsikring'!G100+Insr!G100+'Nordea Liv '!G100+'Oslo Pensjonsforsikring'!G100+'Protector Forsikring'!G100+'SHB Liv'!G100+'Sparebank 1'!G100+'Storebrand Livsforsikring'!G100+'Telenor Forsikring'!G100+'Tryg Forsikring'!G100+'WaterCircle F'!G100+'Codan Forsikring'!G100+'Euro Accident'!G100</f>
        <v>388899648.09296602</v>
      </c>
      <c r="G100" s="166">
        <f t="shared" si="13"/>
        <v>40</v>
      </c>
      <c r="H100" s="214">
        <f t="shared" si="14"/>
        <v>280913856.33323264</v>
      </c>
      <c r="I100" s="214">
        <f t="shared" si="15"/>
        <v>391955821.59667599</v>
      </c>
      <c r="J100" s="23">
        <f t="shared" si="12"/>
        <v>39.5</v>
      </c>
    </row>
    <row r="101" spans="1:13" ht="15.75" customHeight="1" x14ac:dyDescent="0.2">
      <c r="A101" s="38" t="s">
        <v>401</v>
      </c>
      <c r="B101" s="211">
        <f>'Fremtind Livsforsikring'!B101+'Danica Pensjonsforsikring'!B101+'DNB Livsforsikring'!B101+'Eika Forsikring AS'!B101+'Frende Livsforsikring'!B101+'Frende Skadeforsikring'!B101+'Gjensidige Forsikring'!B101+'Gjensidige Pensjon'!B101+'Handelsbanken Liv'!B101+'If Skadeforsikring NUF'!B101+KLP!B101+'DNB Bedriftspensjon'!B101+'KLP Skadeforsikring AS'!B101+'Landkreditt Forsikring'!B101+Insr!B101+'Nordea Liv '!B101+'Oslo Pensjonsforsikring'!B101+'Protector Forsikring'!B101+'SHB Liv'!B101+'Sparebank 1'!B101+'Storebrand Livsforsikring'!B101+'Telenor Forsikring'!B101+'Tryg Forsikring'!B101+'WaterCircle F'!B101+'Codan Forsikring'!B101+'Euro Accident'!B101</f>
        <v>0</v>
      </c>
      <c r="C101" s="211">
        <f>'Fremtind Livsforsikring'!C101+'Danica Pensjonsforsikring'!C101+'DNB Livsforsikring'!C101+'Eika Forsikring AS'!C101+'Frende Livsforsikring'!C101+'Frende Skadeforsikring'!C101+'Gjensidige Forsikring'!C101+'Gjensidige Pensjon'!C101+'Handelsbanken Liv'!C101+'If Skadeforsikring NUF'!C101+KLP!C101+'DNB Bedriftspensjon'!C101+'KLP Skadeforsikring AS'!C101+'Landkreditt Forsikring'!C101+Insr!C101+'Nordea Liv '!C101+'Oslo Pensjonsforsikring'!C101+'Protector Forsikring'!C101+'SHB Liv'!C101+'Sparebank 1'!C101+'Storebrand Livsforsikring'!C101+'Telenor Forsikring'!C101+'Tryg Forsikring'!C101+'WaterCircle F'!C101+'Codan Forsikring'!C101+'Euro Accident'!C101</f>
        <v>0</v>
      </c>
      <c r="D101" s="23"/>
      <c r="E101" s="44">
        <f>'Fremtind Livsforsikring'!F101+'Danica Pensjonsforsikring'!F101+'DNB Livsforsikring'!F101+'Eika Forsikring AS'!F101+'Frende Livsforsikring'!F101+'Frende Skadeforsikring'!F101+'Gjensidige Forsikring'!F101+'Gjensidige Pensjon'!F101+'Handelsbanken Liv'!F101+'If Skadeforsikring NUF'!F101+KLP!F101+'DNB Bedriftspensjon'!F101+'KLP Skadeforsikring AS'!F101+'Landkreditt Forsikring'!F101+Insr!F101+'Nordea Liv '!F101+'Oslo Pensjonsforsikring'!F101+'Protector Forsikring'!F101+'SHB Liv'!F101+'Sparebank 1'!F101+'Storebrand Livsforsikring'!F101+'Telenor Forsikring'!F101+'Tryg Forsikring'!F101+'WaterCircle F'!F101+'Codan Forsikring'!F101+'Euro Accident'!F101</f>
        <v>0</v>
      </c>
      <c r="F101" s="44">
        <f>'Fremtind Livsforsikring'!G101+'Danica Pensjonsforsikring'!G101+'DNB Livsforsikring'!G101+'Eika Forsikring AS'!G101+'Frende Livsforsikring'!G101+'Frende Skadeforsikring'!G101+'Gjensidige Forsikring'!G101+'Gjensidige Pensjon'!G101+'Handelsbanken Liv'!G101+'If Skadeforsikring NUF'!G101+KLP!G101+'DNB Bedriftspensjon'!G101+'KLP Skadeforsikring AS'!G101+'Landkreditt Forsikring'!G101+Insr!G101+'Nordea Liv '!G101+'Oslo Pensjonsforsikring'!G101+'Protector Forsikring'!G101+'SHB Liv'!G101+'Sparebank 1'!G101+'Storebrand Livsforsikring'!G101+'Telenor Forsikring'!G101+'Tryg Forsikring'!G101+'WaterCircle F'!G101+'Codan Forsikring'!G101+'Euro Accident'!G101</f>
        <v>420900</v>
      </c>
      <c r="G101" s="166" t="str">
        <f t="shared" si="13"/>
        <v xml:space="preserve">    ---- </v>
      </c>
      <c r="H101" s="214">
        <f>SUM(B101,E101)</f>
        <v>0</v>
      </c>
      <c r="I101" s="214">
        <f>SUM(C101,F101)</f>
        <v>420900</v>
      </c>
      <c r="J101" s="23" t="str">
        <f>IF(H101=0, "    ---- ", IF(ABS(ROUND(100/H101*I101-100,1))&lt;999,ROUND(100/H101*I101-100,1),IF(ROUND(100/H101*I101-100,1)&gt;999,999,-999)))</f>
        <v xml:space="preserve">    ---- </v>
      </c>
    </row>
    <row r="102" spans="1:13" ht="15.75" customHeight="1" x14ac:dyDescent="0.2">
      <c r="A102" s="272" t="s">
        <v>356</v>
      </c>
      <c r="B102" s="212">
        <f>'Fremtind Livsforsikring'!B102+'Danica Pensjonsforsikring'!B102+'DNB Livsforsikring'!B102+'Eika Forsikring AS'!B102+'Frende Livsforsikring'!B102+'Frende Skadeforsikring'!B102+'Gjensidige Forsikring'!B102+'Gjensidige Pensjon'!B102+'Handelsbanken Liv'!B102+'If Skadeforsikring NUF'!B102+KLP!B102+'DNB Bedriftspensjon'!B102+'KLP Skadeforsikring AS'!B102+'Landkreditt Forsikring'!B102+Insr!B102+'Nordea Liv '!B102+'Oslo Pensjonsforsikring'!B102+'Protector Forsikring'!B102+'SHB Liv'!B102+'Sparebank 1'!B102+'Storebrand Livsforsikring'!B102+'Telenor Forsikring'!B102+'Tryg Forsikring'!B102+'WaterCircle F'!B102+'Codan Forsikring'!B102+'Euro Accident'!B102</f>
        <v>0</v>
      </c>
      <c r="C102" s="212">
        <f>'Fremtind Livsforsikring'!C102+'Danica Pensjonsforsikring'!C102+'DNB Livsforsikring'!C102+'Eika Forsikring AS'!C102+'Frende Livsforsikring'!C102+'Frende Skadeforsikring'!C102+'Gjensidige Forsikring'!C102+'Gjensidige Pensjon'!C102+'Handelsbanken Liv'!C102+'If Skadeforsikring NUF'!C102+KLP!C102+'DNB Bedriftspensjon'!C102+'KLP Skadeforsikring AS'!C102+'Landkreditt Forsikring'!C102+Insr!C102+'Nordea Liv '!C102+'Oslo Pensjonsforsikring'!C102+'Protector Forsikring'!C102+'SHB Liv'!C102+'Sparebank 1'!C102+'Storebrand Livsforsikring'!C102+'Telenor Forsikring'!C102+'Tryg Forsikring'!C102+'WaterCircle F'!C102+'Codan Forsikring'!C102+'Euro Accident'!C102</f>
        <v>0</v>
      </c>
      <c r="D102" s="27"/>
      <c r="E102" s="212">
        <f>'Fremtind Livsforsikring'!E102+'Danica Pensjonsforsikring'!E102+'DNB Livsforsikring'!E102+'Eika Forsikring AS'!E102+'Frende Livsforsikring'!E102+'Frende Skadeforsikring'!E102+'Gjensidige Forsikring'!E102+'Gjensidige Pensjon'!E102+'Handelsbanken Liv'!E102+'If Skadeforsikring NUF'!E102+KLP!E102+'DNB Bedriftspensjon'!E102+'KLP Skadeforsikring AS'!E102+'Landkreditt Forsikring'!E102+Insr!E102+'Nordea Liv '!E102+'Oslo Pensjonsforsikring'!E102+'Protector Forsikring'!E102+'SHB Liv'!E102+'Sparebank 1'!E102+'Storebrand Livsforsikring'!E102+'Telenor Forsikring'!E102+'Tryg Forsikring'!E102+'WaterCircle F'!E102+'Codan Forsikring'!E102+'Euro Accident'!E102</f>
        <v>0</v>
      </c>
      <c r="F102" s="212">
        <f>'Fremtind Livsforsikring'!F102+'Danica Pensjonsforsikring'!F102+'DNB Livsforsikring'!F102+'Eika Forsikring AS'!F102+'Frende Livsforsikring'!F102+'Frende Skadeforsikring'!F102+'Gjensidige Forsikring'!F102+'Gjensidige Pensjon'!F102+'Handelsbanken Liv'!F102+'If Skadeforsikring NUF'!F102+KLP!F102+'DNB Bedriftspensjon'!F102+'KLP Skadeforsikring AS'!F102+'Landkreditt Forsikring'!F102+Insr!F102+'Nordea Liv '!F102+'Oslo Pensjonsforsikring'!F102+'Protector Forsikring'!F102+'SHB Liv'!F102+'Sparebank 1'!F102+'Storebrand Livsforsikring'!F102+'Telenor Forsikring'!F102+'Tryg Forsikring'!F102+'WaterCircle F'!F102+'Codan Forsikring'!F102+'Euro Accident'!F102</f>
        <v>0</v>
      </c>
      <c r="G102" s="166"/>
      <c r="H102" s="212">
        <f>'Fremtind Livsforsikring'!H102+'Danica Pensjonsforsikring'!H102+'DNB Livsforsikring'!H102+'Eika Forsikring AS'!H102+'Frende Livsforsikring'!H102+'Frende Skadeforsikring'!H102+'Gjensidige Forsikring'!H102+'Gjensidige Pensjon'!H102+'Handelsbanken Liv'!H102+'If Skadeforsikring NUF'!H102+KLP!H102+'DNB Bedriftspensjon'!H102+'KLP Skadeforsikring AS'!H102+'Landkreditt Forsikring'!H102+Insr!H102+'Nordea Liv '!H102+'Oslo Pensjonsforsikring'!H102+'Protector Forsikring'!H102+'SHB Liv'!H102+'Sparebank 1'!H102+'Storebrand Livsforsikring'!H102+'Telenor Forsikring'!H102+'Tryg Forsikring'!H102+'WaterCircle F'!H102+'Codan Forsikring'!H102+'Euro Accident'!H102</f>
        <v>0</v>
      </c>
      <c r="I102" s="212">
        <f>'Fremtind Livsforsikring'!I102+'Danica Pensjonsforsikring'!I102+'DNB Livsforsikring'!I102+'Eika Forsikring AS'!I102+'Frende Livsforsikring'!I102+'Frende Skadeforsikring'!I102+'Gjensidige Forsikring'!I102+'Gjensidige Pensjon'!I102+'Handelsbanken Liv'!I102+'If Skadeforsikring NUF'!I102+KLP!I102+'DNB Bedriftspensjon'!I102+'KLP Skadeforsikring AS'!I102+'Landkreditt Forsikring'!I102+Insr!I102+'Nordea Liv '!I102+'Oslo Pensjonsforsikring'!I102+'Protector Forsikring'!I102+'SHB Liv'!I102+'Sparebank 1'!I102+'Storebrand Livsforsikring'!I102+'Telenor Forsikring'!I102+'Tryg Forsikring'!I102+'WaterCircle F'!I102+'Codan Forsikring'!I102+'Euro Accident'!I102</f>
        <v>0</v>
      </c>
      <c r="J102" s="23"/>
    </row>
    <row r="103" spans="1:13" ht="15.75" customHeight="1" x14ac:dyDescent="0.2">
      <c r="A103" s="272" t="s">
        <v>12</v>
      </c>
      <c r="B103" s="212">
        <f>'Fremtind Livsforsikring'!B103+'Danica Pensjonsforsikring'!B103+'DNB Livsforsikring'!B103+'Eika Forsikring AS'!B103+'Frende Livsforsikring'!B103+'Frende Skadeforsikring'!B103+'Gjensidige Forsikring'!B103+'Gjensidige Pensjon'!B103+'Handelsbanken Liv'!B103+'If Skadeforsikring NUF'!B103+KLP!B103+'DNB Bedriftspensjon'!B103+'KLP Skadeforsikring AS'!B103+'Landkreditt Forsikring'!B103+Insr!B103+'Nordea Liv '!B103+'Oslo Pensjonsforsikring'!B103+'Protector Forsikring'!B103+'SHB Liv'!B103+'Sparebank 1'!B103+'Storebrand Livsforsikring'!B103+'Telenor Forsikring'!B103+'Tryg Forsikring'!B103+'WaterCircle F'!B103+'Codan Forsikring'!B103+'Euro Accident'!B103</f>
        <v>0</v>
      </c>
      <c r="C103" s="212">
        <f>'Fremtind Livsforsikring'!C103+'Danica Pensjonsforsikring'!C103+'DNB Livsforsikring'!C103+'Eika Forsikring AS'!C103+'Frende Livsforsikring'!C103+'Frende Skadeforsikring'!C103+'Gjensidige Forsikring'!C103+'Gjensidige Pensjon'!C103+'Handelsbanken Liv'!C103+'If Skadeforsikring NUF'!C103+KLP!C103+'DNB Bedriftspensjon'!C103+'KLP Skadeforsikring AS'!C103+'Landkreditt Forsikring'!C103+Insr!C103+'Nordea Liv '!C103+'Oslo Pensjonsforsikring'!C103+'Protector Forsikring'!C103+'SHB Liv'!C103+'Sparebank 1'!C103+'Storebrand Livsforsikring'!C103+'Telenor Forsikring'!C103+'Tryg Forsikring'!C103+'WaterCircle F'!C103+'Codan Forsikring'!C103+'Euro Accident'!C103</f>
        <v>0</v>
      </c>
      <c r="D103" s="27"/>
      <c r="E103" s="212">
        <f>'Fremtind Livsforsikring'!E103+'Danica Pensjonsforsikring'!E103+'DNB Livsforsikring'!E103+'Eika Forsikring AS'!E103+'Frende Livsforsikring'!E103+'Frende Skadeforsikring'!E103+'Gjensidige Forsikring'!E103+'Gjensidige Pensjon'!E103+'Handelsbanken Liv'!E103+'If Skadeforsikring NUF'!E103+KLP!E103+'DNB Bedriftspensjon'!E103+'KLP Skadeforsikring AS'!E103+'Landkreditt Forsikring'!E103+Insr!E103+'Nordea Liv '!E103+'Oslo Pensjonsforsikring'!E103+'Protector Forsikring'!E103+'SHB Liv'!E103+'Sparebank 1'!E103+'Storebrand Livsforsikring'!E103+'Telenor Forsikring'!E103+'Tryg Forsikring'!E103+'WaterCircle F'!E103+'Codan Forsikring'!E103+'Euro Accident'!E103</f>
        <v>0</v>
      </c>
      <c r="F103" s="212">
        <f>'Fremtind Livsforsikring'!F103+'Danica Pensjonsforsikring'!F103+'DNB Livsforsikring'!F103+'Eika Forsikring AS'!F103+'Frende Livsforsikring'!F103+'Frende Skadeforsikring'!F103+'Gjensidige Forsikring'!F103+'Gjensidige Pensjon'!F103+'Handelsbanken Liv'!F103+'If Skadeforsikring NUF'!F103+KLP!F103+'DNB Bedriftspensjon'!F103+'KLP Skadeforsikring AS'!F103+'Landkreditt Forsikring'!F103+Insr!F103+'Nordea Liv '!F103+'Oslo Pensjonsforsikring'!F103+'Protector Forsikring'!F103+'SHB Liv'!F103+'Sparebank 1'!F103+'Storebrand Livsforsikring'!F103+'Telenor Forsikring'!F103+'Tryg Forsikring'!F103+'WaterCircle F'!F103+'Codan Forsikring'!F103+'Euro Accident'!F103</f>
        <v>0</v>
      </c>
      <c r="G103" s="166"/>
      <c r="H103" s="212">
        <f>'Fremtind Livsforsikring'!H103+'Danica Pensjonsforsikring'!H103+'DNB Livsforsikring'!H103+'Eika Forsikring AS'!H103+'Frende Livsforsikring'!H103+'Frende Skadeforsikring'!H103+'Gjensidige Forsikring'!H103+'Gjensidige Pensjon'!H103+'Handelsbanken Liv'!H103+'If Skadeforsikring NUF'!H103+KLP!H103+'DNB Bedriftspensjon'!H103+'KLP Skadeforsikring AS'!H103+'Landkreditt Forsikring'!H103+Insr!H103+'Nordea Liv '!H103+'Oslo Pensjonsforsikring'!H103+'Protector Forsikring'!H103+'SHB Liv'!H103+'Sparebank 1'!H103+'Storebrand Livsforsikring'!H103+'Telenor Forsikring'!H103+'Tryg Forsikring'!H103+'WaterCircle F'!H103+'Codan Forsikring'!H103+'Euro Accident'!H103</f>
        <v>0</v>
      </c>
      <c r="I103" s="212">
        <f>'Fremtind Livsforsikring'!I103+'Danica Pensjonsforsikring'!I103+'DNB Livsforsikring'!I103+'Eika Forsikring AS'!I103+'Frende Livsforsikring'!I103+'Frende Skadeforsikring'!I103+'Gjensidige Forsikring'!I103+'Gjensidige Pensjon'!I103+'Handelsbanken Liv'!I103+'If Skadeforsikring NUF'!I103+KLP!I103+'DNB Bedriftspensjon'!I103+'KLP Skadeforsikring AS'!I103+'Landkreditt Forsikring'!I103+Insr!I103+'Nordea Liv '!I103+'Oslo Pensjonsforsikring'!I103+'Protector Forsikring'!I103+'SHB Liv'!I103+'Sparebank 1'!I103+'Storebrand Livsforsikring'!I103+'Telenor Forsikring'!I103+'Tryg Forsikring'!I103+'WaterCircle F'!I103+'Codan Forsikring'!I103+'Euro Accident'!I103</f>
        <v>0</v>
      </c>
      <c r="J103" s="23"/>
    </row>
    <row r="104" spans="1:13" ht="15.75" customHeight="1" x14ac:dyDescent="0.2">
      <c r="A104" s="272" t="s">
        <v>13</v>
      </c>
      <c r="B104" s="212">
        <f>'Fremtind Livsforsikring'!B104+'Danica Pensjonsforsikring'!B104+'DNB Livsforsikring'!B104+'Eika Forsikring AS'!B104+'Frende Livsforsikring'!B104+'Frende Skadeforsikring'!B104+'Gjensidige Forsikring'!B104+'Gjensidige Pensjon'!B104+'Handelsbanken Liv'!B104+'If Skadeforsikring NUF'!B104+KLP!B104+'DNB Bedriftspensjon'!B104+'KLP Skadeforsikring AS'!B104+'Landkreditt Forsikring'!B104+Insr!B104+'Nordea Liv '!B104+'Oslo Pensjonsforsikring'!B104+'Protector Forsikring'!B104+'SHB Liv'!B104+'Sparebank 1'!B104+'Storebrand Livsforsikring'!B104+'Telenor Forsikring'!B104+'Tryg Forsikring'!B104+'WaterCircle F'!B104+'Codan Forsikring'!B104+'Euro Accident'!B104</f>
        <v>0</v>
      </c>
      <c r="C104" s="212">
        <f>'Fremtind Livsforsikring'!C104+'Danica Pensjonsforsikring'!C104+'DNB Livsforsikring'!C104+'Eika Forsikring AS'!C104+'Frende Livsforsikring'!C104+'Frende Skadeforsikring'!C104+'Gjensidige Forsikring'!C104+'Gjensidige Pensjon'!C104+'Handelsbanken Liv'!C104+'If Skadeforsikring NUF'!C104+KLP!C104+'DNB Bedriftspensjon'!C104+'KLP Skadeforsikring AS'!C104+'Landkreditt Forsikring'!C104+Insr!C104+'Nordea Liv '!C104+'Oslo Pensjonsforsikring'!C104+'Protector Forsikring'!C104+'SHB Liv'!C104+'Sparebank 1'!C104+'Storebrand Livsforsikring'!C104+'Telenor Forsikring'!C104+'Tryg Forsikring'!C104+'WaterCircle F'!C104+'Codan Forsikring'!C104+'Euro Accident'!C104</f>
        <v>0</v>
      </c>
      <c r="D104" s="27"/>
      <c r="E104" s="212">
        <f>'Fremtind Livsforsikring'!E104+'Danica Pensjonsforsikring'!E104+'DNB Livsforsikring'!E104+'Eika Forsikring AS'!E104+'Frende Livsforsikring'!E104+'Frende Skadeforsikring'!E104+'Gjensidige Forsikring'!E104+'Gjensidige Pensjon'!E104+'Handelsbanken Liv'!E104+'If Skadeforsikring NUF'!E104+KLP!E104+'DNB Bedriftspensjon'!E104+'KLP Skadeforsikring AS'!E104+'Landkreditt Forsikring'!E104+Insr!E104+'Nordea Liv '!E104+'Oslo Pensjonsforsikring'!E104+'Protector Forsikring'!E104+'SHB Liv'!E104+'Sparebank 1'!E104+'Storebrand Livsforsikring'!E104+'Telenor Forsikring'!E104+'Tryg Forsikring'!E104+'WaterCircle F'!E104+'Codan Forsikring'!E104+'Euro Accident'!E104</f>
        <v>0</v>
      </c>
      <c r="F104" s="212">
        <f>'Fremtind Livsforsikring'!F104+'Danica Pensjonsforsikring'!F104+'DNB Livsforsikring'!F104+'Eika Forsikring AS'!F104+'Frende Livsforsikring'!F104+'Frende Skadeforsikring'!F104+'Gjensidige Forsikring'!F104+'Gjensidige Pensjon'!F104+'Handelsbanken Liv'!F104+'If Skadeforsikring NUF'!F104+KLP!F104+'DNB Bedriftspensjon'!F104+'KLP Skadeforsikring AS'!F104+'Landkreditt Forsikring'!F104+Insr!F104+'Nordea Liv '!F104+'Oslo Pensjonsforsikring'!F104+'Protector Forsikring'!F104+'SHB Liv'!F104+'Sparebank 1'!F104+'Storebrand Livsforsikring'!F104+'Telenor Forsikring'!F104+'Tryg Forsikring'!F104+'WaterCircle F'!F104+'Codan Forsikring'!F104+'Euro Accident'!F104</f>
        <v>0</v>
      </c>
      <c r="G104" s="166"/>
      <c r="H104" s="212">
        <f>'Fremtind Livsforsikring'!H104+'Danica Pensjonsforsikring'!H104+'DNB Livsforsikring'!H104+'Eika Forsikring AS'!H104+'Frende Livsforsikring'!H104+'Frende Skadeforsikring'!H104+'Gjensidige Forsikring'!H104+'Gjensidige Pensjon'!H104+'Handelsbanken Liv'!H104+'If Skadeforsikring NUF'!H104+KLP!H104+'DNB Bedriftspensjon'!H104+'KLP Skadeforsikring AS'!H104+'Landkreditt Forsikring'!H104+Insr!H104+'Nordea Liv '!H104+'Oslo Pensjonsforsikring'!H104+'Protector Forsikring'!H104+'SHB Liv'!H104+'Sparebank 1'!H104+'Storebrand Livsforsikring'!H104+'Telenor Forsikring'!H104+'Tryg Forsikring'!H104+'WaterCircle F'!H104+'Codan Forsikring'!H104+'Euro Accident'!H104</f>
        <v>0</v>
      </c>
      <c r="I104" s="212">
        <f>'Fremtind Livsforsikring'!I104+'Danica Pensjonsforsikring'!I104+'DNB Livsforsikring'!I104+'Eika Forsikring AS'!I104+'Frende Livsforsikring'!I104+'Frende Skadeforsikring'!I104+'Gjensidige Forsikring'!I104+'Gjensidige Pensjon'!I104+'Handelsbanken Liv'!I104+'If Skadeforsikring NUF'!I104+KLP!I104+'DNB Bedriftspensjon'!I104+'KLP Skadeforsikring AS'!I104+'Landkreditt Forsikring'!I104+Insr!I104+'Nordea Liv '!I104+'Oslo Pensjonsforsikring'!I104+'Protector Forsikring'!I104+'SHB Liv'!I104+'Sparebank 1'!I104+'Storebrand Livsforsikring'!I104+'Telenor Forsikring'!I104+'Tryg Forsikring'!I104+'WaterCircle F'!I104+'Codan Forsikring'!I104+'Euro Accident'!I104</f>
        <v>0</v>
      </c>
      <c r="J104" s="23"/>
    </row>
    <row r="105" spans="1:13" ht="15.75" customHeight="1" x14ac:dyDescent="0.2">
      <c r="A105" s="272" t="s">
        <v>357</v>
      </c>
      <c r="B105" s="212">
        <f>'Fremtind Livsforsikring'!B105+'Danica Pensjonsforsikring'!B105+'DNB Livsforsikring'!B105+'Eika Forsikring AS'!B105+'Frende Livsforsikring'!B105+'Frende Skadeforsikring'!B105+'Gjensidige Forsikring'!B105+'Gjensidige Pensjon'!B105+'Handelsbanken Liv'!B105+'If Skadeforsikring NUF'!B105+KLP!B105+'DNB Bedriftspensjon'!B105+'KLP Skadeforsikring AS'!B105+'Landkreditt Forsikring'!B105+Insr!B105+'Nordea Liv '!B105+'Oslo Pensjonsforsikring'!B105+'Protector Forsikring'!B105+'SHB Liv'!B105+'Sparebank 1'!B105+'Storebrand Livsforsikring'!B105+'Telenor Forsikring'!B105+'Tryg Forsikring'!B105+'WaterCircle F'!B105+'Codan Forsikring'!B105+'Euro Accident'!B105</f>
        <v>0</v>
      </c>
      <c r="C105" s="212">
        <f>'Fremtind Livsforsikring'!C105+'Danica Pensjonsforsikring'!C105+'DNB Livsforsikring'!C105+'Eika Forsikring AS'!C105+'Frende Livsforsikring'!C105+'Frende Skadeforsikring'!C105+'Gjensidige Forsikring'!C105+'Gjensidige Pensjon'!C105+'Handelsbanken Liv'!C105+'If Skadeforsikring NUF'!C105+KLP!C105+'DNB Bedriftspensjon'!C105+'KLP Skadeforsikring AS'!C105+'Landkreditt Forsikring'!C105+Insr!C105+'Nordea Liv '!C105+'Oslo Pensjonsforsikring'!C105+'Protector Forsikring'!C105+'SHB Liv'!C105+'Sparebank 1'!C105+'Storebrand Livsforsikring'!C105+'Telenor Forsikring'!C105+'Tryg Forsikring'!C105+'WaterCircle F'!C105+'Codan Forsikring'!C105+'Euro Accident'!C105</f>
        <v>0</v>
      </c>
      <c r="D105" s="27"/>
      <c r="E105" s="212">
        <f>'Fremtind Livsforsikring'!E105+'Danica Pensjonsforsikring'!E105+'DNB Livsforsikring'!E105+'Eika Forsikring AS'!E105+'Frende Livsforsikring'!E105+'Frende Skadeforsikring'!E105+'Gjensidige Forsikring'!E105+'Gjensidige Pensjon'!E105+'Handelsbanken Liv'!E105+'If Skadeforsikring NUF'!E105+KLP!E105+'DNB Bedriftspensjon'!E105+'KLP Skadeforsikring AS'!E105+'Landkreditt Forsikring'!E105+Insr!E105+'Nordea Liv '!E105+'Oslo Pensjonsforsikring'!E105+'Protector Forsikring'!E105+'SHB Liv'!E105+'Sparebank 1'!E105+'Storebrand Livsforsikring'!E105+'Telenor Forsikring'!E105+'Tryg Forsikring'!E105+'WaterCircle F'!E105+'Codan Forsikring'!E105+'Euro Accident'!E105</f>
        <v>0</v>
      </c>
      <c r="F105" s="212">
        <f>'Fremtind Livsforsikring'!F105+'Danica Pensjonsforsikring'!F105+'DNB Livsforsikring'!F105+'Eika Forsikring AS'!F105+'Frende Livsforsikring'!F105+'Frende Skadeforsikring'!F105+'Gjensidige Forsikring'!F105+'Gjensidige Pensjon'!F105+'Handelsbanken Liv'!F105+'If Skadeforsikring NUF'!F105+KLP!F105+'DNB Bedriftspensjon'!F105+'KLP Skadeforsikring AS'!F105+'Landkreditt Forsikring'!F105+Insr!F105+'Nordea Liv '!F105+'Oslo Pensjonsforsikring'!F105+'Protector Forsikring'!F105+'SHB Liv'!F105+'Sparebank 1'!F105+'Storebrand Livsforsikring'!F105+'Telenor Forsikring'!F105+'Tryg Forsikring'!F105+'WaterCircle F'!F105+'Codan Forsikring'!F105+'Euro Accident'!F105</f>
        <v>0</v>
      </c>
      <c r="G105" s="166"/>
      <c r="H105" s="212">
        <f>'Fremtind Livsforsikring'!H105+'Danica Pensjonsforsikring'!H105+'DNB Livsforsikring'!H105+'Eika Forsikring AS'!H105+'Frende Livsforsikring'!H105+'Frende Skadeforsikring'!H105+'Gjensidige Forsikring'!H105+'Gjensidige Pensjon'!H105+'Handelsbanken Liv'!H105+'If Skadeforsikring NUF'!H105+KLP!H105+'DNB Bedriftspensjon'!H105+'KLP Skadeforsikring AS'!H105+'Landkreditt Forsikring'!H105+Insr!H105+'Nordea Liv '!H105+'Oslo Pensjonsforsikring'!H105+'Protector Forsikring'!H105+'SHB Liv'!H105+'Sparebank 1'!H105+'Storebrand Livsforsikring'!H105+'Telenor Forsikring'!H105+'Tryg Forsikring'!H105+'WaterCircle F'!H105+'Codan Forsikring'!H105+'Euro Accident'!H105</f>
        <v>0</v>
      </c>
      <c r="I105" s="212">
        <f>'Fremtind Livsforsikring'!I105+'Danica Pensjonsforsikring'!I105+'DNB Livsforsikring'!I105+'Eika Forsikring AS'!I105+'Frende Livsforsikring'!I105+'Frende Skadeforsikring'!I105+'Gjensidige Forsikring'!I105+'Gjensidige Pensjon'!I105+'Handelsbanken Liv'!I105+'If Skadeforsikring NUF'!I105+KLP!I105+'DNB Bedriftspensjon'!I105+'KLP Skadeforsikring AS'!I105+'Landkreditt Forsikring'!I105+Insr!I105+'Nordea Liv '!I105+'Oslo Pensjonsforsikring'!I105+'Protector Forsikring'!I105+'SHB Liv'!I105+'Sparebank 1'!I105+'Storebrand Livsforsikring'!I105+'Telenor Forsikring'!I105+'Tryg Forsikring'!I105+'WaterCircle F'!I105+'Codan Forsikring'!I105+'Euro Accident'!I105</f>
        <v>0</v>
      </c>
      <c r="J105" s="23"/>
    </row>
    <row r="106" spans="1:13" ht="15.75" customHeight="1" x14ac:dyDescent="0.2">
      <c r="A106" s="272" t="s">
        <v>12</v>
      </c>
      <c r="B106" s="212">
        <f>'Fremtind Livsforsikring'!B106+'Danica Pensjonsforsikring'!B106+'DNB Livsforsikring'!B106+'Eika Forsikring AS'!B106+'Frende Livsforsikring'!B106+'Frende Skadeforsikring'!B106+'Gjensidige Forsikring'!B106+'Gjensidige Pensjon'!B106+'Handelsbanken Liv'!B106+'If Skadeforsikring NUF'!B106+KLP!B106+'DNB Bedriftspensjon'!B106+'KLP Skadeforsikring AS'!B106+'Landkreditt Forsikring'!B106+Insr!B106+'Nordea Liv '!B106+'Oslo Pensjonsforsikring'!B106+'Protector Forsikring'!B106+'SHB Liv'!B106+'Sparebank 1'!B106+'Storebrand Livsforsikring'!B106+'Telenor Forsikring'!B106+'Tryg Forsikring'!B106+'WaterCircle F'!B106+'Codan Forsikring'!B106+'Euro Accident'!B106</f>
        <v>0</v>
      </c>
      <c r="C106" s="212">
        <f>'Fremtind Livsforsikring'!C106+'Danica Pensjonsforsikring'!C106+'DNB Livsforsikring'!C106+'Eika Forsikring AS'!C106+'Frende Livsforsikring'!C106+'Frende Skadeforsikring'!C106+'Gjensidige Forsikring'!C106+'Gjensidige Pensjon'!C106+'Handelsbanken Liv'!C106+'If Skadeforsikring NUF'!C106+KLP!C106+'DNB Bedriftspensjon'!C106+'KLP Skadeforsikring AS'!C106+'Landkreditt Forsikring'!C106+Insr!C106+'Nordea Liv '!C106+'Oslo Pensjonsforsikring'!C106+'Protector Forsikring'!C106+'SHB Liv'!C106+'Sparebank 1'!C106+'Storebrand Livsforsikring'!C106+'Telenor Forsikring'!C106+'Tryg Forsikring'!C106+'WaterCircle F'!C106+'Codan Forsikring'!C106+'Euro Accident'!C106</f>
        <v>0</v>
      </c>
      <c r="D106" s="27"/>
      <c r="E106" s="212">
        <f>'Fremtind Livsforsikring'!E106+'Danica Pensjonsforsikring'!E106+'DNB Livsforsikring'!E106+'Eika Forsikring AS'!E106+'Frende Livsforsikring'!E106+'Frende Skadeforsikring'!E106+'Gjensidige Forsikring'!E106+'Gjensidige Pensjon'!E106+'Handelsbanken Liv'!E106+'If Skadeforsikring NUF'!E106+KLP!E106+'DNB Bedriftspensjon'!E106+'KLP Skadeforsikring AS'!E106+'Landkreditt Forsikring'!E106+Insr!E106+'Nordea Liv '!E106+'Oslo Pensjonsforsikring'!E106+'Protector Forsikring'!E106+'SHB Liv'!E106+'Sparebank 1'!E106+'Storebrand Livsforsikring'!E106+'Telenor Forsikring'!E106+'Tryg Forsikring'!E106+'WaterCircle F'!E106+'Codan Forsikring'!E106+'Euro Accident'!E106</f>
        <v>0</v>
      </c>
      <c r="F106" s="212">
        <f>'Fremtind Livsforsikring'!F106+'Danica Pensjonsforsikring'!F106+'DNB Livsforsikring'!F106+'Eika Forsikring AS'!F106+'Frende Livsforsikring'!F106+'Frende Skadeforsikring'!F106+'Gjensidige Forsikring'!F106+'Gjensidige Pensjon'!F106+'Handelsbanken Liv'!F106+'If Skadeforsikring NUF'!F106+KLP!F106+'DNB Bedriftspensjon'!F106+'KLP Skadeforsikring AS'!F106+'Landkreditt Forsikring'!F106+Insr!F106+'Nordea Liv '!F106+'Oslo Pensjonsforsikring'!F106+'Protector Forsikring'!F106+'SHB Liv'!F106+'Sparebank 1'!F106+'Storebrand Livsforsikring'!F106+'Telenor Forsikring'!F106+'Tryg Forsikring'!F106+'WaterCircle F'!F106+'Codan Forsikring'!F106+'Euro Accident'!F106</f>
        <v>0</v>
      </c>
      <c r="G106" s="166"/>
      <c r="H106" s="212">
        <f>'Fremtind Livsforsikring'!H106+'Danica Pensjonsforsikring'!H106+'DNB Livsforsikring'!H106+'Eika Forsikring AS'!H106+'Frende Livsforsikring'!H106+'Frende Skadeforsikring'!H106+'Gjensidige Forsikring'!H106+'Gjensidige Pensjon'!H106+'Handelsbanken Liv'!H106+'If Skadeforsikring NUF'!H106+KLP!H106+'DNB Bedriftspensjon'!H106+'KLP Skadeforsikring AS'!H106+'Landkreditt Forsikring'!H106+Insr!H106+'Nordea Liv '!H106+'Oslo Pensjonsforsikring'!H106+'Protector Forsikring'!H106+'SHB Liv'!H106+'Sparebank 1'!H106+'Storebrand Livsforsikring'!H106+'Telenor Forsikring'!H106+'Tryg Forsikring'!H106+'WaterCircle F'!H106+'Codan Forsikring'!H106+'Euro Accident'!H106</f>
        <v>0</v>
      </c>
      <c r="I106" s="212">
        <f>'Fremtind Livsforsikring'!I106+'Danica Pensjonsforsikring'!I106+'DNB Livsforsikring'!I106+'Eika Forsikring AS'!I106+'Frende Livsforsikring'!I106+'Frende Skadeforsikring'!I106+'Gjensidige Forsikring'!I106+'Gjensidige Pensjon'!I106+'Handelsbanken Liv'!I106+'If Skadeforsikring NUF'!I106+KLP!I106+'DNB Bedriftspensjon'!I106+'KLP Skadeforsikring AS'!I106+'Landkreditt Forsikring'!I106+Insr!I106+'Nordea Liv '!I106+'Oslo Pensjonsforsikring'!I106+'Protector Forsikring'!I106+'SHB Liv'!I106+'Sparebank 1'!I106+'Storebrand Livsforsikring'!I106+'Telenor Forsikring'!I106+'Tryg Forsikring'!I106+'WaterCircle F'!I106+'Codan Forsikring'!I106+'Euro Accident'!I106</f>
        <v>0</v>
      </c>
      <c r="J106" s="23"/>
    </row>
    <row r="107" spans="1:13" ht="15.75" customHeight="1" x14ac:dyDescent="0.2">
      <c r="A107" s="272" t="s">
        <v>13</v>
      </c>
      <c r="B107" s="212">
        <f>'Fremtind Livsforsikring'!B107+'Danica Pensjonsforsikring'!B107+'DNB Livsforsikring'!B107+'Eika Forsikring AS'!B107+'Frende Livsforsikring'!B107+'Frende Skadeforsikring'!B107+'Gjensidige Forsikring'!B107+'Gjensidige Pensjon'!B107+'Handelsbanken Liv'!B107+'If Skadeforsikring NUF'!B107+KLP!B107+'DNB Bedriftspensjon'!B107+'KLP Skadeforsikring AS'!B107+'Landkreditt Forsikring'!B107+Insr!B107+'Nordea Liv '!B107+'Oslo Pensjonsforsikring'!B107+'Protector Forsikring'!B107+'SHB Liv'!B107+'Sparebank 1'!B107+'Storebrand Livsforsikring'!B107+'Telenor Forsikring'!B107+'Tryg Forsikring'!B107+'WaterCircle F'!B107+'Codan Forsikring'!B107+'Euro Accident'!B107</f>
        <v>0</v>
      </c>
      <c r="C107" s="212">
        <f>'Fremtind Livsforsikring'!C107+'Danica Pensjonsforsikring'!C107+'DNB Livsforsikring'!C107+'Eika Forsikring AS'!C107+'Frende Livsforsikring'!C107+'Frende Skadeforsikring'!C107+'Gjensidige Forsikring'!C107+'Gjensidige Pensjon'!C107+'Handelsbanken Liv'!C107+'If Skadeforsikring NUF'!C107+KLP!C107+'DNB Bedriftspensjon'!C107+'KLP Skadeforsikring AS'!C107+'Landkreditt Forsikring'!C107+Insr!C107+'Nordea Liv '!C107+'Oslo Pensjonsforsikring'!C107+'Protector Forsikring'!C107+'SHB Liv'!C107+'Sparebank 1'!C107+'Storebrand Livsforsikring'!C107+'Telenor Forsikring'!C107+'Tryg Forsikring'!C107+'WaterCircle F'!C107+'Codan Forsikring'!C107+'Euro Accident'!C107</f>
        <v>0</v>
      </c>
      <c r="D107" s="27"/>
      <c r="E107" s="212">
        <f>'Fremtind Livsforsikring'!E107+'Danica Pensjonsforsikring'!E107+'DNB Livsforsikring'!E107+'Eika Forsikring AS'!E107+'Frende Livsforsikring'!E107+'Frende Skadeforsikring'!E107+'Gjensidige Forsikring'!E107+'Gjensidige Pensjon'!E107+'Handelsbanken Liv'!E107+'If Skadeforsikring NUF'!E107+KLP!E107+'DNB Bedriftspensjon'!E107+'KLP Skadeforsikring AS'!E107+'Landkreditt Forsikring'!E107+Insr!E107+'Nordea Liv '!E107+'Oslo Pensjonsforsikring'!E107+'Protector Forsikring'!E107+'SHB Liv'!E107+'Sparebank 1'!E107+'Storebrand Livsforsikring'!E107+'Telenor Forsikring'!E107+'Tryg Forsikring'!E107+'WaterCircle F'!E107+'Codan Forsikring'!E107+'Euro Accident'!E107</f>
        <v>0</v>
      </c>
      <c r="F107" s="212">
        <f>'Fremtind Livsforsikring'!F107+'Danica Pensjonsforsikring'!F107+'DNB Livsforsikring'!F107+'Eika Forsikring AS'!F107+'Frende Livsforsikring'!F107+'Frende Skadeforsikring'!F107+'Gjensidige Forsikring'!F107+'Gjensidige Pensjon'!F107+'Handelsbanken Liv'!F107+'If Skadeforsikring NUF'!F107+KLP!F107+'DNB Bedriftspensjon'!F107+'KLP Skadeforsikring AS'!F107+'Landkreditt Forsikring'!F107+Insr!F107+'Nordea Liv '!F107+'Oslo Pensjonsforsikring'!F107+'Protector Forsikring'!F107+'SHB Liv'!F107+'Sparebank 1'!F107+'Storebrand Livsforsikring'!F107+'Telenor Forsikring'!F107+'Tryg Forsikring'!F107+'WaterCircle F'!F107+'Codan Forsikring'!F107+'Euro Accident'!F107</f>
        <v>0</v>
      </c>
      <c r="G107" s="166"/>
      <c r="H107" s="212">
        <f>'Fremtind Livsforsikring'!H107+'Danica Pensjonsforsikring'!H107+'DNB Livsforsikring'!H107+'Eika Forsikring AS'!H107+'Frende Livsforsikring'!H107+'Frende Skadeforsikring'!H107+'Gjensidige Forsikring'!H107+'Gjensidige Pensjon'!H107+'Handelsbanken Liv'!H107+'If Skadeforsikring NUF'!H107+KLP!H107+'DNB Bedriftspensjon'!H107+'KLP Skadeforsikring AS'!H107+'Landkreditt Forsikring'!H107+Insr!H107+'Nordea Liv '!H107+'Oslo Pensjonsforsikring'!H107+'Protector Forsikring'!H107+'SHB Liv'!H107+'Sparebank 1'!H107+'Storebrand Livsforsikring'!H107+'Telenor Forsikring'!H107+'Tryg Forsikring'!H107+'WaterCircle F'!H107+'Codan Forsikring'!H107+'Euro Accident'!H107</f>
        <v>0</v>
      </c>
      <c r="I107" s="212">
        <f>'Fremtind Livsforsikring'!I107+'Danica Pensjonsforsikring'!I107+'DNB Livsforsikring'!I107+'Eika Forsikring AS'!I107+'Frende Livsforsikring'!I107+'Frende Skadeforsikring'!I107+'Gjensidige Forsikring'!I107+'Gjensidige Pensjon'!I107+'Handelsbanken Liv'!I107+'If Skadeforsikring NUF'!I107+KLP!I107+'DNB Bedriftspensjon'!I107+'KLP Skadeforsikring AS'!I107+'Landkreditt Forsikring'!I107+Insr!I107+'Nordea Liv '!I107+'Oslo Pensjonsforsikring'!I107+'Protector Forsikring'!I107+'SHB Liv'!I107+'Sparebank 1'!I107+'Storebrand Livsforsikring'!I107+'Telenor Forsikring'!I107+'Tryg Forsikring'!I107+'WaterCircle F'!I107+'Codan Forsikring'!I107+'Euro Accident'!I107</f>
        <v>0</v>
      </c>
      <c r="J107" s="23"/>
    </row>
    <row r="108" spans="1:13" ht="15.75" customHeight="1" x14ac:dyDescent="0.2">
      <c r="A108" s="21" t="s">
        <v>359</v>
      </c>
      <c r="B108" s="211">
        <f>'Fremtind Livsforsikring'!B108+'Danica Pensjonsforsikring'!B108+'DNB Livsforsikring'!B108+'Eika Forsikring AS'!B108+'Frende Livsforsikring'!B108+'Frende Skadeforsikring'!B108+'Gjensidige Forsikring'!B108+'Gjensidige Pensjon'!B108+'Handelsbanken Liv'!B108+'If Skadeforsikring NUF'!B108+KLP!B108+'DNB Bedriftspensjon'!B108+'KLP Skadeforsikring AS'!B108+'Landkreditt Forsikring'!B108+Insr!B108+'Nordea Liv '!B108+'Oslo Pensjonsforsikring'!B108+'Protector Forsikring'!B108+'SHB Liv'!B108+'Sparebank 1'!B108+'Storebrand Livsforsikring'!B108+'Telenor Forsikring'!B108+'Tryg Forsikring'!B108+'WaterCircle F'!B108+'Codan Forsikring'!B108+'Euro Accident'!B108</f>
        <v>4592224.824</v>
      </c>
      <c r="C108" s="211">
        <f>'Fremtind Livsforsikring'!C108+'Danica Pensjonsforsikring'!C108+'DNB Livsforsikring'!C108+'Eika Forsikring AS'!C108+'Frende Livsforsikring'!C108+'Frende Skadeforsikring'!C108+'Gjensidige Forsikring'!C108+'Gjensidige Pensjon'!C108+'Handelsbanken Liv'!C108+'If Skadeforsikring NUF'!C108+KLP!C108+'DNB Bedriftspensjon'!C108+'KLP Skadeforsikring AS'!C108+'Landkreditt Forsikring'!C108+Insr!C108+'Nordea Liv '!C108+'Oslo Pensjonsforsikring'!C108+'Protector Forsikring'!C108+'SHB Liv'!C108+'Sparebank 1'!C108+'Storebrand Livsforsikring'!C108+'Telenor Forsikring'!C108+'Tryg Forsikring'!C108+'WaterCircle F'!C108+'Codan Forsikring'!C108+'Euro Accident'!C108</f>
        <v>4446372.4879999999</v>
      </c>
      <c r="D108" s="23">
        <f t="shared" ref="D108:D112" si="17">IF(B108=0, "    ---- ", IF(ABS(ROUND(100/B108*C108-100,1))&lt;999,ROUND(100/B108*C108-100,1),IF(ROUND(100/B108*C108-100,1)&gt;999,999,-999)))</f>
        <v>-3.2</v>
      </c>
      <c r="E108" s="44">
        <f>'Fremtind Livsforsikring'!F108+'Danica Pensjonsforsikring'!F108+'DNB Livsforsikring'!F108+'Eika Forsikring AS'!F108+'Frende Livsforsikring'!F108+'Frende Skadeforsikring'!F108+'Gjensidige Forsikring'!F108+'Gjensidige Pensjon'!F108+'Handelsbanken Liv'!F108+'If Skadeforsikring NUF'!F108+KLP!F108+'DNB Bedriftspensjon'!F108+'KLP Skadeforsikring AS'!F108+'Landkreditt Forsikring'!F108+Insr!F108+'Nordea Liv '!F108+'Oslo Pensjonsforsikring'!F108+'Protector Forsikring'!F108+'SHB Liv'!F108+'Sparebank 1'!F108+'Storebrand Livsforsikring'!F108+'Telenor Forsikring'!F108+'Tryg Forsikring'!F108+'WaterCircle F'!F108+'Codan Forsikring'!F108+'Euro Accident'!F108</f>
        <v>782174.91721999994</v>
      </c>
      <c r="F108" s="44">
        <f>'Fremtind Livsforsikring'!G108+'Danica Pensjonsforsikring'!G108+'DNB Livsforsikring'!G108+'Eika Forsikring AS'!G108+'Frende Livsforsikring'!G108+'Frende Skadeforsikring'!G108+'Gjensidige Forsikring'!G108+'Gjensidige Pensjon'!G108+'Handelsbanken Liv'!G108+'If Skadeforsikring NUF'!G108+KLP!G108+'DNB Bedriftspensjon'!G108+'KLP Skadeforsikring AS'!G108+'Landkreditt Forsikring'!G108+Insr!G108+'Nordea Liv '!G108+'Oslo Pensjonsforsikring'!G108+'Protector Forsikring'!G108+'SHB Liv'!G108+'Sparebank 1'!G108+'Storebrand Livsforsikring'!G108+'Telenor Forsikring'!G108+'Tryg Forsikring'!G108+'WaterCircle F'!G108+'Codan Forsikring'!G108+'Euro Accident'!G108</f>
        <v>1078379.76914</v>
      </c>
      <c r="G108" s="166">
        <f t="shared" si="13"/>
        <v>37.9</v>
      </c>
      <c r="H108" s="214">
        <f t="shared" si="14"/>
        <v>5374399.7412200002</v>
      </c>
      <c r="I108" s="214">
        <f t="shared" si="15"/>
        <v>5524752.2571399994</v>
      </c>
      <c r="J108" s="23">
        <f t="shared" si="12"/>
        <v>2.8</v>
      </c>
    </row>
    <row r="109" spans="1:13" ht="15.75" customHeight="1" x14ac:dyDescent="0.2">
      <c r="A109" s="21" t="s">
        <v>360</v>
      </c>
      <c r="B109" s="211">
        <f>'Fremtind Livsforsikring'!B109+'Danica Pensjonsforsikring'!B109+'DNB Livsforsikring'!B109+'Eika Forsikring AS'!B109+'Frende Livsforsikring'!B109+'Frende Skadeforsikring'!B109+'Gjensidige Forsikring'!B109+'Gjensidige Pensjon'!B109+'Handelsbanken Liv'!B109+'If Skadeforsikring NUF'!B109+KLP!B109+'DNB Bedriftspensjon'!B109+'KLP Skadeforsikring AS'!B109+'Landkreditt Forsikring'!B109+Insr!B109+'Nordea Liv '!B109+'Oslo Pensjonsforsikring'!B109+'Protector Forsikring'!B109+'SHB Liv'!B109+'Sparebank 1'!B109+'Storebrand Livsforsikring'!B109+'Telenor Forsikring'!B109+'Tryg Forsikring'!B109+'WaterCircle F'!B109+'Codan Forsikring'!B109+'Euro Accident'!B109</f>
        <v>322365923.58637214</v>
      </c>
      <c r="C109" s="211">
        <f>'Fremtind Livsforsikring'!C109+'Danica Pensjonsforsikring'!C109+'DNB Livsforsikring'!C109+'Eika Forsikring AS'!C109+'Frende Livsforsikring'!C109+'Frende Skadeforsikring'!C109+'Gjensidige Forsikring'!C109+'Gjensidige Pensjon'!C109+'Handelsbanken Liv'!C109+'If Skadeforsikring NUF'!C109+KLP!C109+'DNB Bedriftspensjon'!C109+'KLP Skadeforsikring AS'!C109+'Landkreditt Forsikring'!C109+Insr!C109+'Nordea Liv '!C109+'Oslo Pensjonsforsikring'!C109+'Protector Forsikring'!C109+'SHB Liv'!C109+'Sparebank 1'!C109+'Storebrand Livsforsikring'!C109+'Telenor Forsikring'!C109+'Tryg Forsikring'!C109+'WaterCircle F'!C109+'Codan Forsikring'!C109+'Euro Accident'!C109</f>
        <v>330141406.02896249</v>
      </c>
      <c r="D109" s="23">
        <f t="shared" si="17"/>
        <v>2.4</v>
      </c>
      <c r="E109" s="44">
        <f>'Fremtind Livsforsikring'!F109+'Danica Pensjonsforsikring'!F109+'DNB Livsforsikring'!F109+'Eika Forsikring AS'!F109+'Frende Livsforsikring'!F109+'Frende Skadeforsikring'!F109+'Gjensidige Forsikring'!F109+'Gjensidige Pensjon'!F109+'Handelsbanken Liv'!F109+'If Skadeforsikring NUF'!F109+KLP!F109+'DNB Bedriftspensjon'!F109+'KLP Skadeforsikring AS'!F109+'Landkreditt Forsikring'!F109+Insr!F109+'Nordea Liv '!F109+'Oslo Pensjonsforsikring'!F109+'Protector Forsikring'!F109+'SHB Liv'!F109+'Sparebank 1'!F109+'Storebrand Livsforsikring'!F109+'Telenor Forsikring'!F109+'Tryg Forsikring'!F109+'WaterCircle F'!F109+'Codan Forsikring'!F109+'Euro Accident'!F109</f>
        <v>15133595.991</v>
      </c>
      <c r="F109" s="44">
        <f>'Fremtind Livsforsikring'!G109+'Danica Pensjonsforsikring'!G109+'DNB Livsforsikring'!G109+'Eika Forsikring AS'!G109+'Frende Livsforsikring'!G109+'Frende Skadeforsikring'!G109+'Gjensidige Forsikring'!G109+'Gjensidige Pensjon'!G109+'Handelsbanken Liv'!G109+'If Skadeforsikring NUF'!G109+KLP!G109+'DNB Bedriftspensjon'!G109+'KLP Skadeforsikring AS'!G109+'Landkreditt Forsikring'!G109+Insr!G109+'Nordea Liv '!G109+'Oslo Pensjonsforsikring'!G109+'Protector Forsikring'!G109+'SHB Liv'!G109+'Sparebank 1'!G109+'Storebrand Livsforsikring'!G109+'Telenor Forsikring'!G109+'Tryg Forsikring'!G109+'WaterCircle F'!G109+'Codan Forsikring'!G109+'Euro Accident'!G109</f>
        <v>19446330.715</v>
      </c>
      <c r="G109" s="166">
        <f t="shared" si="13"/>
        <v>28.5</v>
      </c>
      <c r="H109" s="214">
        <f t="shared" si="14"/>
        <v>337499519.57737213</v>
      </c>
      <c r="I109" s="214">
        <f t="shared" si="15"/>
        <v>349587736.74396247</v>
      </c>
      <c r="J109" s="23">
        <f t="shared" si="12"/>
        <v>3.6</v>
      </c>
    </row>
    <row r="110" spans="1:13" ht="15.75" customHeight="1" x14ac:dyDescent="0.2">
      <c r="A110" s="38" t="s">
        <v>418</v>
      </c>
      <c r="B110" s="211">
        <f>'Fremtind Livsforsikring'!B110+'Danica Pensjonsforsikring'!B110+'DNB Livsforsikring'!B110+'Eika Forsikring AS'!B110+'Frende Livsforsikring'!B110+'Frende Skadeforsikring'!B110+'Gjensidige Forsikring'!B110+'Gjensidige Pensjon'!B110+'Handelsbanken Liv'!B110+'If Skadeforsikring NUF'!B110+KLP!B110+'DNB Bedriftspensjon'!B110+'KLP Skadeforsikring AS'!B110+'Landkreditt Forsikring'!B110+Insr!B110+'Nordea Liv '!B110+'Oslo Pensjonsforsikring'!B110+'Protector Forsikring'!B110+'SHB Liv'!B110+'Sparebank 1'!B110+'Storebrand Livsforsikring'!B110+'Telenor Forsikring'!B110+'Tryg Forsikring'!B110+'WaterCircle F'!B110+'Codan Forsikring'!B110+'Euro Accident'!B110</f>
        <v>1086602.8128549319</v>
      </c>
      <c r="C110" s="211">
        <f>'Fremtind Livsforsikring'!C110+'Danica Pensjonsforsikring'!C110+'DNB Livsforsikring'!C110+'Eika Forsikring AS'!C110+'Frende Livsforsikring'!C110+'Frende Skadeforsikring'!C110+'Gjensidige Forsikring'!C110+'Gjensidige Pensjon'!C110+'Handelsbanken Liv'!C110+'If Skadeforsikring NUF'!C110+KLP!C110+'DNB Bedriftspensjon'!C110+'KLP Skadeforsikring AS'!C110+'Landkreditt Forsikring'!C110+Insr!C110+'Nordea Liv '!C110+'Oslo Pensjonsforsikring'!C110+'Protector Forsikring'!C110+'SHB Liv'!C110+'Sparebank 1'!C110+'Storebrand Livsforsikring'!C110+'Telenor Forsikring'!C110+'Tryg Forsikring'!C110+'WaterCircle F'!C110+'Codan Forsikring'!C110+'Euro Accident'!C110</f>
        <v>1595179.70098</v>
      </c>
      <c r="D110" s="23">
        <f t="shared" si="17"/>
        <v>46.8</v>
      </c>
      <c r="E110" s="44">
        <f>'Fremtind Livsforsikring'!F110+'Danica Pensjonsforsikring'!F110+'DNB Livsforsikring'!F110+'Eika Forsikring AS'!F110+'Frende Livsforsikring'!F110+'Frende Skadeforsikring'!F110+'Gjensidige Forsikring'!F110+'Gjensidige Pensjon'!F110+'Handelsbanken Liv'!F110+'If Skadeforsikring NUF'!F110+KLP!F110+'DNB Bedriftspensjon'!F110+'KLP Skadeforsikring AS'!F110+'Landkreditt Forsikring'!F110+Insr!F110+'Nordea Liv '!F110+'Oslo Pensjonsforsikring'!F110+'Protector Forsikring'!F110+'SHB Liv'!F110+'Sparebank 1'!F110+'Storebrand Livsforsikring'!F110+'Telenor Forsikring'!F110+'Tryg Forsikring'!F110+'WaterCircle F'!F110+'Codan Forsikring'!F110+'Euro Accident'!F110</f>
        <v>97245147.984395996</v>
      </c>
      <c r="F110" s="44">
        <f>'Fremtind Livsforsikring'!G110+'Danica Pensjonsforsikring'!G110+'DNB Livsforsikring'!G110+'Eika Forsikring AS'!G110+'Frende Livsforsikring'!G110+'Frende Skadeforsikring'!G110+'Gjensidige Forsikring'!G110+'Gjensidige Pensjon'!G110+'Handelsbanken Liv'!G110+'If Skadeforsikring NUF'!G110+KLP!G110+'DNB Bedriftspensjon'!G110+'KLP Skadeforsikring AS'!G110+'Landkreditt Forsikring'!G110+Insr!G110+'Nordea Liv '!G110+'Oslo Pensjonsforsikring'!G110+'Protector Forsikring'!G110+'SHB Liv'!G110+'Sparebank 1'!G110+'Storebrand Livsforsikring'!G110+'Telenor Forsikring'!G110+'Tryg Forsikring'!G110+'WaterCircle F'!G110+'Codan Forsikring'!G110+'Euro Accident'!G110</f>
        <v>135265531.36762601</v>
      </c>
      <c r="G110" s="166">
        <f t="shared" si="13"/>
        <v>39.1</v>
      </c>
      <c r="H110" s="214">
        <f t="shared" si="14"/>
        <v>98331750.797250926</v>
      </c>
      <c r="I110" s="214">
        <f t="shared" si="15"/>
        <v>136860711.06860602</v>
      </c>
      <c r="J110" s="23">
        <f t="shared" si="12"/>
        <v>39.200000000000003</v>
      </c>
      <c r="L110" s="149"/>
      <c r="M110" s="149"/>
    </row>
    <row r="111" spans="1:13" ht="15.75" customHeight="1" x14ac:dyDescent="0.2">
      <c r="A111" s="21" t="s">
        <v>362</v>
      </c>
      <c r="B111" s="211">
        <f>'Fremtind Livsforsikring'!B111+'Danica Pensjonsforsikring'!B111+'DNB Livsforsikring'!B111+'Eika Forsikring AS'!B111+'Frende Livsforsikring'!B111+'Frende Skadeforsikring'!B111+'Gjensidige Forsikring'!B111+'Gjensidige Pensjon'!B111+'Handelsbanken Liv'!B111+'If Skadeforsikring NUF'!B111+KLP!B111+'DNB Bedriftspensjon'!B111+'KLP Skadeforsikring AS'!B111+'Landkreditt Forsikring'!B111+Insr!B111+'Nordea Liv '!B111+'Oslo Pensjonsforsikring'!B111+'Protector Forsikring'!B111+'SHB Liv'!B111+'Sparebank 1'!B111+'Storebrand Livsforsikring'!B111+'Telenor Forsikring'!B111+'Tryg Forsikring'!B111+'WaterCircle F'!B111+'Codan Forsikring'!B111+'Euro Accident'!B111</f>
        <v>334600.05567999999</v>
      </c>
      <c r="C111" s="211">
        <f>'Fremtind Livsforsikring'!C111+'Danica Pensjonsforsikring'!C111+'DNB Livsforsikring'!C111+'Eika Forsikring AS'!C111+'Frende Livsforsikring'!C111+'Frende Skadeforsikring'!C111+'Gjensidige Forsikring'!C111+'Gjensidige Pensjon'!C111+'Handelsbanken Liv'!C111+'If Skadeforsikring NUF'!C111+KLP!C111+'DNB Bedriftspensjon'!C111+'KLP Skadeforsikring AS'!C111+'Landkreditt Forsikring'!C111+Insr!C111+'Nordea Liv '!C111+'Oslo Pensjonsforsikring'!C111+'Protector Forsikring'!C111+'SHB Liv'!C111+'Sparebank 1'!C111+'Storebrand Livsforsikring'!C111+'Telenor Forsikring'!C111+'Tryg Forsikring'!C111+'WaterCircle F'!C111+'Codan Forsikring'!C111+'Euro Accident'!C111</f>
        <v>542312.03818999999</v>
      </c>
      <c r="D111" s="23">
        <f t="shared" si="17"/>
        <v>62.1</v>
      </c>
      <c r="E111" s="44">
        <f>'Fremtind Livsforsikring'!F111+'Danica Pensjonsforsikring'!F111+'DNB Livsforsikring'!F111+'Eika Forsikring AS'!F111+'Frende Livsforsikring'!F111+'Frende Skadeforsikring'!F111+'Gjensidige Forsikring'!F111+'Gjensidige Pensjon'!F111+'Handelsbanken Liv'!F111+'If Skadeforsikring NUF'!F111+KLP!F111+'DNB Bedriftspensjon'!F111+'KLP Skadeforsikring AS'!F111+'Landkreditt Forsikring'!F111+Insr!F111+'Nordea Liv '!F111+'Oslo Pensjonsforsikring'!F111+'Protector Forsikring'!F111+'SHB Liv'!F111+'Sparebank 1'!F111+'Storebrand Livsforsikring'!F111+'Telenor Forsikring'!F111+'Tryg Forsikring'!F111+'WaterCircle F'!F111+'Codan Forsikring'!F111+'Euro Accident'!F111</f>
        <v>0</v>
      </c>
      <c r="F111" s="44">
        <f>'Fremtind Livsforsikring'!G111+'Danica Pensjonsforsikring'!G111+'DNB Livsforsikring'!G111+'Eika Forsikring AS'!G111+'Frende Livsforsikring'!G111+'Frende Skadeforsikring'!G111+'Gjensidige Forsikring'!G111+'Gjensidige Pensjon'!G111+'Handelsbanken Liv'!G111+'If Skadeforsikring NUF'!G111+KLP!G111+'DNB Bedriftspensjon'!G111+'KLP Skadeforsikring AS'!G111+'Landkreditt Forsikring'!G111+Insr!G111+'Nordea Liv '!G111+'Oslo Pensjonsforsikring'!G111+'Protector Forsikring'!G111+'SHB Liv'!G111+'Sparebank 1'!G111+'Storebrand Livsforsikring'!G111+'Telenor Forsikring'!G111+'Tryg Forsikring'!G111+'WaterCircle F'!G111+'Codan Forsikring'!G111+'Euro Accident'!G111</f>
        <v>0</v>
      </c>
      <c r="G111" s="166"/>
      <c r="H111" s="214">
        <f t="shared" si="14"/>
        <v>334600.05567999999</v>
      </c>
      <c r="I111" s="214">
        <f t="shared" si="15"/>
        <v>542312.03818999999</v>
      </c>
      <c r="J111" s="23">
        <f t="shared" si="12"/>
        <v>62.1</v>
      </c>
    </row>
    <row r="112" spans="1:13" s="43" customFormat="1" ht="15.75" customHeight="1" x14ac:dyDescent="0.2">
      <c r="A112" s="13" t="s">
        <v>342</v>
      </c>
      <c r="B112" s="284">
        <f>'Fremtind Livsforsikring'!B112+'Danica Pensjonsforsikring'!B112+'DNB Livsforsikring'!B112+'Eika Forsikring AS'!B112+'Frende Livsforsikring'!B112+'Frende Skadeforsikring'!B112+'Gjensidige Forsikring'!B112+'Gjensidige Pensjon'!B112+'Handelsbanken Liv'!B112+'If Skadeforsikring NUF'!B112+KLP!B112+'DNB Bedriftspensjon'!B112+'KLP Skadeforsikring AS'!B112+'Landkreditt Forsikring'!B112+Insr!B112+'Nordea Liv '!B112+'Oslo Pensjonsforsikring'!B112+'Protector Forsikring'!B112+'SHB Liv'!B112+'Sparebank 1'!B112+'Storebrand Livsforsikring'!B112+'Telenor Forsikring'!B112+'Tryg Forsikring'!B112+'WaterCircle F'!B112+'Codan Forsikring'!B112+'Euro Accident'!B112</f>
        <v>394830.12543000001</v>
      </c>
      <c r="C112" s="284">
        <f>'Fremtind Livsforsikring'!C112+'Danica Pensjonsforsikring'!C112+'DNB Livsforsikring'!C112+'Eika Forsikring AS'!C112+'Frende Livsforsikring'!C112+'Frende Skadeforsikring'!C112+'Gjensidige Forsikring'!C112+'Gjensidige Pensjon'!C112+'Handelsbanken Liv'!C112+'If Skadeforsikring NUF'!C112+KLP!C112+'DNB Bedriftspensjon'!C112+'KLP Skadeforsikring AS'!C112+'Landkreditt Forsikring'!C112+Insr!C112+'Nordea Liv '!C112+'Oslo Pensjonsforsikring'!C112+'Protector Forsikring'!C112+'SHB Liv'!C112+'Sparebank 1'!C112+'Storebrand Livsforsikring'!C112+'Telenor Forsikring'!C112+'Tryg Forsikring'!C112+'WaterCircle F'!C112+'Codan Forsikring'!C112+'Euro Accident'!C112</f>
        <v>668835.44837</v>
      </c>
      <c r="D112" s="24">
        <f t="shared" si="17"/>
        <v>69.400000000000006</v>
      </c>
      <c r="E112" s="213">
        <f>'Fremtind Livsforsikring'!F112+'Danica Pensjonsforsikring'!F112+'DNB Livsforsikring'!F112+'Eika Forsikring AS'!F112+'Frende Livsforsikring'!F112+'Frende Skadeforsikring'!F112+'Gjensidige Forsikring'!F112+'Gjensidige Pensjon'!F112+'Handelsbanken Liv'!F112+'If Skadeforsikring NUF'!F112+KLP!F112+'DNB Bedriftspensjon'!F112+'KLP Skadeforsikring AS'!F112+'Landkreditt Forsikring'!F112+Insr!F112+'Nordea Liv '!F112+'Oslo Pensjonsforsikring'!F112+'Protector Forsikring'!F112+'SHB Liv'!F112+'Sparebank 1'!F112+'Storebrand Livsforsikring'!F112+'Telenor Forsikring'!F112+'Tryg Forsikring'!F112+'WaterCircle F'!F112+'Codan Forsikring'!F112+'Euro Accident'!F112</f>
        <v>8919283.9669199996</v>
      </c>
      <c r="F112" s="213">
        <f>'Fremtind Livsforsikring'!G112+'Danica Pensjonsforsikring'!G112+'DNB Livsforsikring'!G112+'Eika Forsikring AS'!G112+'Frende Livsforsikring'!G112+'Frende Skadeforsikring'!G112+'Gjensidige Forsikring'!G112+'Gjensidige Pensjon'!G112+'Handelsbanken Liv'!G112+'If Skadeforsikring NUF'!G112+KLP!G112+'DNB Bedriftspensjon'!G112+'KLP Skadeforsikring AS'!G112+'Landkreditt Forsikring'!G112+Insr!G112+'Nordea Liv '!G112+'Oslo Pensjonsforsikring'!G112+'Protector Forsikring'!G112+'SHB Liv'!G112+'Sparebank 1'!G112+'Storebrand Livsforsikring'!G112+'Telenor Forsikring'!G112+'Tryg Forsikring'!G112+'WaterCircle F'!G112+'Codan Forsikring'!G112+'Euro Accident'!G112</f>
        <v>9636495.6418600008</v>
      </c>
      <c r="G112" s="171">
        <f t="shared" si="13"/>
        <v>8</v>
      </c>
      <c r="H112" s="305">
        <f t="shared" si="14"/>
        <v>9314114.0923499987</v>
      </c>
      <c r="I112" s="305">
        <f t="shared" si="15"/>
        <v>10305331.090230001</v>
      </c>
      <c r="J112" s="24">
        <f t="shared" si="12"/>
        <v>10.6</v>
      </c>
    </row>
    <row r="113" spans="1:10" ht="15.75" customHeight="1" x14ac:dyDescent="0.2">
      <c r="A113" s="21" t="s">
        <v>9</v>
      </c>
      <c r="B113" s="211">
        <f>'Fremtind Livsforsikring'!B113+'Danica Pensjonsforsikring'!B113+'DNB Livsforsikring'!B113+'Eika Forsikring AS'!B113+'Frende Livsforsikring'!B113+'Frende Skadeforsikring'!B113+'Gjensidige Forsikring'!B113+'Gjensidige Pensjon'!B113+'Handelsbanken Liv'!B113+'If Skadeforsikring NUF'!B113+KLP!B113+'DNB Bedriftspensjon'!B113+'KLP Skadeforsikring AS'!B113+'Landkreditt Forsikring'!B113+Insr!B113+'Nordea Liv '!B113+'Oslo Pensjonsforsikring'!B113+'Protector Forsikring'!B113+'SHB Liv'!B113+'Sparebank 1'!B113+'Storebrand Livsforsikring'!B113+'Telenor Forsikring'!B113+'Tryg Forsikring'!B113+'WaterCircle F'!B113+'Codan Forsikring'!B113+'Euro Accident'!B113</f>
        <v>71157.658800000005</v>
      </c>
      <c r="C113" s="211">
        <f>'Fremtind Livsforsikring'!C113+'Danica Pensjonsforsikring'!C113+'DNB Livsforsikring'!C113+'Eika Forsikring AS'!C113+'Frende Livsforsikring'!C113+'Frende Skadeforsikring'!C113+'Gjensidige Forsikring'!C113+'Gjensidige Pensjon'!C113+'Handelsbanken Liv'!C113+'If Skadeforsikring NUF'!C113+KLP!C113+'DNB Bedriftspensjon'!C113+'KLP Skadeforsikring AS'!C113+'Landkreditt Forsikring'!C113+Insr!C113+'Nordea Liv '!C113+'Oslo Pensjonsforsikring'!C113+'Protector Forsikring'!C113+'SHB Liv'!C113+'Sparebank 1'!C113+'Storebrand Livsforsikring'!C113+'Telenor Forsikring'!C113+'Tryg Forsikring'!C113+'WaterCircle F'!C113+'Codan Forsikring'!C113+'Euro Accident'!C113</f>
        <v>607602.15289000003</v>
      </c>
      <c r="D113" s="23">
        <f t="shared" ref="D113:D126" si="18">IF(B113=0, "    ---- ", IF(ABS(ROUND(100/B113*C113-100,1))&lt;999,ROUND(100/B113*C113-100,1),IF(ROUND(100/B113*C113-100,1)&gt;999,999,-999)))</f>
        <v>753.9</v>
      </c>
      <c r="E113" s="44">
        <f>'Fremtind Livsforsikring'!F113+'Danica Pensjonsforsikring'!F113+'DNB Livsforsikring'!F113+'Eika Forsikring AS'!F113+'Frende Livsforsikring'!F113+'Frende Skadeforsikring'!F113+'Gjensidige Forsikring'!F113+'Gjensidige Pensjon'!F113+'Handelsbanken Liv'!F113+'If Skadeforsikring NUF'!F113+KLP!F113+'DNB Bedriftspensjon'!F113+'KLP Skadeforsikring AS'!F113+'Landkreditt Forsikring'!F113+Insr!F113+'Nordea Liv '!F113+'Oslo Pensjonsforsikring'!F113+'Protector Forsikring'!F113+'SHB Liv'!F113+'Sparebank 1'!F113+'Storebrand Livsforsikring'!F113+'Telenor Forsikring'!F113+'Tryg Forsikring'!F113+'WaterCircle F'!F113+'Codan Forsikring'!F113+'Euro Accident'!F113</f>
        <v>3509.7950000000001</v>
      </c>
      <c r="F113" s="44">
        <f>'Fremtind Livsforsikring'!G113+'Danica Pensjonsforsikring'!G113+'DNB Livsforsikring'!G113+'Eika Forsikring AS'!G113+'Frende Livsforsikring'!G113+'Frende Skadeforsikring'!G113+'Gjensidige Forsikring'!G113+'Gjensidige Pensjon'!G113+'Handelsbanken Liv'!G113+'If Skadeforsikring NUF'!G113+KLP!G113+'DNB Bedriftspensjon'!G113+'KLP Skadeforsikring AS'!G113+'Landkreditt Forsikring'!G113+Insr!G113+'Nordea Liv '!G113+'Oslo Pensjonsforsikring'!G113+'Protector Forsikring'!G113+'SHB Liv'!G113+'Sparebank 1'!G113+'Storebrand Livsforsikring'!G113+'Telenor Forsikring'!G113+'Tryg Forsikring'!G113+'WaterCircle F'!G113+'Codan Forsikring'!G113+'Euro Accident'!G113</f>
        <v>10108.107</v>
      </c>
      <c r="G113" s="166">
        <f t="shared" si="13"/>
        <v>188</v>
      </c>
      <c r="H113" s="214">
        <f t="shared" ref="H113:H127" si="19">SUM(B113,E113)</f>
        <v>74667.453800000003</v>
      </c>
      <c r="I113" s="214">
        <f t="shared" ref="I113:I127" si="20">SUM(C113,F113)</f>
        <v>617710.25988999999</v>
      </c>
      <c r="J113" s="23">
        <f t="shared" ref="J113:J126" si="21">IF(H113=0, "    ---- ", IF(ABS(ROUND(100/H113*I113-100,1))&lt;999,ROUND(100/H113*I113-100,1),IF(ROUND(100/H113*I113-100,1)&gt;999,999,-999)))</f>
        <v>727.3</v>
      </c>
    </row>
    <row r="114" spans="1:10" ht="15.75" customHeight="1" x14ac:dyDescent="0.2">
      <c r="A114" s="21" t="s">
        <v>10</v>
      </c>
      <c r="B114" s="211">
        <f>'Fremtind Livsforsikring'!B114+'Danica Pensjonsforsikring'!B114+'DNB Livsforsikring'!B114+'Eika Forsikring AS'!B114+'Frende Livsforsikring'!B114+'Frende Skadeforsikring'!B114+'Gjensidige Forsikring'!B114+'Gjensidige Pensjon'!B114+'Handelsbanken Liv'!B114+'If Skadeforsikring NUF'!B114+KLP!B114+'DNB Bedriftspensjon'!B114+'KLP Skadeforsikring AS'!B114+'Landkreditt Forsikring'!B114+Insr!B114+'Nordea Liv '!B114+'Oslo Pensjonsforsikring'!B114+'Protector Forsikring'!B114+'SHB Liv'!B114+'Sparebank 1'!B114+'Storebrand Livsforsikring'!B114+'Telenor Forsikring'!B114+'Tryg Forsikring'!B114+'WaterCircle F'!B114+'Codan Forsikring'!B114+'Euro Accident'!B114</f>
        <v>4178.6072700000004</v>
      </c>
      <c r="C114" s="211">
        <f>'Fremtind Livsforsikring'!C114+'Danica Pensjonsforsikring'!C114+'DNB Livsforsikring'!C114+'Eika Forsikring AS'!C114+'Frende Livsforsikring'!C114+'Frende Skadeforsikring'!C114+'Gjensidige Forsikring'!C114+'Gjensidige Pensjon'!C114+'Handelsbanken Liv'!C114+'If Skadeforsikring NUF'!C114+KLP!C114+'DNB Bedriftspensjon'!C114+'KLP Skadeforsikring AS'!C114+'Landkreditt Forsikring'!C114+Insr!C114+'Nordea Liv '!C114+'Oslo Pensjonsforsikring'!C114+'Protector Forsikring'!C114+'SHB Liv'!C114+'Sparebank 1'!C114+'Storebrand Livsforsikring'!C114+'Telenor Forsikring'!C114+'Tryg Forsikring'!C114+'WaterCircle F'!C114+'Codan Forsikring'!C114+'Euro Accident'!C114</f>
        <v>202.16847000000001</v>
      </c>
      <c r="D114" s="23">
        <f t="shared" si="18"/>
        <v>-95.2</v>
      </c>
      <c r="E114" s="44">
        <f>'Fremtind Livsforsikring'!F114+'Danica Pensjonsforsikring'!F114+'DNB Livsforsikring'!F114+'Eika Forsikring AS'!F114+'Frende Livsforsikring'!F114+'Frende Skadeforsikring'!F114+'Gjensidige Forsikring'!F114+'Gjensidige Pensjon'!F114+'Handelsbanken Liv'!F114+'If Skadeforsikring NUF'!F114+KLP!F114+'DNB Bedriftspensjon'!F114+'KLP Skadeforsikring AS'!F114+'Landkreditt Forsikring'!F114+Insr!F114+'Nordea Liv '!F114+'Oslo Pensjonsforsikring'!F114+'Protector Forsikring'!F114+'SHB Liv'!F114+'Sparebank 1'!F114+'Storebrand Livsforsikring'!F114+'Telenor Forsikring'!F114+'Tryg Forsikring'!F114+'WaterCircle F'!F114+'Codan Forsikring'!F114+'Euro Accident'!F114</f>
        <v>8847593.5349199995</v>
      </c>
      <c r="F114" s="44">
        <f>'Fremtind Livsforsikring'!G114+'Danica Pensjonsforsikring'!G114+'DNB Livsforsikring'!G114+'Eika Forsikring AS'!G114+'Frende Livsforsikring'!G114+'Frende Skadeforsikring'!G114+'Gjensidige Forsikring'!G114+'Gjensidige Pensjon'!G114+'Handelsbanken Liv'!G114+'If Skadeforsikring NUF'!G114+KLP!G114+'DNB Bedriftspensjon'!G114+'KLP Skadeforsikring AS'!G114+'Landkreditt Forsikring'!G114+Insr!G114+'Nordea Liv '!G114+'Oslo Pensjonsforsikring'!G114+'Protector Forsikring'!G114+'SHB Liv'!G114+'Sparebank 1'!G114+'Storebrand Livsforsikring'!G114+'Telenor Forsikring'!G114+'Tryg Forsikring'!G114+'WaterCircle F'!G114+'Codan Forsikring'!G114+'Euro Accident'!G114</f>
        <v>9626387.53486</v>
      </c>
      <c r="G114" s="171">
        <f t="shared" si="13"/>
        <v>8.8000000000000007</v>
      </c>
      <c r="H114" s="214">
        <f t="shared" si="19"/>
        <v>8851772.14219</v>
      </c>
      <c r="I114" s="214">
        <f t="shared" si="20"/>
        <v>9626589.7033300009</v>
      </c>
      <c r="J114" s="24">
        <f t="shared" si="21"/>
        <v>8.8000000000000007</v>
      </c>
    </row>
    <row r="115" spans="1:10" ht="15.75" customHeight="1" x14ac:dyDescent="0.2">
      <c r="A115" s="21" t="s">
        <v>26</v>
      </c>
      <c r="B115" s="211">
        <f>'Fremtind Livsforsikring'!B115+'Danica Pensjonsforsikring'!B115+'DNB Livsforsikring'!B115+'Eika Forsikring AS'!B115+'Frende Livsforsikring'!B115+'Frende Skadeforsikring'!B115+'Gjensidige Forsikring'!B115+'Gjensidige Pensjon'!B115+'Handelsbanken Liv'!B115+'If Skadeforsikring NUF'!B115+KLP!B115+'DNB Bedriftspensjon'!B115+'KLP Skadeforsikring AS'!B115+'Landkreditt Forsikring'!B115+Insr!B115+'Nordea Liv '!B115+'Oslo Pensjonsforsikring'!B115+'Protector Forsikring'!B115+'SHB Liv'!B115+'Sparebank 1'!B115+'Storebrand Livsforsikring'!B115+'Telenor Forsikring'!B115+'Tryg Forsikring'!B115+'WaterCircle F'!B115+'Codan Forsikring'!B115+'Euro Accident'!B115</f>
        <v>319493.85936</v>
      </c>
      <c r="C115" s="211">
        <f>'Fremtind Livsforsikring'!C115+'Danica Pensjonsforsikring'!C115+'DNB Livsforsikring'!C115+'Eika Forsikring AS'!C115+'Frende Livsforsikring'!C115+'Frende Skadeforsikring'!C115+'Gjensidige Forsikring'!C115+'Gjensidige Pensjon'!C115+'Handelsbanken Liv'!C115+'If Skadeforsikring NUF'!C115+KLP!C115+'DNB Bedriftspensjon'!C115+'KLP Skadeforsikring AS'!C115+'Landkreditt Forsikring'!C115+Insr!C115+'Nordea Liv '!C115+'Oslo Pensjonsforsikring'!C115+'Protector Forsikring'!C115+'SHB Liv'!C115+'Sparebank 1'!C115+'Storebrand Livsforsikring'!C115+'Telenor Forsikring'!C115+'Tryg Forsikring'!C115+'WaterCircle F'!C115+'Codan Forsikring'!C115+'Euro Accident'!C115</f>
        <v>61031.127009999997</v>
      </c>
      <c r="D115" s="23">
        <f t="shared" si="18"/>
        <v>-80.900000000000006</v>
      </c>
      <c r="E115" s="44">
        <f>'Fremtind Livsforsikring'!F115+'Danica Pensjonsforsikring'!F115+'DNB Livsforsikring'!F115+'Eika Forsikring AS'!F115+'Frende Livsforsikring'!F115+'Frende Skadeforsikring'!F115+'Gjensidige Forsikring'!F115+'Gjensidige Pensjon'!F115+'Handelsbanken Liv'!F115+'If Skadeforsikring NUF'!F115+KLP!F115+'DNB Bedriftspensjon'!F115+'KLP Skadeforsikring AS'!F115+'Landkreditt Forsikring'!F115+Insr!F115+'Nordea Liv '!F115+'Oslo Pensjonsforsikring'!F115+'Protector Forsikring'!F115+'SHB Liv'!F115+'Sparebank 1'!F115+'Storebrand Livsforsikring'!F115+'Telenor Forsikring'!F115+'Tryg Forsikring'!F115+'WaterCircle F'!F115+'Codan Forsikring'!F115+'Euro Accident'!F115</f>
        <v>68180.637000000002</v>
      </c>
      <c r="F115" s="44">
        <f>'Fremtind Livsforsikring'!G115+'Danica Pensjonsforsikring'!G115+'DNB Livsforsikring'!G115+'Eika Forsikring AS'!G115+'Frende Livsforsikring'!G115+'Frende Skadeforsikring'!G115+'Gjensidige Forsikring'!G115+'Gjensidige Pensjon'!G115+'Handelsbanken Liv'!G115+'If Skadeforsikring NUF'!G115+KLP!G115+'DNB Bedriftspensjon'!G115+'KLP Skadeforsikring AS'!G115+'Landkreditt Forsikring'!G115+Insr!G115+'Nordea Liv '!G115+'Oslo Pensjonsforsikring'!G115+'Protector Forsikring'!G115+'SHB Liv'!G115+'Sparebank 1'!G115+'Storebrand Livsforsikring'!G115+'Telenor Forsikring'!G115+'Tryg Forsikring'!G115+'WaterCircle F'!G115+'Codan Forsikring'!G115+'Euro Accident'!G115</f>
        <v>0</v>
      </c>
      <c r="G115" s="166">
        <f t="shared" si="13"/>
        <v>-100</v>
      </c>
      <c r="H115" s="214">
        <f t="shared" si="19"/>
        <v>387674.49635999999</v>
      </c>
      <c r="I115" s="214">
        <f t="shared" si="20"/>
        <v>61031.127009999997</v>
      </c>
      <c r="J115" s="24">
        <f t="shared" si="21"/>
        <v>-84.3</v>
      </c>
    </row>
    <row r="116" spans="1:10" ht="15.75" customHeight="1" x14ac:dyDescent="0.2">
      <c r="A116" s="272" t="s">
        <v>15</v>
      </c>
      <c r="B116" s="44">
        <f>'Fremtind Livsforsikring'!B116+'Danica Pensjonsforsikring'!B116+'DNB Livsforsikring'!B116+'Eika Forsikring AS'!B116+'Frende Livsforsikring'!B116+'Frende Skadeforsikring'!B116+'Gjensidige Forsikring'!B116+'Gjensidige Pensjon'!B116+'Handelsbanken Liv'!B116+'If Skadeforsikring NUF'!B116+KLP!B116+'DNB Bedriftspensjon'!B116+'KLP Skadeforsikring AS'!B116+'Landkreditt Forsikring'!B116+Insr!B116+'Nordea Liv '!B116+'Oslo Pensjonsforsikring'!B116+'Protector Forsikring'!B116+'SHB Liv'!B116+'Sparebank 1'!B116+'Storebrand Livsforsikring'!B116+'Telenor Forsikring'!B116+'Tryg Forsikring'!B116+'WaterCircle F'!B116+'Codan Forsikring'!B116+'Euro Accident'!B116</f>
        <v>0</v>
      </c>
      <c r="C116" s="44">
        <f>'Fremtind Livsforsikring'!C116+'Danica Pensjonsforsikring'!C116+'DNB Livsforsikring'!C116+'Eika Forsikring AS'!C116+'Frende Livsforsikring'!C116+'Frende Skadeforsikring'!C116+'Gjensidige Forsikring'!C116+'Gjensidige Pensjon'!C116+'Handelsbanken Liv'!C116+'If Skadeforsikring NUF'!C116+KLP!C116+'DNB Bedriftspensjon'!C116+'KLP Skadeforsikring AS'!C116+'Landkreditt Forsikring'!C116+Insr!C116+'Nordea Liv '!C116+'Oslo Pensjonsforsikring'!C116+'Protector Forsikring'!C116+'SHB Liv'!C116+'Sparebank 1'!C116+'Storebrand Livsforsikring'!C116+'Telenor Forsikring'!C116+'Tryg Forsikring'!C116+'WaterCircle F'!C116+'Codan Forsikring'!C116+'Euro Accident'!C116</f>
        <v>0</v>
      </c>
      <c r="D116" s="27"/>
      <c r="E116" s="44">
        <f>'Fremtind Livsforsikring'!F116+'Danica Pensjonsforsikring'!F116+'DNB Livsforsikring'!F116+'Eika Forsikring AS'!F116+'Frende Livsforsikring'!F116+'Frende Skadeforsikring'!F116+'Gjensidige Forsikring'!F116+'Gjensidige Pensjon'!F116+'Handelsbanken Liv'!F116+'If Skadeforsikring NUF'!F116+KLP!F116+'DNB Bedriftspensjon'!F116+'KLP Skadeforsikring AS'!F116+'Landkreditt Forsikring'!F116+Insr!F116+'Nordea Liv '!F116+'Oslo Pensjonsforsikring'!F116+'Protector Forsikring'!F116+'SHB Liv'!F116+'Sparebank 1'!F116+'Storebrand Livsforsikring'!F116+'Telenor Forsikring'!F116+'Tryg Forsikring'!F116+'WaterCircle F'!F116+'Codan Forsikring'!F116+'Euro Accident'!F116</f>
        <v>0</v>
      </c>
      <c r="F116" s="44">
        <f>'Fremtind Livsforsikring'!G116+'Danica Pensjonsforsikring'!G116+'DNB Livsforsikring'!G116+'Eika Forsikring AS'!G116+'Frende Livsforsikring'!G116+'Frende Skadeforsikring'!G116+'Gjensidige Forsikring'!G116+'Gjensidige Pensjon'!G116+'Handelsbanken Liv'!G116+'If Skadeforsikring NUF'!G116+KLP!G116+'DNB Bedriftspensjon'!G116+'KLP Skadeforsikring AS'!G116+'Landkreditt Forsikring'!G116+Insr!G116+'Nordea Liv '!G116+'Oslo Pensjonsforsikring'!G116+'Protector Forsikring'!G116+'SHB Liv'!G116+'Sparebank 1'!G116+'Storebrand Livsforsikring'!G116+'Telenor Forsikring'!G116+'Tryg Forsikring'!G116+'WaterCircle F'!G116+'Codan Forsikring'!G116+'Euro Accident'!G116</f>
        <v>0</v>
      </c>
      <c r="G116" s="166"/>
      <c r="H116" s="214">
        <f t="shared" si="19"/>
        <v>0</v>
      </c>
      <c r="I116" s="214">
        <f t="shared" si="20"/>
        <v>0</v>
      </c>
      <c r="J116" s="23"/>
    </row>
    <row r="117" spans="1:10" ht="15.75" customHeight="1" x14ac:dyDescent="0.2">
      <c r="A117" s="21" t="s">
        <v>363</v>
      </c>
      <c r="B117" s="211">
        <f>'Fremtind Livsforsikring'!B117+'Danica Pensjonsforsikring'!B117+'DNB Livsforsikring'!B117+'Eika Forsikring AS'!B117+'Frende Livsforsikring'!B117+'Frende Skadeforsikring'!B117+'Gjensidige Forsikring'!B117+'Gjensidige Pensjon'!B117+'Handelsbanken Liv'!B117+'If Skadeforsikring NUF'!B117+KLP!B117+'DNB Bedriftspensjon'!B117+'KLP Skadeforsikring AS'!B117+'Landkreditt Forsikring'!B117+Insr!B117+'Nordea Liv '!B117+'Oslo Pensjonsforsikring'!B117+'Protector Forsikring'!B117+'SHB Liv'!B117+'Sparebank 1'!B117+'Storebrand Livsforsikring'!B117+'Telenor Forsikring'!B117+'Tryg Forsikring'!B117+'WaterCircle F'!B117+'Codan Forsikring'!B117+'Euro Accident'!B117</f>
        <v>22119.327000000001</v>
      </c>
      <c r="C117" s="211">
        <f>'Fremtind Livsforsikring'!C117+'Danica Pensjonsforsikring'!C117+'DNB Livsforsikring'!C117+'Eika Forsikring AS'!C117+'Frende Livsforsikring'!C117+'Frende Skadeforsikring'!C117+'Gjensidige Forsikring'!C117+'Gjensidige Pensjon'!C117+'Handelsbanken Liv'!C117+'If Skadeforsikring NUF'!C117+KLP!C117+'DNB Bedriftspensjon'!C117+'KLP Skadeforsikring AS'!C117+'Landkreditt Forsikring'!C117+Insr!C117+'Nordea Liv '!C117+'Oslo Pensjonsforsikring'!C117+'Protector Forsikring'!C117+'SHB Liv'!C117+'Sparebank 1'!C117+'Storebrand Livsforsikring'!C117+'Telenor Forsikring'!C117+'Tryg Forsikring'!C117+'WaterCircle F'!C117+'Codan Forsikring'!C117+'Euro Accident'!C117</f>
        <v>43138.426520000001</v>
      </c>
      <c r="D117" s="23">
        <f t="shared" si="18"/>
        <v>95</v>
      </c>
      <c r="E117" s="44">
        <f>'Fremtind Livsforsikring'!F117+'Danica Pensjonsforsikring'!F117+'DNB Livsforsikring'!F117+'Eika Forsikring AS'!F117+'Frende Livsforsikring'!F117+'Frende Skadeforsikring'!F117+'Gjensidige Forsikring'!F117+'Gjensidige Pensjon'!F117+'Handelsbanken Liv'!F117+'If Skadeforsikring NUF'!F117+KLP!F117+'DNB Bedriftspensjon'!F117+'KLP Skadeforsikring AS'!F117+'Landkreditt Forsikring'!F117+Insr!F117+'Nordea Liv '!F117+'Oslo Pensjonsforsikring'!F117+'Protector Forsikring'!F117+'SHB Liv'!F117+'Sparebank 1'!F117+'Storebrand Livsforsikring'!F117+'Telenor Forsikring'!F117+'Tryg Forsikring'!F117+'WaterCircle F'!F117+'Codan Forsikring'!F117+'Euro Accident'!F117</f>
        <v>3509.7950000000001</v>
      </c>
      <c r="F117" s="44">
        <f>'Fremtind Livsforsikring'!G117+'Danica Pensjonsforsikring'!G117+'DNB Livsforsikring'!G117+'Eika Forsikring AS'!G117+'Frende Livsforsikring'!G117+'Frende Skadeforsikring'!G117+'Gjensidige Forsikring'!G117+'Gjensidige Pensjon'!G117+'Handelsbanken Liv'!G117+'If Skadeforsikring NUF'!G117+KLP!G117+'DNB Bedriftspensjon'!G117+'KLP Skadeforsikring AS'!G117+'Landkreditt Forsikring'!G117+Insr!G117+'Nordea Liv '!G117+'Oslo Pensjonsforsikring'!G117+'Protector Forsikring'!G117+'SHB Liv'!G117+'Sparebank 1'!G117+'Storebrand Livsforsikring'!G117+'Telenor Forsikring'!G117+'Tryg Forsikring'!G117+'WaterCircle F'!G117+'Codan Forsikring'!G117+'Euro Accident'!G117</f>
        <v>10108.107</v>
      </c>
      <c r="G117" s="166">
        <f t="shared" si="13"/>
        <v>188</v>
      </c>
      <c r="H117" s="214">
        <f t="shared" si="19"/>
        <v>25629.122000000003</v>
      </c>
      <c r="I117" s="214">
        <f t="shared" si="20"/>
        <v>53246.533519999997</v>
      </c>
      <c r="J117" s="23">
        <f t="shared" si="21"/>
        <v>107.8</v>
      </c>
    </row>
    <row r="118" spans="1:10" ht="15.75" customHeight="1" x14ac:dyDescent="0.2">
      <c r="A118" s="21" t="s">
        <v>364</v>
      </c>
      <c r="B118" s="211">
        <f>'Fremtind Livsforsikring'!B118+'Danica Pensjonsforsikring'!B118+'DNB Livsforsikring'!B118+'Eika Forsikring AS'!B118+'Frende Livsforsikring'!B118+'Frende Skadeforsikring'!B118+'Gjensidige Forsikring'!B118+'Gjensidige Pensjon'!B118+'Handelsbanken Liv'!B118+'If Skadeforsikring NUF'!B118+KLP!B118+'DNB Bedriftspensjon'!B118+'KLP Skadeforsikring AS'!B118+'Landkreditt Forsikring'!B118+Insr!B118+'Nordea Liv '!B118+'Oslo Pensjonsforsikring'!B118+'Protector Forsikring'!B118+'SHB Liv'!B118+'Sparebank 1'!B118+'Storebrand Livsforsikring'!B118+'Telenor Forsikring'!B118+'Tryg Forsikring'!B118+'WaterCircle F'!B118+'Codan Forsikring'!B118+'Euro Accident'!B118</f>
        <v>0</v>
      </c>
      <c r="C118" s="211">
        <f>'Fremtind Livsforsikring'!C118+'Danica Pensjonsforsikring'!C118+'DNB Livsforsikring'!C118+'Eika Forsikring AS'!C118+'Frende Livsforsikring'!C118+'Frende Skadeforsikring'!C118+'Gjensidige Forsikring'!C118+'Gjensidige Pensjon'!C118+'Handelsbanken Liv'!C118+'If Skadeforsikring NUF'!C118+KLP!C118+'DNB Bedriftspensjon'!C118+'KLP Skadeforsikring AS'!C118+'Landkreditt Forsikring'!C118+Insr!C118+'Nordea Liv '!C118+'Oslo Pensjonsforsikring'!C118+'Protector Forsikring'!C118+'SHB Liv'!C118+'Sparebank 1'!C118+'Storebrand Livsforsikring'!C118+'Telenor Forsikring'!C118+'Tryg Forsikring'!C118+'WaterCircle F'!C118+'Codan Forsikring'!C118+'Euro Accident'!C118</f>
        <v>0</v>
      </c>
      <c r="D118" s="23"/>
      <c r="E118" s="44">
        <f>'Fremtind Livsforsikring'!F118+'Danica Pensjonsforsikring'!F118+'DNB Livsforsikring'!F118+'Eika Forsikring AS'!F118+'Frende Livsforsikring'!F118+'Frende Skadeforsikring'!F118+'Gjensidige Forsikring'!F118+'Gjensidige Pensjon'!F118+'Handelsbanken Liv'!F118+'If Skadeforsikring NUF'!F118+KLP!F118+'DNB Bedriftspensjon'!F118+'KLP Skadeforsikring AS'!F118+'Landkreditt Forsikring'!F118+Insr!F118+'Nordea Liv '!F118+'Oslo Pensjonsforsikring'!F118+'Protector Forsikring'!F118+'SHB Liv'!F118+'Sparebank 1'!F118+'Storebrand Livsforsikring'!F118+'Telenor Forsikring'!F118+'Tryg Forsikring'!F118+'WaterCircle F'!F118+'Codan Forsikring'!F118+'Euro Accident'!F118</f>
        <v>820942.49580999999</v>
      </c>
      <c r="F118" s="44">
        <f>'Fremtind Livsforsikring'!G118+'Danica Pensjonsforsikring'!G118+'DNB Livsforsikring'!G118+'Eika Forsikring AS'!G118+'Frende Livsforsikring'!G118+'Frende Skadeforsikring'!G118+'Gjensidige Forsikring'!G118+'Gjensidige Pensjon'!G118+'Handelsbanken Liv'!G118+'If Skadeforsikring NUF'!G118+KLP!G118+'DNB Bedriftspensjon'!G118+'KLP Skadeforsikring AS'!G118+'Landkreditt Forsikring'!G118+Insr!G118+'Nordea Liv '!G118+'Oslo Pensjonsforsikring'!G118+'Protector Forsikring'!G118+'SHB Liv'!G118+'Sparebank 1'!G118+'Storebrand Livsforsikring'!G118+'Telenor Forsikring'!G118+'Tryg Forsikring'!G118+'WaterCircle F'!G118+'Codan Forsikring'!G118+'Euro Accident'!G118</f>
        <v>932744.38943999994</v>
      </c>
      <c r="G118" s="166">
        <f t="shared" si="13"/>
        <v>13.6</v>
      </c>
      <c r="H118" s="214">
        <f t="shared" si="19"/>
        <v>820942.49580999999</v>
      </c>
      <c r="I118" s="214">
        <f t="shared" si="20"/>
        <v>932744.38943999994</v>
      </c>
      <c r="J118" s="23">
        <f t="shared" si="21"/>
        <v>13.6</v>
      </c>
    </row>
    <row r="119" spans="1:10" ht="15.75" customHeight="1" x14ac:dyDescent="0.2">
      <c r="A119" s="21" t="s">
        <v>362</v>
      </c>
      <c r="B119" s="211">
        <f>'Fremtind Livsforsikring'!B119+'Danica Pensjonsforsikring'!B119+'DNB Livsforsikring'!B119+'Eika Forsikring AS'!B119+'Frende Livsforsikring'!B119+'Frende Skadeforsikring'!B119+'Gjensidige Forsikring'!B119+'Gjensidige Pensjon'!B119+'Handelsbanken Liv'!B119+'If Skadeforsikring NUF'!B119+KLP!B119+'DNB Bedriftspensjon'!B119+'KLP Skadeforsikring AS'!B119+'Landkreditt Forsikring'!B119+Insr!B119+'Nordea Liv '!B119+'Oslo Pensjonsforsikring'!B119+'Protector Forsikring'!B119+'SHB Liv'!B119+'Sparebank 1'!B119+'Storebrand Livsforsikring'!B119+'Telenor Forsikring'!B119+'Tryg Forsikring'!B119+'WaterCircle F'!B119+'Codan Forsikring'!B119+'Euro Accident'!B119</f>
        <v>0</v>
      </c>
      <c r="C119" s="211">
        <f>'Fremtind Livsforsikring'!C119+'Danica Pensjonsforsikring'!C119+'DNB Livsforsikring'!C119+'Eika Forsikring AS'!C119+'Frende Livsforsikring'!C119+'Frende Skadeforsikring'!C119+'Gjensidige Forsikring'!C119+'Gjensidige Pensjon'!C119+'Handelsbanken Liv'!C119+'If Skadeforsikring NUF'!C119+KLP!C119+'DNB Bedriftspensjon'!C119+'KLP Skadeforsikring AS'!C119+'Landkreditt Forsikring'!C119+Insr!C119+'Nordea Liv '!C119+'Oslo Pensjonsforsikring'!C119+'Protector Forsikring'!C119+'SHB Liv'!C119+'Sparebank 1'!C119+'Storebrand Livsforsikring'!C119+'Telenor Forsikring'!C119+'Tryg Forsikring'!C119+'WaterCircle F'!C119+'Codan Forsikring'!C119+'Euro Accident'!C119</f>
        <v>0</v>
      </c>
      <c r="D119" s="23"/>
      <c r="E119" s="44">
        <f>'Fremtind Livsforsikring'!F119+'Danica Pensjonsforsikring'!F119+'DNB Livsforsikring'!F119+'Eika Forsikring AS'!F119+'Frende Livsforsikring'!F119+'Frende Skadeforsikring'!F119+'Gjensidige Forsikring'!F119+'Gjensidige Pensjon'!F119+'Handelsbanken Liv'!F119+'If Skadeforsikring NUF'!F119+KLP!F119+'DNB Bedriftspensjon'!F119+'KLP Skadeforsikring AS'!F119+'Landkreditt Forsikring'!F119+Insr!F119+'Nordea Liv '!F119+'Oslo Pensjonsforsikring'!F119+'Protector Forsikring'!F119+'SHB Liv'!F119+'Sparebank 1'!F119+'Storebrand Livsforsikring'!F119+'Telenor Forsikring'!F119+'Tryg Forsikring'!F119+'WaterCircle F'!F119+'Codan Forsikring'!F119+'Euro Accident'!F119</f>
        <v>0</v>
      </c>
      <c r="F119" s="44">
        <f>'Fremtind Livsforsikring'!G119+'Danica Pensjonsforsikring'!G119+'DNB Livsforsikring'!G119+'Eika Forsikring AS'!G119+'Frende Livsforsikring'!G119+'Frende Skadeforsikring'!G119+'Gjensidige Forsikring'!G119+'Gjensidige Pensjon'!G119+'Handelsbanken Liv'!G119+'If Skadeforsikring NUF'!G119+KLP!G119+'DNB Bedriftspensjon'!G119+'KLP Skadeforsikring AS'!G119+'Landkreditt Forsikring'!G119+Insr!G119+'Nordea Liv '!G119+'Oslo Pensjonsforsikring'!G119+'Protector Forsikring'!G119+'SHB Liv'!G119+'Sparebank 1'!G119+'Storebrand Livsforsikring'!G119+'Telenor Forsikring'!G119+'Tryg Forsikring'!G119+'WaterCircle F'!G119+'Codan Forsikring'!G119+'Euro Accident'!G119</f>
        <v>0</v>
      </c>
      <c r="G119" s="166"/>
      <c r="H119" s="214">
        <f t="shared" si="19"/>
        <v>0</v>
      </c>
      <c r="I119" s="214">
        <f t="shared" si="20"/>
        <v>0</v>
      </c>
      <c r="J119" s="23"/>
    </row>
    <row r="120" spans="1:10" s="43" customFormat="1" ht="15.75" customHeight="1" x14ac:dyDescent="0.2">
      <c r="A120" s="13" t="s">
        <v>343</v>
      </c>
      <c r="B120" s="305">
        <f>'Fremtind Livsforsikring'!B120+'Danica Pensjonsforsikring'!B120+'DNB Livsforsikring'!B120+'Eika Forsikring AS'!B120+'Frende Livsforsikring'!B120+'Frende Skadeforsikring'!B120+'Gjensidige Forsikring'!B120+'Gjensidige Pensjon'!B120+'Handelsbanken Liv'!B120+'If Skadeforsikring NUF'!B120+KLP!B120+'DNB Bedriftspensjon'!B120+'KLP Skadeforsikring AS'!B120+'Landkreditt Forsikring'!B120+Insr!B120+'Nordea Liv '!B120+'Oslo Pensjonsforsikring'!B120+'Protector Forsikring'!B120+'SHB Liv'!B120+'Sparebank 1'!B120+'Storebrand Livsforsikring'!B120+'Telenor Forsikring'!B120+'Tryg Forsikring'!B120+'WaterCircle F'!B120+'Codan Forsikring'!B120+'Euro Accident'!B120</f>
        <v>490320.78743000003</v>
      </c>
      <c r="C120" s="305">
        <f>'Fremtind Livsforsikring'!C120+'Danica Pensjonsforsikring'!C120+'DNB Livsforsikring'!C120+'Eika Forsikring AS'!C120+'Frende Livsforsikring'!C120+'Frende Skadeforsikring'!C120+'Gjensidige Forsikring'!C120+'Gjensidige Pensjon'!C120+'Handelsbanken Liv'!C120+'If Skadeforsikring NUF'!C120+KLP!C120+'DNB Bedriftspensjon'!C120+'KLP Skadeforsikring AS'!C120+'Landkreditt Forsikring'!C120+Insr!C120+'Nordea Liv '!C120+'Oslo Pensjonsforsikring'!C120+'Protector Forsikring'!C120+'SHB Liv'!C120+'Sparebank 1'!C120+'Storebrand Livsforsikring'!C120+'Telenor Forsikring'!C120+'Tryg Forsikring'!C120+'WaterCircle F'!C120+'Codan Forsikring'!C120+'Euro Accident'!C120</f>
        <v>130891.23568</v>
      </c>
      <c r="D120" s="24">
        <f t="shared" si="18"/>
        <v>-73.3</v>
      </c>
      <c r="E120" s="213">
        <f>'Fremtind Livsforsikring'!F120+'Danica Pensjonsforsikring'!F120+'DNB Livsforsikring'!F120+'Eika Forsikring AS'!F120+'Frende Livsforsikring'!F120+'Frende Skadeforsikring'!F120+'Gjensidige Forsikring'!F120+'Gjensidige Pensjon'!F120+'Handelsbanken Liv'!F120+'If Skadeforsikring NUF'!F120+KLP!F120+'DNB Bedriftspensjon'!F120+'KLP Skadeforsikring AS'!F120+'Landkreditt Forsikring'!F120+Insr!F120+'Nordea Liv '!F120+'Oslo Pensjonsforsikring'!F120+'Protector Forsikring'!F120+'SHB Liv'!F120+'Sparebank 1'!F120+'Storebrand Livsforsikring'!F120+'Telenor Forsikring'!F120+'Tryg Forsikring'!F120+'WaterCircle F'!F120+'Codan Forsikring'!F120+'Euro Accident'!F120</f>
        <v>8634899.7007600013</v>
      </c>
      <c r="F120" s="213">
        <f>'Fremtind Livsforsikring'!G120+'Danica Pensjonsforsikring'!G120+'DNB Livsforsikring'!G120+'Eika Forsikring AS'!G120+'Frende Livsforsikring'!G120+'Frende Skadeforsikring'!G120+'Gjensidige Forsikring'!G120+'Gjensidige Pensjon'!G120+'Handelsbanken Liv'!G120+'If Skadeforsikring NUF'!G120+KLP!G120+'DNB Bedriftspensjon'!G120+'KLP Skadeforsikring AS'!G120+'Landkreditt Forsikring'!G120+Insr!G120+'Nordea Liv '!G120+'Oslo Pensjonsforsikring'!G120+'Protector Forsikring'!G120+'SHB Liv'!G120+'Sparebank 1'!G120+'Storebrand Livsforsikring'!G120+'Telenor Forsikring'!G120+'Tryg Forsikring'!G120+'WaterCircle F'!G120+'Codan Forsikring'!G120+'Euro Accident'!G120</f>
        <v>12094950.20933</v>
      </c>
      <c r="G120" s="171">
        <f t="shared" si="13"/>
        <v>40.1</v>
      </c>
      <c r="H120" s="305">
        <f t="shared" si="19"/>
        <v>9125220.4881900009</v>
      </c>
      <c r="I120" s="305">
        <f t="shared" si="20"/>
        <v>12225841.445010001</v>
      </c>
      <c r="J120" s="24">
        <f t="shared" si="21"/>
        <v>34</v>
      </c>
    </row>
    <row r="121" spans="1:10" ht="15.75" customHeight="1" x14ac:dyDescent="0.2">
      <c r="A121" s="21" t="s">
        <v>9</v>
      </c>
      <c r="B121" s="214">
        <f>'Fremtind Livsforsikring'!B121+'Danica Pensjonsforsikring'!B121+'DNB Livsforsikring'!B121+'Eika Forsikring AS'!B121+'Frende Livsforsikring'!B121+'Frende Skadeforsikring'!B121+'Gjensidige Forsikring'!B121+'Gjensidige Pensjon'!B121+'Handelsbanken Liv'!B121+'If Skadeforsikring NUF'!B121+KLP!B121+'DNB Bedriftspensjon'!B121+'KLP Skadeforsikring AS'!B121+'Landkreditt Forsikring'!B121+Insr!B121+'Nordea Liv '!B121+'Oslo Pensjonsforsikring'!B121+'Protector Forsikring'!B121+'SHB Liv'!B121+'Sparebank 1'!B121+'Storebrand Livsforsikring'!B121+'Telenor Forsikring'!B121+'Tryg Forsikring'!B121+'WaterCircle F'!B121+'Codan Forsikring'!B121+'Euro Accident'!B121</f>
        <v>436275.88500000001</v>
      </c>
      <c r="C121" s="214">
        <f>'Fremtind Livsforsikring'!C121+'Danica Pensjonsforsikring'!C121+'DNB Livsforsikring'!C121+'Eika Forsikring AS'!C121+'Frende Livsforsikring'!C121+'Frende Skadeforsikring'!C121+'Gjensidige Forsikring'!C121+'Gjensidige Pensjon'!C121+'Handelsbanken Liv'!C121+'If Skadeforsikring NUF'!C121+KLP!C121+'DNB Bedriftspensjon'!C121+'KLP Skadeforsikring AS'!C121+'Landkreditt Forsikring'!C121+Insr!C121+'Nordea Liv '!C121+'Oslo Pensjonsforsikring'!C121+'Protector Forsikring'!C121+'SHB Liv'!C121+'Sparebank 1'!C121+'Storebrand Livsforsikring'!C121+'Telenor Forsikring'!C121+'Tryg Forsikring'!C121+'WaterCircle F'!C121+'Codan Forsikring'!C121+'Euro Accident'!C121</f>
        <v>78656.675470000002</v>
      </c>
      <c r="D121" s="23">
        <f t="shared" si="18"/>
        <v>-82</v>
      </c>
      <c r="E121" s="44">
        <f>'Fremtind Livsforsikring'!F121+'Danica Pensjonsforsikring'!F121+'DNB Livsforsikring'!F121+'Eika Forsikring AS'!F121+'Frende Livsforsikring'!F121+'Frende Skadeforsikring'!F121+'Gjensidige Forsikring'!F121+'Gjensidige Pensjon'!F121+'Handelsbanken Liv'!F121+'If Skadeforsikring NUF'!F121+KLP!F121+'DNB Bedriftspensjon'!F121+'KLP Skadeforsikring AS'!F121+'Landkreditt Forsikring'!F121+Insr!F121+'Nordea Liv '!F121+'Oslo Pensjonsforsikring'!F121+'Protector Forsikring'!F121+'SHB Liv'!F121+'Sparebank 1'!F121+'Storebrand Livsforsikring'!F121+'Telenor Forsikring'!F121+'Tryg Forsikring'!F121+'WaterCircle F'!F121+'Codan Forsikring'!F121+'Euro Accident'!F121</f>
        <v>0</v>
      </c>
      <c r="F121" s="44">
        <f>'Fremtind Livsforsikring'!G121+'Danica Pensjonsforsikring'!G121+'DNB Livsforsikring'!G121+'Eika Forsikring AS'!G121+'Frende Livsforsikring'!G121+'Frende Skadeforsikring'!G121+'Gjensidige Forsikring'!G121+'Gjensidige Pensjon'!G121+'Handelsbanken Liv'!G121+'If Skadeforsikring NUF'!G121+KLP!G121+'DNB Bedriftspensjon'!G121+'KLP Skadeforsikring AS'!G121+'Landkreditt Forsikring'!G121+Insr!G121+'Nordea Liv '!G121+'Oslo Pensjonsforsikring'!G121+'Protector Forsikring'!G121+'SHB Liv'!G121+'Sparebank 1'!G121+'Storebrand Livsforsikring'!G121+'Telenor Forsikring'!G121+'Tryg Forsikring'!G121+'WaterCircle F'!G121+'Codan Forsikring'!G121+'Euro Accident'!G121</f>
        <v>0</v>
      </c>
      <c r="G121" s="166"/>
      <c r="H121" s="214">
        <f t="shared" si="19"/>
        <v>436275.88500000001</v>
      </c>
      <c r="I121" s="214">
        <f t="shared" si="20"/>
        <v>78656.675470000002</v>
      </c>
      <c r="J121" s="23">
        <f t="shared" si="21"/>
        <v>-82</v>
      </c>
    </row>
    <row r="122" spans="1:10" ht="15.75" customHeight="1" x14ac:dyDescent="0.2">
      <c r="A122" s="21" t="s">
        <v>10</v>
      </c>
      <c r="B122" s="214">
        <f>'Fremtind Livsforsikring'!B122+'Danica Pensjonsforsikring'!B122+'DNB Livsforsikring'!B122+'Eika Forsikring AS'!B122+'Frende Livsforsikring'!B122+'Frende Skadeforsikring'!B122+'Gjensidige Forsikring'!B122+'Gjensidige Pensjon'!B122+'Handelsbanken Liv'!B122+'If Skadeforsikring NUF'!B122+KLP!B122+'DNB Bedriftspensjon'!B122+'KLP Skadeforsikring AS'!B122+'Landkreditt Forsikring'!B122+Insr!B122+'Nordea Liv '!B122+'Oslo Pensjonsforsikring'!B122+'Protector Forsikring'!B122+'SHB Liv'!B122+'Sparebank 1'!B122+'Storebrand Livsforsikring'!B122+'Telenor Forsikring'!B122+'Tryg Forsikring'!B122+'WaterCircle F'!B122+'Codan Forsikring'!B122+'Euro Accident'!B122</f>
        <v>2934.97343</v>
      </c>
      <c r="C122" s="214">
        <f>'Fremtind Livsforsikring'!C122+'Danica Pensjonsforsikring'!C122+'DNB Livsforsikring'!C122+'Eika Forsikring AS'!C122+'Frende Livsforsikring'!C122+'Frende Skadeforsikring'!C122+'Gjensidige Forsikring'!C122+'Gjensidige Pensjon'!C122+'Handelsbanken Liv'!C122+'If Skadeforsikring NUF'!C122+KLP!C122+'DNB Bedriftspensjon'!C122+'KLP Skadeforsikring AS'!C122+'Landkreditt Forsikring'!C122+Insr!C122+'Nordea Liv '!C122+'Oslo Pensjonsforsikring'!C122+'Protector Forsikring'!C122+'SHB Liv'!C122+'Sparebank 1'!C122+'Storebrand Livsforsikring'!C122+'Telenor Forsikring'!C122+'Tryg Forsikring'!C122+'WaterCircle F'!C122+'Codan Forsikring'!C122+'Euro Accident'!C122</f>
        <v>10577.130450000001</v>
      </c>
      <c r="D122" s="23">
        <f t="shared" si="18"/>
        <v>260.39999999999998</v>
      </c>
      <c r="E122" s="44">
        <f>'Fremtind Livsforsikring'!F122+'Danica Pensjonsforsikring'!F122+'DNB Livsforsikring'!F122+'Eika Forsikring AS'!F122+'Frende Livsforsikring'!F122+'Frende Skadeforsikring'!F122+'Gjensidige Forsikring'!F122+'Gjensidige Pensjon'!F122+'Handelsbanken Liv'!F122+'If Skadeforsikring NUF'!F122+KLP!F122+'DNB Bedriftspensjon'!F122+'KLP Skadeforsikring AS'!F122+'Landkreditt Forsikring'!F122+Insr!F122+'Nordea Liv '!F122+'Oslo Pensjonsforsikring'!F122+'Protector Forsikring'!F122+'SHB Liv'!F122+'Sparebank 1'!F122+'Storebrand Livsforsikring'!F122+'Telenor Forsikring'!F122+'Tryg Forsikring'!F122+'WaterCircle F'!F122+'Codan Forsikring'!F122+'Euro Accident'!F122</f>
        <v>8634899.7007600013</v>
      </c>
      <c r="F122" s="44">
        <f>'Fremtind Livsforsikring'!G122+'Danica Pensjonsforsikring'!G122+'DNB Livsforsikring'!G122+'Eika Forsikring AS'!G122+'Frende Livsforsikring'!G122+'Frende Skadeforsikring'!G122+'Gjensidige Forsikring'!G122+'Gjensidige Pensjon'!G122+'Handelsbanken Liv'!G122+'If Skadeforsikring NUF'!G122+KLP!G122+'DNB Bedriftspensjon'!G122+'KLP Skadeforsikring AS'!G122+'Landkreditt Forsikring'!G122+Insr!G122+'Nordea Liv '!G122+'Oslo Pensjonsforsikring'!G122+'Protector Forsikring'!G122+'SHB Liv'!G122+'Sparebank 1'!G122+'Storebrand Livsforsikring'!G122+'Telenor Forsikring'!G122+'Tryg Forsikring'!G122+'WaterCircle F'!G122+'Codan Forsikring'!G122+'Euro Accident'!G122</f>
        <v>12094950.20933</v>
      </c>
      <c r="G122" s="166">
        <f t="shared" si="13"/>
        <v>40.1</v>
      </c>
      <c r="H122" s="214">
        <f t="shared" si="19"/>
        <v>8637834.6741900016</v>
      </c>
      <c r="I122" s="214">
        <f t="shared" si="20"/>
        <v>12105527.339779999</v>
      </c>
      <c r="J122" s="23">
        <f t="shared" si="21"/>
        <v>40.1</v>
      </c>
    </row>
    <row r="123" spans="1:10" ht="15.75" customHeight="1" x14ac:dyDescent="0.2">
      <c r="A123" s="21" t="s">
        <v>26</v>
      </c>
      <c r="B123" s="214">
        <f>'Fremtind Livsforsikring'!B123+'Danica Pensjonsforsikring'!B123+'DNB Livsforsikring'!B123+'Eika Forsikring AS'!B123+'Frende Livsforsikring'!B123+'Frende Skadeforsikring'!B123+'Gjensidige Forsikring'!B123+'Gjensidige Pensjon'!B123+'Handelsbanken Liv'!B123+'If Skadeforsikring NUF'!B123+KLP!B123+'DNB Bedriftspensjon'!B123+'KLP Skadeforsikring AS'!B123+'Landkreditt Forsikring'!B123+Insr!B123+'Nordea Liv '!B123+'Oslo Pensjonsforsikring'!B123+'Protector Forsikring'!B123+'SHB Liv'!B123+'Sparebank 1'!B123+'Storebrand Livsforsikring'!B123+'Telenor Forsikring'!B123+'Tryg Forsikring'!B123+'WaterCircle F'!B123+'Codan Forsikring'!B123+'Euro Accident'!B123</f>
        <v>51109.928999999996</v>
      </c>
      <c r="C123" s="214">
        <f>'Fremtind Livsforsikring'!C123+'Danica Pensjonsforsikring'!C123+'DNB Livsforsikring'!C123+'Eika Forsikring AS'!C123+'Frende Livsforsikring'!C123+'Frende Skadeforsikring'!C123+'Gjensidige Forsikring'!C123+'Gjensidige Pensjon'!C123+'Handelsbanken Liv'!C123+'If Skadeforsikring NUF'!C123+KLP!C123+'DNB Bedriftspensjon'!C123+'KLP Skadeforsikring AS'!C123+'Landkreditt Forsikring'!C123+Insr!C123+'Nordea Liv '!C123+'Oslo Pensjonsforsikring'!C123+'Protector Forsikring'!C123+'SHB Liv'!C123+'Sparebank 1'!C123+'Storebrand Livsforsikring'!C123+'Telenor Forsikring'!C123+'Tryg Forsikring'!C123+'WaterCircle F'!C123+'Codan Forsikring'!C123+'Euro Accident'!C123</f>
        <v>41657.429759999999</v>
      </c>
      <c r="D123" s="23">
        <f t="shared" si="18"/>
        <v>-18.5</v>
      </c>
      <c r="E123" s="44">
        <f>'Fremtind Livsforsikring'!F123+'Danica Pensjonsforsikring'!F123+'DNB Livsforsikring'!F123+'Eika Forsikring AS'!F123+'Frende Livsforsikring'!F123+'Frende Skadeforsikring'!F123+'Gjensidige Forsikring'!F123+'Gjensidige Pensjon'!F123+'Handelsbanken Liv'!F123+'If Skadeforsikring NUF'!F123+KLP!F123+'DNB Bedriftspensjon'!F123+'KLP Skadeforsikring AS'!F123+'Landkreditt Forsikring'!F123+Insr!F123+'Nordea Liv '!F123+'Oslo Pensjonsforsikring'!F123+'Protector Forsikring'!F123+'SHB Liv'!F123+'Sparebank 1'!F123+'Storebrand Livsforsikring'!F123+'Telenor Forsikring'!F123+'Tryg Forsikring'!F123+'WaterCircle F'!F123+'Codan Forsikring'!F123+'Euro Accident'!F123</f>
        <v>0</v>
      </c>
      <c r="F123" s="44">
        <f>'Fremtind Livsforsikring'!G123+'Danica Pensjonsforsikring'!G123+'DNB Livsforsikring'!G123+'Eika Forsikring AS'!G123+'Frende Livsforsikring'!G123+'Frende Skadeforsikring'!G123+'Gjensidige Forsikring'!G123+'Gjensidige Pensjon'!G123+'Handelsbanken Liv'!G123+'If Skadeforsikring NUF'!G123+KLP!G123+'DNB Bedriftspensjon'!G123+'KLP Skadeforsikring AS'!G123+'Landkreditt Forsikring'!G123+Insr!G123+'Nordea Liv '!G123+'Oslo Pensjonsforsikring'!G123+'Protector Forsikring'!G123+'SHB Liv'!G123+'Sparebank 1'!G123+'Storebrand Livsforsikring'!G123+'Telenor Forsikring'!G123+'Tryg Forsikring'!G123+'WaterCircle F'!G123+'Codan Forsikring'!G123+'Euro Accident'!G123</f>
        <v>0</v>
      </c>
      <c r="G123" s="166"/>
      <c r="H123" s="214">
        <f t="shared" si="19"/>
        <v>51109.928999999996</v>
      </c>
      <c r="I123" s="214">
        <f t="shared" si="20"/>
        <v>41657.429759999999</v>
      </c>
      <c r="J123" s="23">
        <f t="shared" si="21"/>
        <v>-18.5</v>
      </c>
    </row>
    <row r="124" spans="1:10" ht="15.75" customHeight="1" x14ac:dyDescent="0.2">
      <c r="A124" s="272" t="s">
        <v>14</v>
      </c>
      <c r="B124" s="44">
        <f>'Fremtind Livsforsikring'!B124+'Danica Pensjonsforsikring'!B124+'DNB Livsforsikring'!B124+'Eika Forsikring AS'!B124+'Frende Livsforsikring'!B124+'Frende Skadeforsikring'!B124+'Gjensidige Forsikring'!B124+'Gjensidige Pensjon'!B124+'Handelsbanken Liv'!B124+'If Skadeforsikring NUF'!B124+KLP!B124+'DNB Bedriftspensjon'!B124+'KLP Skadeforsikring AS'!B124+'Landkreditt Forsikring'!B124+Insr!B124+'Nordea Liv '!B124+'Oslo Pensjonsforsikring'!B124+'Protector Forsikring'!B124+'SHB Liv'!B124+'Sparebank 1'!B124+'Storebrand Livsforsikring'!B124+'Telenor Forsikring'!B124+'Tryg Forsikring'!B124+'WaterCircle F'!B124+'Codan Forsikring'!B124+'Euro Accident'!B124</f>
        <v>0</v>
      </c>
      <c r="C124" s="44">
        <f>'Fremtind Livsforsikring'!C124+'Danica Pensjonsforsikring'!C124+'DNB Livsforsikring'!C124+'Eika Forsikring AS'!C124+'Frende Livsforsikring'!C124+'Frende Skadeforsikring'!C124+'Gjensidige Forsikring'!C124+'Gjensidige Pensjon'!C124+'Handelsbanken Liv'!C124+'If Skadeforsikring NUF'!C124+KLP!C124+'DNB Bedriftspensjon'!C124+'KLP Skadeforsikring AS'!C124+'Landkreditt Forsikring'!C124+Insr!C124+'Nordea Liv '!C124+'Oslo Pensjonsforsikring'!C124+'Protector Forsikring'!C124+'SHB Liv'!C124+'Sparebank 1'!C124+'Storebrand Livsforsikring'!C124+'Telenor Forsikring'!C124+'Tryg Forsikring'!C124+'WaterCircle F'!C124+'Codan Forsikring'!C124+'Euro Accident'!C124</f>
        <v>0</v>
      </c>
      <c r="D124" s="27"/>
      <c r="E124" s="44">
        <f>'Fremtind Livsforsikring'!F124+'Danica Pensjonsforsikring'!F124+'DNB Livsforsikring'!F124+'Eika Forsikring AS'!F124+'Frende Livsforsikring'!F124+'Frende Skadeforsikring'!F124+'Gjensidige Forsikring'!F124+'Gjensidige Pensjon'!F124+'Handelsbanken Liv'!F124+'If Skadeforsikring NUF'!F124+KLP!F124+'DNB Bedriftspensjon'!F124+'KLP Skadeforsikring AS'!F124+'Landkreditt Forsikring'!F124+Insr!F124+'Nordea Liv '!F124+'Oslo Pensjonsforsikring'!F124+'Protector Forsikring'!F124+'SHB Liv'!F124+'Sparebank 1'!F124+'Storebrand Livsforsikring'!F124+'Telenor Forsikring'!F124+'Tryg Forsikring'!F124+'WaterCircle F'!F124+'Codan Forsikring'!F124+'Euro Accident'!F124</f>
        <v>0</v>
      </c>
      <c r="F124" s="44">
        <f>'Fremtind Livsforsikring'!G124+'Danica Pensjonsforsikring'!G124+'DNB Livsforsikring'!G124+'Eika Forsikring AS'!G124+'Frende Livsforsikring'!G124+'Frende Skadeforsikring'!G124+'Gjensidige Forsikring'!G124+'Gjensidige Pensjon'!G124+'Handelsbanken Liv'!G124+'If Skadeforsikring NUF'!G124+KLP!G124+'DNB Bedriftspensjon'!G124+'KLP Skadeforsikring AS'!G124+'Landkreditt Forsikring'!G124+Insr!G124+'Nordea Liv '!G124+'Oslo Pensjonsforsikring'!G124+'Protector Forsikring'!G124+'SHB Liv'!G124+'Sparebank 1'!G124+'Storebrand Livsforsikring'!G124+'Telenor Forsikring'!G124+'Tryg Forsikring'!G124+'WaterCircle F'!G124+'Codan Forsikring'!G124+'Euro Accident'!G124</f>
        <v>0</v>
      </c>
      <c r="G124" s="166"/>
      <c r="H124" s="214">
        <f t="shared" si="19"/>
        <v>0</v>
      </c>
      <c r="I124" s="214">
        <f t="shared" si="20"/>
        <v>0</v>
      </c>
      <c r="J124" s="23"/>
    </row>
    <row r="125" spans="1:10" ht="15.75" customHeight="1" x14ac:dyDescent="0.2">
      <c r="A125" s="21" t="s">
        <v>360</v>
      </c>
      <c r="B125" s="214">
        <f>'Fremtind Livsforsikring'!B125+'Danica Pensjonsforsikring'!B125+'DNB Livsforsikring'!B125+'Eika Forsikring AS'!B125+'Frende Livsforsikring'!B125+'Frende Skadeforsikring'!B125+'Gjensidige Forsikring'!B125+'Gjensidige Pensjon'!B125+'Handelsbanken Liv'!B125+'If Skadeforsikring NUF'!B125+KLP!B125+'DNB Bedriftspensjon'!B125+'KLP Skadeforsikring AS'!B125+'Landkreditt Forsikring'!B125+Insr!B125+'Nordea Liv '!B125+'Oslo Pensjonsforsikring'!B125+'Protector Forsikring'!B125+'SHB Liv'!B125+'Sparebank 1'!B125+'Storebrand Livsforsikring'!B125+'Telenor Forsikring'!B125+'Tryg Forsikring'!B125+'WaterCircle F'!B125+'Codan Forsikring'!B125+'Euro Accident'!B125</f>
        <v>16084.462</v>
      </c>
      <c r="C125" s="214">
        <f>'Fremtind Livsforsikring'!C125+'Danica Pensjonsforsikring'!C125+'DNB Livsforsikring'!C125+'Eika Forsikring AS'!C125+'Frende Livsforsikring'!C125+'Frende Skadeforsikring'!C125+'Gjensidige Forsikring'!C125+'Gjensidige Pensjon'!C125+'Handelsbanken Liv'!C125+'If Skadeforsikring NUF'!C125+KLP!C125+'DNB Bedriftspensjon'!C125+'KLP Skadeforsikring AS'!C125+'Landkreditt Forsikring'!C125+Insr!C125+'Nordea Liv '!C125+'Oslo Pensjonsforsikring'!C125+'Protector Forsikring'!C125+'SHB Liv'!C125+'Sparebank 1'!C125+'Storebrand Livsforsikring'!C125+'Telenor Forsikring'!C125+'Tryg Forsikring'!C125+'WaterCircle F'!C125+'Codan Forsikring'!C125+'Euro Accident'!C125</f>
        <v>10290.612000000001</v>
      </c>
      <c r="D125" s="23">
        <f t="shared" si="18"/>
        <v>-36</v>
      </c>
      <c r="E125" s="44">
        <f>'Fremtind Livsforsikring'!F125+'Danica Pensjonsforsikring'!F125+'DNB Livsforsikring'!F125+'Eika Forsikring AS'!F125+'Frende Livsforsikring'!F125+'Frende Skadeforsikring'!F125+'Gjensidige Forsikring'!F125+'Gjensidige Pensjon'!F125+'Handelsbanken Liv'!F125+'If Skadeforsikring NUF'!F125+KLP!F125+'DNB Bedriftspensjon'!F125+'KLP Skadeforsikring AS'!F125+'Landkreditt Forsikring'!F125+Insr!F125+'Nordea Liv '!F125+'Oslo Pensjonsforsikring'!F125+'Protector Forsikring'!F125+'SHB Liv'!F125+'Sparebank 1'!F125+'Storebrand Livsforsikring'!F125+'Telenor Forsikring'!F125+'Tryg Forsikring'!F125+'WaterCircle F'!F125+'Codan Forsikring'!F125+'Euro Accident'!F125</f>
        <v>2174.5</v>
      </c>
      <c r="F125" s="44">
        <f>'Fremtind Livsforsikring'!G125+'Danica Pensjonsforsikring'!G125+'DNB Livsforsikring'!G125+'Eika Forsikring AS'!G125+'Frende Livsforsikring'!G125+'Frende Skadeforsikring'!G125+'Gjensidige Forsikring'!G125+'Gjensidige Pensjon'!G125+'Handelsbanken Liv'!G125+'If Skadeforsikring NUF'!G125+KLP!G125+'DNB Bedriftspensjon'!G125+'KLP Skadeforsikring AS'!G125+'Landkreditt Forsikring'!G125+Insr!G125+'Nordea Liv '!G125+'Oslo Pensjonsforsikring'!G125+'Protector Forsikring'!G125+'SHB Liv'!G125+'Sparebank 1'!G125+'Storebrand Livsforsikring'!G125+'Telenor Forsikring'!G125+'Tryg Forsikring'!G125+'WaterCircle F'!G125+'Codan Forsikring'!G125+'Euro Accident'!G125</f>
        <v>8860.5679999999993</v>
      </c>
      <c r="G125" s="166">
        <f t="shared" si="13"/>
        <v>307.5</v>
      </c>
      <c r="H125" s="214">
        <f t="shared" si="19"/>
        <v>18258.962</v>
      </c>
      <c r="I125" s="214">
        <f t="shared" si="20"/>
        <v>19151.18</v>
      </c>
      <c r="J125" s="23">
        <f t="shared" si="21"/>
        <v>4.9000000000000004</v>
      </c>
    </row>
    <row r="126" spans="1:10" ht="15.75" customHeight="1" x14ac:dyDescent="0.2">
      <c r="A126" s="21" t="s">
        <v>361</v>
      </c>
      <c r="B126" s="214">
        <f>'Fremtind Livsforsikring'!B126+'Danica Pensjonsforsikring'!B126+'DNB Livsforsikring'!B126+'Eika Forsikring AS'!B126+'Frende Livsforsikring'!B126+'Frende Skadeforsikring'!B126+'Gjensidige Forsikring'!B126+'Gjensidige Pensjon'!B126+'Handelsbanken Liv'!B126+'If Skadeforsikring NUF'!B126+KLP!B126+'DNB Bedriftspensjon'!B126+'KLP Skadeforsikring AS'!B126+'Landkreditt Forsikring'!B126+Insr!B126+'Nordea Liv '!B126+'Oslo Pensjonsforsikring'!B126+'Protector Forsikring'!B126+'SHB Liv'!B126+'Sparebank 1'!B126+'Storebrand Livsforsikring'!B126+'Telenor Forsikring'!B126+'Tryg Forsikring'!B126+'WaterCircle F'!B126+'Codan Forsikring'!B126+'Euro Accident'!B126</f>
        <v>16.527999999999999</v>
      </c>
      <c r="C126" s="214">
        <f>'Fremtind Livsforsikring'!C126+'Danica Pensjonsforsikring'!C126+'DNB Livsforsikring'!C126+'Eika Forsikring AS'!C126+'Frende Livsforsikring'!C126+'Frende Skadeforsikring'!C126+'Gjensidige Forsikring'!C126+'Gjensidige Pensjon'!C126+'Handelsbanken Liv'!C126+'If Skadeforsikring NUF'!C126+KLP!C126+'DNB Bedriftspensjon'!C126+'KLP Skadeforsikring AS'!C126+'Landkreditt Forsikring'!C126+Insr!C126+'Nordea Liv '!C126+'Oslo Pensjonsforsikring'!C126+'Protector Forsikring'!C126+'SHB Liv'!C126+'Sparebank 1'!C126+'Storebrand Livsforsikring'!C126+'Telenor Forsikring'!C126+'Tryg Forsikring'!C126+'WaterCircle F'!C126+'Codan Forsikring'!C126+'Euro Accident'!C126</f>
        <v>174.10499999999999</v>
      </c>
      <c r="D126" s="23">
        <f t="shared" si="18"/>
        <v>953.4</v>
      </c>
      <c r="E126" s="44">
        <f>'Fremtind Livsforsikring'!F126+'Danica Pensjonsforsikring'!F126+'DNB Livsforsikring'!F126+'Eika Forsikring AS'!F126+'Frende Livsforsikring'!F126+'Frende Skadeforsikring'!F126+'Gjensidige Forsikring'!F126+'Gjensidige Pensjon'!F126+'Handelsbanken Liv'!F126+'If Skadeforsikring NUF'!F126+KLP!F126+'DNB Bedriftspensjon'!F126+'KLP Skadeforsikring AS'!F126+'Landkreditt Forsikring'!F126+Insr!F126+'Nordea Liv '!F126+'Oslo Pensjonsforsikring'!F126+'Protector Forsikring'!F126+'SHB Liv'!F126+'Sparebank 1'!F126+'Storebrand Livsforsikring'!F126+'Telenor Forsikring'!F126+'Tryg Forsikring'!F126+'WaterCircle F'!F126+'Codan Forsikring'!F126+'Euro Accident'!F126</f>
        <v>820346.15611999994</v>
      </c>
      <c r="F126" s="44">
        <f>'Fremtind Livsforsikring'!G126+'Danica Pensjonsforsikring'!G126+'DNB Livsforsikring'!G126+'Eika Forsikring AS'!G126+'Frende Livsforsikring'!G126+'Frende Skadeforsikring'!G126+'Gjensidige Forsikring'!G126+'Gjensidige Pensjon'!G126+'Handelsbanken Liv'!G126+'If Skadeforsikring NUF'!G126+KLP!G126+'DNB Bedriftspensjon'!G126+'KLP Skadeforsikring AS'!G126+'Landkreditt Forsikring'!G126+Insr!G126+'Nordea Liv '!G126+'Oslo Pensjonsforsikring'!G126+'Protector Forsikring'!G126+'SHB Liv'!G126+'Sparebank 1'!G126+'Storebrand Livsforsikring'!G126+'Telenor Forsikring'!G126+'Tryg Forsikring'!G126+'WaterCircle F'!G126+'Codan Forsikring'!G126+'Euro Accident'!G126</f>
        <v>2730385.5548599996</v>
      </c>
      <c r="G126" s="166">
        <f t="shared" si="13"/>
        <v>232.8</v>
      </c>
      <c r="H126" s="214">
        <f t="shared" si="19"/>
        <v>820362.68411999999</v>
      </c>
      <c r="I126" s="214">
        <f t="shared" si="20"/>
        <v>2730559.6598599995</v>
      </c>
      <c r="J126" s="23">
        <f t="shared" si="21"/>
        <v>232.8</v>
      </c>
    </row>
    <row r="127" spans="1:10" ht="15.75" customHeight="1" x14ac:dyDescent="0.2">
      <c r="A127" s="10" t="s">
        <v>362</v>
      </c>
      <c r="B127" s="215">
        <f>'Fremtind Livsforsikring'!B127+'Danica Pensjonsforsikring'!B127+'DNB Livsforsikring'!B127+'Eika Forsikring AS'!B127+'Frende Livsforsikring'!B127+'Frende Skadeforsikring'!B127+'Gjensidige Forsikring'!B127+'Gjensidige Pensjon'!B127+'Handelsbanken Liv'!B127+'If Skadeforsikring NUF'!B127+KLP!B127+'DNB Bedriftspensjon'!B127+'KLP Skadeforsikring AS'!B127+'Landkreditt Forsikring'!B127+Insr!B127+'Nordea Liv '!B127+'Oslo Pensjonsforsikring'!B127+'Protector Forsikring'!B127+'SHB Liv'!B127+'Sparebank 1'!B127+'Storebrand Livsforsikring'!B127+'Telenor Forsikring'!B127+'Tryg Forsikring'!B127+'WaterCircle F'!B127+'Codan Forsikring'!B127+'Euro Accident'!B127</f>
        <v>0</v>
      </c>
      <c r="C127" s="216">
        <f>'Fremtind Livsforsikring'!C127+'Danica Pensjonsforsikring'!C127+'DNB Livsforsikring'!C127+'Eika Forsikring AS'!C127+'Frende Livsforsikring'!C127+'Frende Skadeforsikring'!C127+'Gjensidige Forsikring'!C127+'Gjensidige Pensjon'!C127+'Handelsbanken Liv'!C127+'If Skadeforsikring NUF'!C127+KLP!C127+'DNB Bedriftspensjon'!C127+'KLP Skadeforsikring AS'!C127+'Landkreditt Forsikring'!C127+Insr!C127+'Nordea Liv '!C127+'Oslo Pensjonsforsikring'!C127+'Protector Forsikring'!C127+'SHB Liv'!C127+'Sparebank 1'!C127+'Storebrand Livsforsikring'!C127+'Telenor Forsikring'!C127+'Tryg Forsikring'!C127+'WaterCircle F'!C127+'Codan Forsikring'!C127+'Euro Accident'!C127</f>
        <v>0</v>
      </c>
      <c r="D127" s="22"/>
      <c r="E127" s="45">
        <f>'Fremtind Livsforsikring'!F127+'Danica Pensjonsforsikring'!F127+'DNB Livsforsikring'!F127+'Eika Forsikring AS'!F127+'Frende Livsforsikring'!F127+'Frende Skadeforsikring'!F127+'Gjensidige Forsikring'!F127+'Gjensidige Pensjon'!F127+'Handelsbanken Liv'!F127+'If Skadeforsikring NUF'!F127+KLP!F127+'DNB Bedriftspensjon'!F127+'KLP Skadeforsikring AS'!F127+'Landkreditt Forsikring'!F127+Insr!F127+'Nordea Liv '!F127+'Oslo Pensjonsforsikring'!F127+'Protector Forsikring'!F127+'SHB Liv'!F127+'Sparebank 1'!F127+'Storebrand Livsforsikring'!F127+'Telenor Forsikring'!F127+'Tryg Forsikring'!F127+'WaterCircle F'!F127+'Codan Forsikring'!F127+'Euro Accident'!F127</f>
        <v>0</v>
      </c>
      <c r="F127" s="45">
        <f>'Fremtind Livsforsikring'!G127+'Danica Pensjonsforsikring'!G127+'DNB Livsforsikring'!G127+'Eika Forsikring AS'!G127+'Frende Livsforsikring'!G127+'Frende Skadeforsikring'!G127+'Gjensidige Forsikring'!G127+'Gjensidige Pensjon'!G127+'Handelsbanken Liv'!G127+'If Skadeforsikring NUF'!G127+KLP!G127+'DNB Bedriftspensjon'!G127+'KLP Skadeforsikring AS'!G127+'Landkreditt Forsikring'!G127+Insr!G127+'Nordea Liv '!G127+'Oslo Pensjonsforsikring'!G127+'Protector Forsikring'!G127+'SHB Liv'!G127+'Sparebank 1'!G127+'Storebrand Livsforsikring'!G127+'Telenor Forsikring'!G127+'Tryg Forsikring'!G127+'WaterCircle F'!G127+'Codan Forsikring'!G127+'Euro Accident'!G127</f>
        <v>0</v>
      </c>
      <c r="G127" s="167"/>
      <c r="H127" s="215">
        <f t="shared" si="19"/>
        <v>0</v>
      </c>
      <c r="I127" s="216">
        <f t="shared" si="20"/>
        <v>0</v>
      </c>
      <c r="J127" s="22"/>
    </row>
    <row r="128" spans="1:10" ht="15.75" customHeight="1" x14ac:dyDescent="0.2">
      <c r="A128" s="155"/>
    </row>
    <row r="129" spans="1:10" ht="15.75" customHeight="1" x14ac:dyDescent="0.2">
      <c r="A129" s="149"/>
    </row>
    <row r="130" spans="1:10" ht="15.75" customHeight="1" x14ac:dyDescent="0.25">
      <c r="A130" s="165" t="s">
        <v>27</v>
      </c>
    </row>
    <row r="131" spans="1:10" ht="15.75" customHeight="1" x14ac:dyDescent="0.25">
      <c r="A131" s="149"/>
      <c r="B131" s="689"/>
      <c r="C131" s="689"/>
      <c r="D131" s="689"/>
      <c r="E131" s="689"/>
      <c r="F131" s="689"/>
      <c r="G131" s="689"/>
      <c r="H131" s="689"/>
      <c r="I131" s="689"/>
      <c r="J131" s="689"/>
    </row>
    <row r="132" spans="1:10" s="3" customFormat="1" ht="20.100000000000001" customHeight="1" x14ac:dyDescent="0.2">
      <c r="A132" s="144"/>
      <c r="B132" s="690" t="s">
        <v>0</v>
      </c>
      <c r="C132" s="691"/>
      <c r="D132" s="692"/>
      <c r="E132" s="691" t="s">
        <v>1</v>
      </c>
      <c r="F132" s="691"/>
      <c r="G132" s="691"/>
      <c r="H132" s="690" t="s">
        <v>2</v>
      </c>
      <c r="I132" s="691"/>
      <c r="J132" s="692"/>
    </row>
    <row r="133" spans="1:10" s="3" customFormat="1" ht="15.75" customHeight="1" x14ac:dyDescent="0.2">
      <c r="A133" s="140"/>
      <c r="B133" s="20" t="s">
        <v>412</v>
      </c>
      <c r="C133" s="20" t="s">
        <v>413</v>
      </c>
      <c r="D133" s="19" t="s">
        <v>3</v>
      </c>
      <c r="E133" s="20" t="s">
        <v>412</v>
      </c>
      <c r="F133" s="20" t="s">
        <v>413</v>
      </c>
      <c r="G133" s="19" t="s">
        <v>3</v>
      </c>
      <c r="H133" s="20" t="s">
        <v>412</v>
      </c>
      <c r="I133" s="20" t="s">
        <v>413</v>
      </c>
      <c r="J133" s="19" t="s">
        <v>3</v>
      </c>
    </row>
    <row r="134" spans="1:10" s="3" customFormat="1" ht="15.75" customHeight="1" x14ac:dyDescent="0.2">
      <c r="A134" s="662"/>
      <c r="B134" s="15"/>
      <c r="C134" s="15"/>
      <c r="D134" s="17" t="s">
        <v>4</v>
      </c>
      <c r="E134" s="16"/>
      <c r="F134" s="16"/>
      <c r="G134" s="15" t="s">
        <v>4</v>
      </c>
      <c r="H134" s="16"/>
      <c r="I134" s="16"/>
      <c r="J134" s="15" t="s">
        <v>4</v>
      </c>
    </row>
    <row r="135" spans="1:10" s="394" customFormat="1" ht="15.75" customHeight="1" x14ac:dyDescent="0.2">
      <c r="A135" s="14" t="s">
        <v>365</v>
      </c>
      <c r="B135" s="213">
        <f>'Fremtind Livsforsikring'!B135+'Danica Pensjonsforsikring'!B135+'DNB Livsforsikring'!B135+'Eika Forsikring AS'!B135+'Frende Livsforsikring'!B135+'Frende Skadeforsikring'!B135+'Gjensidige Forsikring'!B135+'Gjensidige Pensjon'!B135+'Handelsbanken Liv'!B135+'If Skadeforsikring NUF'!B135+KLP!B135+'DNB Bedriftspensjon'!B135+'KLP Skadeforsikring AS'!B135+'Landkreditt Forsikring'!B135+Insr!B135+'Nordea Liv '!B135+'Oslo Pensjonsforsikring'!B135+'Protector Forsikring'!B135+'SHB Liv'!B135+'Sparebank 1'!B135+'Storebrand Livsforsikring'!B135+'Telenor Forsikring'!B135+'Tryg Forsikring'!B135+'WaterCircle F'!B135+'Codan Forsikring'!B135+'Euro Accident'!B135</f>
        <v>7768459.9588399995</v>
      </c>
      <c r="C135" s="213">
        <f>'Fremtind Livsforsikring'!C135+'Danica Pensjonsforsikring'!C135+'DNB Livsforsikring'!C135+'Eika Forsikring AS'!C135+'Frende Livsforsikring'!C135+'Frende Skadeforsikring'!C135+'Gjensidige Forsikring'!C135+'Gjensidige Pensjon'!C135+'Handelsbanken Liv'!C135+'If Skadeforsikring NUF'!C135+KLP!C135+'DNB Bedriftspensjon'!C135+'KLP Skadeforsikring AS'!C135+'Landkreditt Forsikring'!C135+Insr!C135+'Nordea Liv '!C135+'Oslo Pensjonsforsikring'!C135+'Protector Forsikring'!C135+'SHB Liv'!C135+'Sparebank 1'!C135+'Storebrand Livsforsikring'!C135+'Telenor Forsikring'!C135+'Tryg Forsikring'!C135+'WaterCircle F'!C135+'Codan Forsikring'!C135+'Euro Accident'!C135</f>
        <v>7939140.04</v>
      </c>
      <c r="D135" s="11">
        <f>IF(B135=0, "    ---- ", IF(ABS(ROUND(100/B135*C135-100,1))&lt;999,ROUND(100/B135*C135-100,1),IF(ROUND(100/B135*C135-100,1)&gt;999,999,-999)))</f>
        <v>2.2000000000000002</v>
      </c>
      <c r="E135" s="213">
        <f>'Fremtind Livsforsikring'!F135+'Danica Pensjonsforsikring'!F135+'DNB Livsforsikring'!F135+'Eika Forsikring AS'!F135+'Frende Livsforsikring'!F135+'Frende Skadeforsikring'!F135+'Gjensidige Forsikring'!F135+'Gjensidige Pensjon'!F135+'Handelsbanken Liv'!F135+'If Skadeforsikring NUF'!F135+KLP!F135+'DNB Bedriftspensjon'!F135+'KLP Skadeforsikring AS'!F135+'Landkreditt Forsikring'!F135+Insr!F135+'Nordea Liv '!F135+'Oslo Pensjonsforsikring'!F135+'Protector Forsikring'!F135+'SHB Liv'!F135+'Sparebank 1'!F135+'Storebrand Livsforsikring'!F135+'Telenor Forsikring'!F135+'Tryg Forsikring'!F135+'WaterCircle F'!F135+'Codan Forsikring'!F135+'Euro Accident'!F135</f>
        <v>13284.058000000001</v>
      </c>
      <c r="F135" s="213">
        <f>'Fremtind Livsforsikring'!G135+'Danica Pensjonsforsikring'!G135+'DNB Livsforsikring'!G135+'Eika Forsikring AS'!G135+'Frende Livsforsikring'!G135+'Frende Skadeforsikring'!G135+'Gjensidige Forsikring'!G135+'Gjensidige Pensjon'!G135+'Handelsbanken Liv'!G135+'If Skadeforsikring NUF'!G135+KLP!G135+'DNB Bedriftspensjon'!G135+'KLP Skadeforsikring AS'!G135+'Landkreditt Forsikring'!G135+Insr!G135+'Nordea Liv '!G135+'Oslo Pensjonsforsikring'!G135+'Protector Forsikring'!G135+'SHB Liv'!G135+'Sparebank 1'!G135+'Storebrand Livsforsikring'!G135+'Telenor Forsikring'!G135+'Tryg Forsikring'!G135+'WaterCircle F'!G135+'Codan Forsikring'!G135+'Euro Accident'!G135</f>
        <v>13768.486000000001</v>
      </c>
      <c r="G135" s="11">
        <f>IF(E135=0, "    ---- ", IF(ABS(ROUND(100/E135*F135-100,1))&lt;999,ROUND(100/E135*F135-100,1),IF(ROUND(100/E135*F135-100,1)&gt;999,999,-999)))</f>
        <v>3.6</v>
      </c>
      <c r="H135" s="213">
        <f t="shared" ref="H135:I138" si="22">SUM(B135,E135)</f>
        <v>7781744.0168399997</v>
      </c>
      <c r="I135" s="213">
        <f t="shared" si="22"/>
        <v>7952908.5259999996</v>
      </c>
      <c r="J135" s="11">
        <f>IF(H135=0, "    ---- ", IF(ABS(ROUND(100/H135*I135-100,1))&lt;999,ROUND(100/H135*I135-100,1),IF(ROUND(100/H135*I135-100,1)&gt;999,999,-999)))</f>
        <v>2.2000000000000002</v>
      </c>
    </row>
    <row r="136" spans="1:10" s="394" customFormat="1" ht="15.75" customHeight="1" x14ac:dyDescent="0.2">
      <c r="A136" s="13" t="s">
        <v>366</v>
      </c>
      <c r="B136" s="213">
        <f>'Fremtind Livsforsikring'!B136+'Danica Pensjonsforsikring'!B136+'DNB Livsforsikring'!B136+'Eika Forsikring AS'!B136+'Frende Livsforsikring'!B136+'Frende Skadeforsikring'!B136+'Gjensidige Forsikring'!B136+'Gjensidige Pensjon'!B136+'Handelsbanken Liv'!B136+'If Skadeforsikring NUF'!B136+KLP!B136+'DNB Bedriftspensjon'!B136+'KLP Skadeforsikring AS'!B136+'Landkreditt Forsikring'!B136+Insr!B136+'Nordea Liv '!B136+'Oslo Pensjonsforsikring'!B136+'Protector Forsikring'!B136+'SHB Liv'!B136+'Sparebank 1'!B136+'Storebrand Livsforsikring'!B136+'Telenor Forsikring'!B136+'Tryg Forsikring'!B136+'WaterCircle F'!B136+'Codan Forsikring'!B136+'Euro Accident'!B136</f>
        <v>589920574.41398847</v>
      </c>
      <c r="C136" s="213">
        <f>'Fremtind Livsforsikring'!C136+'Danica Pensjonsforsikring'!C136+'DNB Livsforsikring'!C136+'Eika Forsikring AS'!C136+'Frende Livsforsikring'!C136+'Frende Skadeforsikring'!C136+'Gjensidige Forsikring'!C136+'Gjensidige Pensjon'!C136+'Handelsbanken Liv'!C136+'If Skadeforsikring NUF'!C136+KLP!C136+'DNB Bedriftspensjon'!C136+'KLP Skadeforsikring AS'!C136+'Landkreditt Forsikring'!C136+Insr!C136+'Nordea Liv '!C136+'Oslo Pensjonsforsikring'!C136+'Protector Forsikring'!C136+'SHB Liv'!C136+'Sparebank 1'!C136+'Storebrand Livsforsikring'!C136+'Telenor Forsikring'!C136+'Tryg Forsikring'!C136+'WaterCircle F'!C136+'Codan Forsikring'!C136+'Euro Accident'!C136</f>
        <v>627915331.98663998</v>
      </c>
      <c r="D136" s="11">
        <f>IF(B136=0, "    ---- ", IF(ABS(ROUND(100/B136*C136-100,1))&lt;999,ROUND(100/B136*C136-100,1),IF(ROUND(100/B136*C136-100,1)&gt;999,999,-999)))</f>
        <v>6.4</v>
      </c>
      <c r="E136" s="213">
        <f>'Fremtind Livsforsikring'!F136+'Danica Pensjonsforsikring'!F136+'DNB Livsforsikring'!F136+'Eika Forsikring AS'!F136+'Frende Livsforsikring'!F136+'Frende Skadeforsikring'!F136+'Gjensidige Forsikring'!F136+'Gjensidige Pensjon'!F136+'Handelsbanken Liv'!F136+'If Skadeforsikring NUF'!F136+KLP!F136+'DNB Bedriftspensjon'!F136+'KLP Skadeforsikring AS'!F136+'Landkreditt Forsikring'!F136+Insr!F136+'Nordea Liv '!F136+'Oslo Pensjonsforsikring'!F136+'Protector Forsikring'!F136+'SHB Liv'!F136+'Sparebank 1'!F136+'Storebrand Livsforsikring'!F136+'Telenor Forsikring'!F136+'Tryg Forsikring'!F136+'WaterCircle F'!F136+'Codan Forsikring'!F136+'Euro Accident'!F136</f>
        <v>2151789.0251500001</v>
      </c>
      <c r="F136" s="213">
        <f>'Fremtind Livsforsikring'!G136+'Danica Pensjonsforsikring'!G136+'DNB Livsforsikring'!G136+'Eika Forsikring AS'!G136+'Frende Livsforsikring'!G136+'Frende Skadeforsikring'!G136+'Gjensidige Forsikring'!G136+'Gjensidige Pensjon'!G136+'Handelsbanken Liv'!G136+'If Skadeforsikring NUF'!G136+KLP!G136+'DNB Bedriftspensjon'!G136+'KLP Skadeforsikring AS'!G136+'Landkreditt Forsikring'!G136+Insr!G136+'Nordea Liv '!G136+'Oslo Pensjonsforsikring'!G136+'Protector Forsikring'!G136+'SHB Liv'!G136+'Sparebank 1'!G136+'Storebrand Livsforsikring'!G136+'Telenor Forsikring'!G136+'Tryg Forsikring'!G136+'WaterCircle F'!G136+'Codan Forsikring'!G136+'Euro Accident'!G136</f>
        <v>2073544.89796</v>
      </c>
      <c r="G136" s="11">
        <f>IF(E136=0, "    ---- ", IF(ABS(ROUND(100/E136*F136-100,1))&lt;999,ROUND(100/E136*F136-100,1),IF(ROUND(100/E136*F136-100,1)&gt;999,999,-999)))</f>
        <v>-3.6</v>
      </c>
      <c r="H136" s="213">
        <f t="shared" si="22"/>
        <v>592072363.43913841</v>
      </c>
      <c r="I136" s="213">
        <f t="shared" si="22"/>
        <v>629988876.88459992</v>
      </c>
      <c r="J136" s="11">
        <f>IF(H136=0, "    ---- ", IF(ABS(ROUND(100/H136*I136-100,1))&lt;999,ROUND(100/H136*I136-100,1),IF(ROUND(100/H136*I136-100,1)&gt;999,999,-999)))</f>
        <v>6.4</v>
      </c>
    </row>
    <row r="137" spans="1:10" s="394" customFormat="1" ht="15.75" customHeight="1" x14ac:dyDescent="0.2">
      <c r="A137" s="13" t="s">
        <v>367</v>
      </c>
      <c r="B137" s="213">
        <f>'Fremtind Livsforsikring'!B137+'Danica Pensjonsforsikring'!B137+'DNB Livsforsikring'!B137+'Eika Forsikring AS'!B137+'Frende Livsforsikring'!B137+'Frende Skadeforsikring'!B137+'Gjensidige Forsikring'!B137+'Gjensidige Pensjon'!B137+'Handelsbanken Liv'!B137+'If Skadeforsikring NUF'!B137+KLP!B137+'DNB Bedriftspensjon'!B137+'KLP Skadeforsikring AS'!B137+'Landkreditt Forsikring'!B137+Insr!B137+'Nordea Liv '!B137+'Oslo Pensjonsforsikring'!B137+'Protector Forsikring'!B137+'SHB Liv'!B137+'Sparebank 1'!B137+'Storebrand Livsforsikring'!B137+'Telenor Forsikring'!B137+'Tryg Forsikring'!B137+'WaterCircle F'!B137+'Codan Forsikring'!B137+'Euro Accident'!B137</f>
        <v>2965700.3289999999</v>
      </c>
      <c r="C137" s="213">
        <f>'Fremtind Livsforsikring'!C137+'Danica Pensjonsforsikring'!C137+'DNB Livsforsikring'!C137+'Eika Forsikring AS'!C137+'Frende Livsforsikring'!C137+'Frende Skadeforsikring'!C137+'Gjensidige Forsikring'!C137+'Gjensidige Pensjon'!C137+'Handelsbanken Liv'!C137+'If Skadeforsikring NUF'!C137+KLP!C137+'DNB Bedriftspensjon'!C137+'KLP Skadeforsikring AS'!C137+'Landkreditt Forsikring'!C137+Insr!C137+'Nordea Liv '!C137+'Oslo Pensjonsforsikring'!C137+'Protector Forsikring'!C137+'SHB Liv'!C137+'Sparebank 1'!C137+'Storebrand Livsforsikring'!C137+'Telenor Forsikring'!C137+'Tryg Forsikring'!C137+'WaterCircle F'!C137+'Codan Forsikring'!C137+'Euro Accident'!C137</f>
        <v>7005645.1660000002</v>
      </c>
      <c r="D137" s="11">
        <f>IF(B137=0, "    ---- ", IF(ABS(ROUND(100/B137*C137-100,1))&lt;999,ROUND(100/B137*C137-100,1),IF(ROUND(100/B137*C137-100,1)&gt;999,999,-999)))</f>
        <v>136.19999999999999</v>
      </c>
      <c r="E137" s="213">
        <f>'Fremtind Livsforsikring'!F137+'Danica Pensjonsforsikring'!F137+'DNB Livsforsikring'!F137+'Eika Forsikring AS'!F137+'Frende Livsforsikring'!F137+'Frende Skadeforsikring'!F137+'Gjensidige Forsikring'!F137+'Gjensidige Pensjon'!F137+'Handelsbanken Liv'!F137+'If Skadeforsikring NUF'!F137+KLP!F137+'DNB Bedriftspensjon'!F137+'KLP Skadeforsikring AS'!F137+'Landkreditt Forsikring'!F137+Insr!F137+'Nordea Liv '!F137+'Oslo Pensjonsforsikring'!F137+'Protector Forsikring'!F137+'SHB Liv'!F137+'Sparebank 1'!F137+'Storebrand Livsforsikring'!F137+'Telenor Forsikring'!F137+'Tryg Forsikring'!F137+'WaterCircle F'!F137+'Codan Forsikring'!F137+'Euro Accident'!F137</f>
        <v>-462765.72600000002</v>
      </c>
      <c r="F137" s="213">
        <f>'Fremtind Livsforsikring'!G137+'Danica Pensjonsforsikring'!G137+'DNB Livsforsikring'!G137+'Eika Forsikring AS'!G137+'Frende Livsforsikring'!G137+'Frende Skadeforsikring'!G137+'Gjensidige Forsikring'!G137+'Gjensidige Pensjon'!G137+'Handelsbanken Liv'!G137+'If Skadeforsikring NUF'!G137+KLP!G137+'DNB Bedriftspensjon'!G137+'KLP Skadeforsikring AS'!G137+'Landkreditt Forsikring'!G137+Insr!G137+'Nordea Liv '!G137+'Oslo Pensjonsforsikring'!G137+'Protector Forsikring'!G137+'SHB Liv'!G137+'Sparebank 1'!G137+'Storebrand Livsforsikring'!G137+'Telenor Forsikring'!G137+'Tryg Forsikring'!G137+'WaterCircle F'!G137+'Codan Forsikring'!G137+'Euro Accident'!G137</f>
        <v>0</v>
      </c>
      <c r="G137" s="11">
        <f>IF(E137=0, "    ---- ", IF(ABS(ROUND(100/E137*F137-100,1))&lt;999,ROUND(100/E137*F137-100,1),IF(ROUND(100/E137*F137-100,1)&gt;999,999,-999)))</f>
        <v>-100</v>
      </c>
      <c r="H137" s="213">
        <f t="shared" si="22"/>
        <v>2502934.6030000001</v>
      </c>
      <c r="I137" s="213">
        <f t="shared" si="22"/>
        <v>7005645.1660000002</v>
      </c>
      <c r="J137" s="11">
        <f>IF(H137=0, "    ---- ", IF(ABS(ROUND(100/H137*I137-100,1))&lt;999,ROUND(100/H137*I137-100,1),IF(ROUND(100/H137*I137-100,1)&gt;999,999,-999)))</f>
        <v>179.9</v>
      </c>
    </row>
    <row r="138" spans="1:10" s="394" customFormat="1" ht="15.75" customHeight="1" x14ac:dyDescent="0.2">
      <c r="A138" s="41" t="s">
        <v>368</v>
      </c>
      <c r="B138" s="253">
        <f>'Fremtind Livsforsikring'!B138+'Danica Pensjonsforsikring'!B138+'DNB Livsforsikring'!B138+'Eika Forsikring AS'!B138+'Frende Livsforsikring'!B138+'Frende Skadeforsikring'!B138+'Gjensidige Forsikring'!B138+'Gjensidige Pensjon'!B138+'Handelsbanken Liv'!B138+'If Skadeforsikring NUF'!B138+KLP!B138+'DNB Bedriftspensjon'!B138+'KLP Skadeforsikring AS'!B138+'Landkreditt Forsikring'!B138+Insr!B138+'Nordea Liv '!B138+'Oslo Pensjonsforsikring'!B138+'Protector Forsikring'!B138+'SHB Liv'!B138+'Sparebank 1'!B138+'Storebrand Livsforsikring'!B138+'Telenor Forsikring'!B138+'Tryg Forsikring'!B138+'WaterCircle F'!B138+'Codan Forsikring'!B138+'Euro Accident'!B138</f>
        <v>6377265.6059999997</v>
      </c>
      <c r="C138" s="253">
        <f>'Fremtind Livsforsikring'!C138+'Danica Pensjonsforsikring'!C138+'DNB Livsforsikring'!C138+'Eika Forsikring AS'!C138+'Frende Livsforsikring'!C138+'Frende Skadeforsikring'!C138+'Gjensidige Forsikring'!C138+'Gjensidige Pensjon'!C138+'Handelsbanken Liv'!C138+'If Skadeforsikring NUF'!C138+KLP!C138+'DNB Bedriftspensjon'!C138+'KLP Skadeforsikring AS'!C138+'Landkreditt Forsikring'!C138+Insr!C138+'Nordea Liv '!C138+'Oslo Pensjonsforsikring'!C138+'Protector Forsikring'!C138+'SHB Liv'!C138+'Sparebank 1'!C138+'Storebrand Livsforsikring'!C138+'Telenor Forsikring'!C138+'Tryg Forsikring'!C138+'WaterCircle F'!C138+'Codan Forsikring'!C138+'Euro Accident'!C138</f>
        <v>8418803.5179999992</v>
      </c>
      <c r="D138" s="9">
        <f>IF(B138=0, "    ---- ", IF(ABS(ROUND(100/B138*C138-100,1))&lt;999,ROUND(100/B138*C138-100,1),IF(ROUND(100/B138*C138-100,1)&gt;999,999,-999)))</f>
        <v>32</v>
      </c>
      <c r="E138" s="253">
        <f>'Fremtind Livsforsikring'!F138+'Danica Pensjonsforsikring'!F138+'DNB Livsforsikring'!F138+'Eika Forsikring AS'!F138+'Frende Livsforsikring'!F138+'Frende Skadeforsikring'!F138+'Gjensidige Forsikring'!F138+'Gjensidige Pensjon'!F138+'Handelsbanken Liv'!F138+'If Skadeforsikring NUF'!F138+KLP!F138+'DNB Bedriftspensjon'!F138+'KLP Skadeforsikring AS'!F138+'Landkreditt Forsikring'!F138+Insr!F138+'Nordea Liv '!F138+'Oslo Pensjonsforsikring'!F138+'Protector Forsikring'!F138+'SHB Liv'!F138+'Sparebank 1'!F138+'Storebrand Livsforsikring'!F138+'Telenor Forsikring'!F138+'Tryg Forsikring'!F138+'WaterCircle F'!F138+'Codan Forsikring'!F138+'Euro Accident'!F138</f>
        <v>0</v>
      </c>
      <c r="F138" s="253">
        <f>'Fremtind Livsforsikring'!G138+'Danica Pensjonsforsikring'!G138+'DNB Livsforsikring'!G138+'Eika Forsikring AS'!G138+'Frende Livsforsikring'!G138+'Frende Skadeforsikring'!G138+'Gjensidige Forsikring'!G138+'Gjensidige Pensjon'!G138+'Handelsbanken Liv'!G138+'If Skadeforsikring NUF'!G138+KLP!G138+'DNB Bedriftspensjon'!G138+'KLP Skadeforsikring AS'!G138+'Landkreditt Forsikring'!G138+Insr!G138+'Nordea Liv '!G138+'Oslo Pensjonsforsikring'!G138+'Protector Forsikring'!G138+'SHB Liv'!G138+'Sparebank 1'!G138+'Storebrand Livsforsikring'!G138+'Telenor Forsikring'!G138+'Tryg Forsikring'!G138+'WaterCircle F'!G138+'Codan Forsikring'!G138+'Euro Accident'!G138</f>
        <v>0</v>
      </c>
      <c r="G138" s="9"/>
      <c r="H138" s="253">
        <f t="shared" si="22"/>
        <v>6377265.6059999997</v>
      </c>
      <c r="I138" s="253">
        <f t="shared" si="22"/>
        <v>8418803.5179999992</v>
      </c>
      <c r="J138" s="9">
        <f>IF(H138=0, "    ---- ", IF(ABS(ROUND(100/H138*I138-100,1))&lt;999,ROUND(100/H138*I138-100,1),IF(ROUND(100/H138*I138-100,1)&gt;999,999,-999)))</f>
        <v>32</v>
      </c>
    </row>
    <row r="139" spans="1:10" s="3" customFormat="1" ht="15.75" customHeight="1" x14ac:dyDescent="0.2">
      <c r="A139" s="8"/>
      <c r="E139" s="7"/>
      <c r="F139" s="7"/>
      <c r="G139" s="6"/>
      <c r="H139" s="7"/>
      <c r="I139" s="7"/>
      <c r="J139" s="6"/>
    </row>
    <row r="140" spans="1:10" ht="15.75" customHeight="1" x14ac:dyDescent="0.2"/>
    <row r="141" spans="1:10" ht="15.75" customHeight="1" x14ac:dyDescent="0.2"/>
    <row r="142" spans="1:10" ht="15.75" customHeight="1" x14ac:dyDescent="0.2"/>
    <row r="143" spans="1:10" ht="15.75" customHeight="1" x14ac:dyDescent="0.2"/>
    <row r="144" spans="1:10"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sheetData>
  <mergeCells count="27">
    <mergeCell ref="B132:D132"/>
    <mergeCell ref="E132:G132"/>
    <mergeCell ref="H132:J132"/>
    <mergeCell ref="B131:D131"/>
    <mergeCell ref="E131:G131"/>
    <mergeCell ref="H131:J131"/>
    <mergeCell ref="B63:D63"/>
    <mergeCell ref="E63:G63"/>
    <mergeCell ref="H63:J63"/>
    <mergeCell ref="B19:D19"/>
    <mergeCell ref="E19:G19"/>
    <mergeCell ref="H19:J19"/>
    <mergeCell ref="B62:D62"/>
    <mergeCell ref="E62:G62"/>
    <mergeCell ref="H62:J62"/>
    <mergeCell ref="B42:D42"/>
    <mergeCell ref="E42:G42"/>
    <mergeCell ref="H42:J42"/>
    <mergeCell ref="B18:D18"/>
    <mergeCell ref="E18:G18"/>
    <mergeCell ref="H18:J18"/>
    <mergeCell ref="B2:D2"/>
    <mergeCell ref="E2:G2"/>
    <mergeCell ref="H2:J2"/>
    <mergeCell ref="B4:D4"/>
    <mergeCell ref="E4:G4"/>
    <mergeCell ref="H4:J4"/>
  </mergeCells>
  <conditionalFormatting sqref="H116:I116">
    <cfRule type="expression" dxfId="677" priority="46">
      <formula>kvartal&lt;4</formula>
    </cfRule>
  </conditionalFormatting>
  <conditionalFormatting sqref="H124:I124">
    <cfRule type="expression" dxfId="676" priority="45">
      <formula>kvartal&lt;4</formula>
    </cfRule>
  </conditionalFormatting>
  <conditionalFormatting sqref="A50:A52">
    <cfRule type="expression" dxfId="675" priority="41">
      <formula>kvartal &lt; 4</formula>
    </cfRule>
  </conditionalFormatting>
  <conditionalFormatting sqref="A69:A74">
    <cfRule type="expression" dxfId="674" priority="39">
      <formula>kvartal &lt; 4</formula>
    </cfRule>
  </conditionalFormatting>
  <conditionalFormatting sqref="A80:A85">
    <cfRule type="expression" dxfId="673" priority="38">
      <formula>kvartal &lt; 4</formula>
    </cfRule>
  </conditionalFormatting>
  <conditionalFormatting sqref="A90:A95">
    <cfRule type="expression" dxfId="672" priority="35">
      <formula>kvartal &lt; 4</formula>
    </cfRule>
  </conditionalFormatting>
  <conditionalFormatting sqref="A102:A107">
    <cfRule type="expression" dxfId="671" priority="34">
      <formula>kvartal &lt; 4</formula>
    </cfRule>
  </conditionalFormatting>
  <conditionalFormatting sqref="A116">
    <cfRule type="expression" dxfId="670" priority="33">
      <formula>kvartal &lt; 4</formula>
    </cfRule>
  </conditionalFormatting>
  <conditionalFormatting sqref="A124">
    <cfRule type="expression" dxfId="669" priority="32">
      <formula>kvartal &lt; 4</formula>
    </cfRule>
  </conditionalFormatting>
  <conditionalFormatting sqref="B116:C116">
    <cfRule type="expression" dxfId="668" priority="11">
      <formula>kvartal&lt;4</formula>
    </cfRule>
  </conditionalFormatting>
  <conditionalFormatting sqref="B124:C124">
    <cfRule type="expression" dxfId="667" priority="10">
      <formula>kvartal&lt;4</formula>
    </cfRule>
  </conditionalFormatting>
  <conditionalFormatting sqref="E116:F116">
    <cfRule type="expression" dxfId="666" priority="3">
      <formula>kvartal&lt;4</formula>
    </cfRule>
  </conditionalFormatting>
  <conditionalFormatting sqref="E124:F124">
    <cfRule type="expression" dxfId="665" priority="2">
      <formula>kvartal&lt;4</formula>
    </cfRule>
  </conditionalFormatting>
  <pageMargins left="0.23622047244094491" right="0.23622047244094491" top="0.62992125984251968" bottom="0.59055118110236227" header="0.51181102362204722" footer="0.51181102362204722"/>
  <pageSetup paperSize="9" scale="55" fitToHeight="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94B19-5AA5-4C19-88FF-6DC20058C969}">
  <dimension ref="A1:N145"/>
  <sheetViews>
    <sheetView showGridLines="0" workbookViewId="0"/>
  </sheetViews>
  <sheetFormatPr baseColWidth="10" defaultColWidth="11.42578125" defaultRowHeight="12.75" x14ac:dyDescent="0.2"/>
  <cols>
    <col min="1" max="1" width="41.57031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134</v>
      </c>
      <c r="B1" s="663"/>
      <c r="C1" s="225" t="s">
        <v>396</v>
      </c>
      <c r="D1" s="26"/>
      <c r="E1" s="26"/>
      <c r="F1" s="26"/>
      <c r="G1" s="26"/>
      <c r="H1" s="26"/>
      <c r="I1" s="26"/>
      <c r="J1" s="26"/>
      <c r="K1" s="26"/>
      <c r="L1" s="26"/>
      <c r="M1" s="26"/>
    </row>
    <row r="2" spans="1:14" ht="15.75" x14ac:dyDescent="0.25">
      <c r="A2" s="165" t="s">
        <v>28</v>
      </c>
      <c r="B2" s="699"/>
      <c r="C2" s="699"/>
      <c r="D2" s="699"/>
      <c r="E2" s="634"/>
      <c r="F2" s="699"/>
      <c r="G2" s="699"/>
      <c r="H2" s="699"/>
      <c r="I2" s="634"/>
      <c r="J2" s="699"/>
      <c r="K2" s="699"/>
      <c r="L2" s="699"/>
      <c r="M2" s="634"/>
    </row>
    <row r="3" spans="1:14" ht="15.75" x14ac:dyDescent="0.25">
      <c r="A3" s="163"/>
      <c r="B3" s="634"/>
      <c r="C3" s="634"/>
      <c r="D3" s="634"/>
      <c r="E3" s="634"/>
      <c r="F3" s="634"/>
      <c r="G3" s="634"/>
      <c r="H3" s="634"/>
      <c r="I3" s="634"/>
      <c r="J3" s="634"/>
      <c r="K3" s="634"/>
      <c r="L3" s="634"/>
      <c r="M3" s="634"/>
    </row>
    <row r="4" spans="1:14" x14ac:dyDescent="0.2">
      <c r="A4" s="144"/>
      <c r="B4" s="695" t="s">
        <v>0</v>
      </c>
      <c r="C4" s="696"/>
      <c r="D4" s="696"/>
      <c r="E4" s="632"/>
      <c r="F4" s="695" t="s">
        <v>1</v>
      </c>
      <c r="G4" s="696"/>
      <c r="H4" s="696"/>
      <c r="I4" s="633"/>
      <c r="J4" s="695" t="s">
        <v>2</v>
      </c>
      <c r="K4" s="696"/>
      <c r="L4" s="696"/>
      <c r="M4" s="633"/>
    </row>
    <row r="5" spans="1:14" x14ac:dyDescent="0.2">
      <c r="A5" s="158"/>
      <c r="B5" s="152" t="s">
        <v>412</v>
      </c>
      <c r="C5" s="152" t="s">
        <v>413</v>
      </c>
      <c r="D5" s="222" t="s">
        <v>3</v>
      </c>
      <c r="E5" s="281" t="s">
        <v>29</v>
      </c>
      <c r="F5" s="152" t="s">
        <v>412</v>
      </c>
      <c r="G5" s="152" t="s">
        <v>413</v>
      </c>
      <c r="H5" s="222" t="s">
        <v>3</v>
      </c>
      <c r="I5" s="162" t="s">
        <v>29</v>
      </c>
      <c r="J5" s="152" t="s">
        <v>412</v>
      </c>
      <c r="K5" s="152" t="s">
        <v>413</v>
      </c>
      <c r="L5" s="222" t="s">
        <v>3</v>
      </c>
      <c r="M5" s="162" t="s">
        <v>29</v>
      </c>
    </row>
    <row r="6" spans="1:14" x14ac:dyDescent="0.2">
      <c r="A6" s="661"/>
      <c r="B6" s="156"/>
      <c r="C6" s="156"/>
      <c r="D6" s="223" t="s">
        <v>4</v>
      </c>
      <c r="E6" s="156" t="s">
        <v>30</v>
      </c>
      <c r="F6" s="161"/>
      <c r="G6" s="161"/>
      <c r="H6" s="222" t="s">
        <v>4</v>
      </c>
      <c r="I6" s="156" t="s">
        <v>30</v>
      </c>
      <c r="J6" s="161"/>
      <c r="K6" s="161"/>
      <c r="L6" s="222" t="s">
        <v>4</v>
      </c>
      <c r="M6" s="156" t="s">
        <v>30</v>
      </c>
    </row>
    <row r="7" spans="1:14" ht="15.75" x14ac:dyDescent="0.2">
      <c r="A7" s="14" t="s">
        <v>23</v>
      </c>
      <c r="B7" s="282"/>
      <c r="C7" s="283"/>
      <c r="D7" s="326"/>
      <c r="E7" s="11"/>
      <c r="F7" s="282"/>
      <c r="G7" s="283"/>
      <c r="H7" s="326"/>
      <c r="I7" s="160"/>
      <c r="J7" s="284"/>
      <c r="K7" s="285"/>
      <c r="L7" s="401"/>
      <c r="M7" s="11"/>
    </row>
    <row r="8" spans="1:14" ht="15.75" x14ac:dyDescent="0.2">
      <c r="A8" s="21" t="s">
        <v>25</v>
      </c>
      <c r="B8" s="258"/>
      <c r="C8" s="259"/>
      <c r="D8" s="166"/>
      <c r="E8" s="27"/>
      <c r="F8" s="262"/>
      <c r="G8" s="263"/>
      <c r="H8" s="166"/>
      <c r="I8" s="175"/>
      <c r="J8" s="211"/>
      <c r="K8" s="264"/>
      <c r="L8" s="166"/>
      <c r="M8" s="27"/>
    </row>
    <row r="9" spans="1:14" ht="15.75" x14ac:dyDescent="0.2">
      <c r="A9" s="21" t="s">
        <v>24</v>
      </c>
      <c r="B9" s="258"/>
      <c r="C9" s="259"/>
      <c r="D9" s="166"/>
      <c r="E9" s="27"/>
      <c r="F9" s="262"/>
      <c r="G9" s="263"/>
      <c r="H9" s="166"/>
      <c r="I9" s="175"/>
      <c r="J9" s="211"/>
      <c r="K9" s="264"/>
      <c r="L9" s="166"/>
      <c r="M9" s="27"/>
    </row>
    <row r="10" spans="1:14" ht="15.75" x14ac:dyDescent="0.2">
      <c r="A10" s="13" t="s">
        <v>341</v>
      </c>
      <c r="B10" s="286"/>
      <c r="C10" s="287"/>
      <c r="D10" s="171"/>
      <c r="E10" s="11"/>
      <c r="F10" s="286"/>
      <c r="G10" s="287"/>
      <c r="H10" s="171"/>
      <c r="I10" s="160"/>
      <c r="J10" s="284"/>
      <c r="K10" s="285"/>
      <c r="L10" s="402"/>
      <c r="M10" s="11"/>
    </row>
    <row r="11" spans="1:14" s="43" customFormat="1" ht="15.75" x14ac:dyDescent="0.2">
      <c r="A11" s="13" t="s">
        <v>342</v>
      </c>
      <c r="B11" s="286"/>
      <c r="C11" s="287"/>
      <c r="D11" s="171"/>
      <c r="E11" s="11"/>
      <c r="F11" s="286"/>
      <c r="G11" s="287"/>
      <c r="H11" s="171"/>
      <c r="I11" s="160"/>
      <c r="J11" s="284"/>
      <c r="K11" s="285"/>
      <c r="L11" s="402"/>
      <c r="M11" s="11"/>
      <c r="N11" s="143"/>
    </row>
    <row r="12" spans="1:14" s="43" customFormat="1" ht="15.75" x14ac:dyDescent="0.2">
      <c r="A12" s="41" t="s">
        <v>343</v>
      </c>
      <c r="B12" s="288"/>
      <c r="C12" s="289"/>
      <c r="D12" s="169"/>
      <c r="E12" s="36"/>
      <c r="F12" s="288"/>
      <c r="G12" s="289"/>
      <c r="H12" s="169"/>
      <c r="I12" s="169"/>
      <c r="J12" s="290"/>
      <c r="K12" s="291"/>
      <c r="L12" s="403"/>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251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248</v>
      </c>
      <c r="B17" s="157"/>
      <c r="C17" s="157"/>
      <c r="D17" s="151"/>
      <c r="E17" s="151"/>
      <c r="F17" s="157"/>
      <c r="G17" s="157"/>
      <c r="H17" s="157"/>
      <c r="I17" s="157"/>
      <c r="J17" s="157"/>
      <c r="K17" s="157"/>
      <c r="L17" s="157"/>
      <c r="M17" s="157"/>
    </row>
    <row r="18" spans="1:14" ht="15.75" x14ac:dyDescent="0.25">
      <c r="B18" s="694"/>
      <c r="C18" s="694"/>
      <c r="D18" s="694"/>
      <c r="E18" s="634"/>
      <c r="F18" s="694"/>
      <c r="G18" s="694"/>
      <c r="H18" s="694"/>
      <c r="I18" s="634"/>
      <c r="J18" s="694"/>
      <c r="K18" s="694"/>
      <c r="L18" s="694"/>
      <c r="M18" s="634"/>
    </row>
    <row r="19" spans="1:14" x14ac:dyDescent="0.2">
      <c r="A19" s="144"/>
      <c r="B19" s="695" t="s">
        <v>0</v>
      </c>
      <c r="C19" s="696"/>
      <c r="D19" s="696"/>
      <c r="E19" s="632"/>
      <c r="F19" s="695" t="s">
        <v>1</v>
      </c>
      <c r="G19" s="696"/>
      <c r="H19" s="696"/>
      <c r="I19" s="633"/>
      <c r="J19" s="695" t="s">
        <v>2</v>
      </c>
      <c r="K19" s="696"/>
      <c r="L19" s="696"/>
      <c r="M19" s="633"/>
    </row>
    <row r="20" spans="1:14" x14ac:dyDescent="0.2">
      <c r="A20" s="140" t="s">
        <v>5</v>
      </c>
      <c r="B20" s="152" t="s">
        <v>412</v>
      </c>
      <c r="C20" s="152" t="s">
        <v>413</v>
      </c>
      <c r="D20" s="162" t="s">
        <v>3</v>
      </c>
      <c r="E20" s="281" t="s">
        <v>29</v>
      </c>
      <c r="F20" s="152" t="s">
        <v>412</v>
      </c>
      <c r="G20" s="152" t="s">
        <v>413</v>
      </c>
      <c r="H20" s="162" t="s">
        <v>3</v>
      </c>
      <c r="I20" s="162" t="s">
        <v>29</v>
      </c>
      <c r="J20" s="152" t="s">
        <v>412</v>
      </c>
      <c r="K20" s="152" t="s">
        <v>413</v>
      </c>
      <c r="L20" s="162" t="s">
        <v>3</v>
      </c>
      <c r="M20" s="162" t="s">
        <v>29</v>
      </c>
    </row>
    <row r="21" spans="1:14" x14ac:dyDescent="0.2">
      <c r="A21" s="662"/>
      <c r="B21" s="156"/>
      <c r="C21" s="156"/>
      <c r="D21" s="223" t="s">
        <v>4</v>
      </c>
      <c r="E21" s="390" t="s">
        <v>30</v>
      </c>
      <c r="F21" s="161"/>
      <c r="G21" s="161"/>
      <c r="H21" s="222" t="s">
        <v>4</v>
      </c>
      <c r="I21" s="156" t="s">
        <v>30</v>
      </c>
      <c r="J21" s="161"/>
      <c r="K21" s="161"/>
      <c r="L21" s="156" t="s">
        <v>4</v>
      </c>
      <c r="M21" s="156" t="s">
        <v>30</v>
      </c>
    </row>
    <row r="22" spans="1:14" ht="15.75" x14ac:dyDescent="0.2">
      <c r="A22" s="14" t="s">
        <v>23</v>
      </c>
      <c r="B22" s="286"/>
      <c r="C22" s="286"/>
      <c r="D22" s="326"/>
      <c r="E22" s="11"/>
      <c r="F22" s="294"/>
      <c r="G22" s="294"/>
      <c r="H22" s="326"/>
      <c r="I22" s="160"/>
      <c r="J22" s="292"/>
      <c r="K22" s="292"/>
      <c r="L22" s="401"/>
      <c r="M22" s="24"/>
    </row>
    <row r="23" spans="1:14" ht="15.75" x14ac:dyDescent="0.2">
      <c r="A23" s="545" t="s">
        <v>344</v>
      </c>
      <c r="B23" s="258"/>
      <c r="C23" s="258"/>
      <c r="D23" s="166"/>
      <c r="E23" s="11"/>
      <c r="F23" s="267"/>
      <c r="G23" s="267"/>
      <c r="H23" s="166"/>
      <c r="I23" s="217"/>
      <c r="J23" s="267"/>
      <c r="K23" s="267"/>
      <c r="L23" s="166"/>
      <c r="M23" s="23"/>
    </row>
    <row r="24" spans="1:14" ht="15.75" x14ac:dyDescent="0.2">
      <c r="A24" s="545" t="s">
        <v>345</v>
      </c>
      <c r="B24" s="258"/>
      <c r="C24" s="258"/>
      <c r="D24" s="166"/>
      <c r="E24" s="11"/>
      <c r="F24" s="267"/>
      <c r="G24" s="267"/>
      <c r="H24" s="166"/>
      <c r="I24" s="217"/>
      <c r="J24" s="267"/>
      <c r="K24" s="267"/>
      <c r="L24" s="166"/>
      <c r="M24" s="23"/>
    </row>
    <row r="25" spans="1:14" ht="15.75" x14ac:dyDescent="0.2">
      <c r="A25" s="545" t="s">
        <v>346</v>
      </c>
      <c r="B25" s="258"/>
      <c r="C25" s="258"/>
      <c r="D25" s="166"/>
      <c r="E25" s="11"/>
      <c r="F25" s="267"/>
      <c r="G25" s="267"/>
      <c r="H25" s="166"/>
      <c r="I25" s="217"/>
      <c r="J25" s="267"/>
      <c r="K25" s="267"/>
      <c r="L25" s="166"/>
      <c r="M25" s="23"/>
    </row>
    <row r="26" spans="1:14" ht="15.75" x14ac:dyDescent="0.2">
      <c r="A26" s="545" t="s">
        <v>347</v>
      </c>
      <c r="B26" s="258"/>
      <c r="C26" s="258"/>
      <c r="D26" s="166"/>
      <c r="E26" s="11"/>
      <c r="F26" s="267"/>
      <c r="G26" s="267"/>
      <c r="H26" s="166"/>
      <c r="I26" s="217"/>
      <c r="J26" s="267"/>
      <c r="K26" s="267"/>
      <c r="L26" s="166"/>
      <c r="M26" s="23"/>
    </row>
    <row r="27" spans="1:14" x14ac:dyDescent="0.2">
      <c r="A27" s="545" t="s">
        <v>11</v>
      </c>
      <c r="B27" s="258"/>
      <c r="C27" s="258"/>
      <c r="D27" s="166"/>
      <c r="E27" s="11"/>
      <c r="F27" s="267"/>
      <c r="G27" s="267"/>
      <c r="H27" s="166"/>
      <c r="I27" s="217"/>
      <c r="J27" s="267"/>
      <c r="K27" s="267"/>
      <c r="L27" s="166"/>
      <c r="M27" s="23"/>
    </row>
    <row r="28" spans="1:14" ht="15.75" x14ac:dyDescent="0.2">
      <c r="A28" s="49" t="s">
        <v>252</v>
      </c>
      <c r="B28" s="44"/>
      <c r="C28" s="264"/>
      <c r="D28" s="166"/>
      <c r="E28" s="11"/>
      <c r="F28" s="211"/>
      <c r="G28" s="264"/>
      <c r="H28" s="166"/>
      <c r="I28" s="175"/>
      <c r="J28" s="44"/>
      <c r="K28" s="44"/>
      <c r="L28" s="231"/>
      <c r="M28" s="23"/>
    </row>
    <row r="29" spans="1:14" s="3" customFormat="1" ht="15.75" x14ac:dyDescent="0.2">
      <c r="A29" s="13" t="s">
        <v>341</v>
      </c>
      <c r="B29" s="213"/>
      <c r="C29" s="213"/>
      <c r="D29" s="171"/>
      <c r="E29" s="11"/>
      <c r="F29" s="284"/>
      <c r="G29" s="284"/>
      <c r="H29" s="171"/>
      <c r="I29" s="160"/>
      <c r="J29" s="213"/>
      <c r="K29" s="213"/>
      <c r="L29" s="402"/>
      <c r="M29" s="24"/>
      <c r="N29" s="148"/>
    </row>
    <row r="30" spans="1:14" s="3" customFormat="1" ht="15.75" x14ac:dyDescent="0.2">
      <c r="A30" s="545" t="s">
        <v>344</v>
      </c>
      <c r="B30" s="258"/>
      <c r="C30" s="258"/>
      <c r="D30" s="166"/>
      <c r="E30" s="11"/>
      <c r="F30" s="267"/>
      <c r="G30" s="267"/>
      <c r="H30" s="166"/>
      <c r="I30" s="217"/>
      <c r="J30" s="267"/>
      <c r="K30" s="267"/>
      <c r="L30" s="166"/>
      <c r="M30" s="23"/>
      <c r="N30" s="148"/>
    </row>
    <row r="31" spans="1:14" s="3" customFormat="1" ht="15.75" x14ac:dyDescent="0.2">
      <c r="A31" s="545" t="s">
        <v>345</v>
      </c>
      <c r="B31" s="258"/>
      <c r="C31" s="258"/>
      <c r="D31" s="166"/>
      <c r="E31" s="11"/>
      <c r="F31" s="267"/>
      <c r="G31" s="267"/>
      <c r="H31" s="166"/>
      <c r="I31" s="217"/>
      <c r="J31" s="267"/>
      <c r="K31" s="267"/>
      <c r="L31" s="166"/>
      <c r="M31" s="23"/>
      <c r="N31" s="148"/>
    </row>
    <row r="32" spans="1:14" ht="15.75" x14ac:dyDescent="0.2">
      <c r="A32" s="545" t="s">
        <v>346</v>
      </c>
      <c r="B32" s="258"/>
      <c r="C32" s="258"/>
      <c r="D32" s="166"/>
      <c r="E32" s="11"/>
      <c r="F32" s="267"/>
      <c r="G32" s="267"/>
      <c r="H32" s="166"/>
      <c r="I32" s="217"/>
      <c r="J32" s="267"/>
      <c r="K32" s="267"/>
      <c r="L32" s="166"/>
      <c r="M32" s="23"/>
    </row>
    <row r="33" spans="1:14" ht="15.75" x14ac:dyDescent="0.2">
      <c r="A33" s="545" t="s">
        <v>347</v>
      </c>
      <c r="B33" s="258"/>
      <c r="C33" s="258"/>
      <c r="D33" s="166"/>
      <c r="E33" s="11"/>
      <c r="F33" s="267"/>
      <c r="G33" s="267"/>
      <c r="H33" s="166"/>
      <c r="I33" s="217"/>
      <c r="J33" s="267"/>
      <c r="K33" s="267"/>
      <c r="L33" s="166"/>
      <c r="M33" s="23"/>
    </row>
    <row r="34" spans="1:14" ht="15.75" x14ac:dyDescent="0.2">
      <c r="A34" s="13" t="s">
        <v>342</v>
      </c>
      <c r="B34" s="213"/>
      <c r="C34" s="285"/>
      <c r="D34" s="171"/>
      <c r="E34" s="11"/>
      <c r="F34" s="284"/>
      <c r="G34" s="285"/>
      <c r="H34" s="171"/>
      <c r="I34" s="160"/>
      <c r="J34" s="213"/>
      <c r="K34" s="213"/>
      <c r="L34" s="402"/>
      <c r="M34" s="24"/>
    </row>
    <row r="35" spans="1:14" ht="15.75" x14ac:dyDescent="0.2">
      <c r="A35" s="13" t="s">
        <v>343</v>
      </c>
      <c r="B35" s="213"/>
      <c r="C35" s="285"/>
      <c r="D35" s="171"/>
      <c r="E35" s="11"/>
      <c r="F35" s="284"/>
      <c r="G35" s="285"/>
      <c r="H35" s="171"/>
      <c r="I35" s="160"/>
      <c r="J35" s="213"/>
      <c r="K35" s="213"/>
      <c r="L35" s="402"/>
      <c r="M35" s="24"/>
    </row>
    <row r="36" spans="1:14" ht="15.75" x14ac:dyDescent="0.2">
      <c r="A36" s="12" t="s">
        <v>260</v>
      </c>
      <c r="B36" s="213"/>
      <c r="C36" s="285"/>
      <c r="D36" s="171"/>
      <c r="E36" s="11"/>
      <c r="F36" s="295"/>
      <c r="G36" s="296"/>
      <c r="H36" s="171"/>
      <c r="I36" s="404"/>
      <c r="J36" s="213"/>
      <c r="K36" s="213"/>
      <c r="L36" s="402"/>
      <c r="M36" s="24"/>
    </row>
    <row r="37" spans="1:14" ht="15.75" x14ac:dyDescent="0.2">
      <c r="A37" s="12" t="s">
        <v>349</v>
      </c>
      <c r="B37" s="213"/>
      <c r="C37" s="285"/>
      <c r="D37" s="171"/>
      <c r="E37" s="11"/>
      <c r="F37" s="295"/>
      <c r="G37" s="297"/>
      <c r="H37" s="171"/>
      <c r="I37" s="404"/>
      <c r="J37" s="213"/>
      <c r="K37" s="213"/>
      <c r="L37" s="402"/>
      <c r="M37" s="24"/>
    </row>
    <row r="38" spans="1:14" ht="15.75" x14ac:dyDescent="0.2">
      <c r="A38" s="12" t="s">
        <v>350</v>
      </c>
      <c r="B38" s="213"/>
      <c r="C38" s="285"/>
      <c r="D38" s="171"/>
      <c r="E38" s="24"/>
      <c r="F38" s="295"/>
      <c r="G38" s="296"/>
      <c r="H38" s="171"/>
      <c r="I38" s="404"/>
      <c r="J38" s="213"/>
      <c r="K38" s="213"/>
      <c r="L38" s="402"/>
      <c r="M38" s="24"/>
    </row>
    <row r="39" spans="1:14" ht="15.75" x14ac:dyDescent="0.2">
      <c r="A39" s="18" t="s">
        <v>351</v>
      </c>
      <c r="B39" s="253"/>
      <c r="C39" s="291"/>
      <c r="D39" s="169"/>
      <c r="E39" s="36"/>
      <c r="F39" s="298"/>
      <c r="G39" s="299"/>
      <c r="H39" s="169"/>
      <c r="I39" s="169"/>
      <c r="J39" s="213"/>
      <c r="K39" s="213"/>
      <c r="L39" s="403"/>
      <c r="M39" s="36"/>
    </row>
    <row r="40" spans="1:14" ht="15.75" x14ac:dyDescent="0.25">
      <c r="A40" s="47"/>
      <c r="B40" s="230"/>
      <c r="C40" s="230"/>
      <c r="D40" s="698"/>
      <c r="E40" s="698"/>
      <c r="F40" s="698"/>
      <c r="G40" s="698"/>
      <c r="H40" s="698"/>
      <c r="I40" s="698"/>
      <c r="J40" s="698"/>
      <c r="K40" s="698"/>
      <c r="L40" s="698"/>
      <c r="M40" s="635"/>
    </row>
    <row r="41" spans="1:14" x14ac:dyDescent="0.2">
      <c r="A41" s="155"/>
    </row>
    <row r="42" spans="1:14" ht="15.75" x14ac:dyDescent="0.25">
      <c r="A42" s="147" t="s">
        <v>249</v>
      </c>
      <c r="B42" s="699"/>
      <c r="C42" s="699"/>
      <c r="D42" s="699"/>
      <c r="E42" s="634"/>
      <c r="F42" s="700"/>
      <c r="G42" s="700"/>
      <c r="H42" s="700"/>
      <c r="I42" s="635"/>
      <c r="J42" s="700"/>
      <c r="K42" s="700"/>
      <c r="L42" s="700"/>
      <c r="M42" s="635"/>
    </row>
    <row r="43" spans="1:14" ht="15.75" x14ac:dyDescent="0.25">
      <c r="A43" s="163"/>
      <c r="B43" s="630"/>
      <c r="C43" s="630"/>
      <c r="D43" s="630"/>
      <c r="E43" s="630"/>
      <c r="F43" s="635"/>
      <c r="G43" s="635"/>
      <c r="H43" s="635"/>
      <c r="I43" s="635"/>
      <c r="J43" s="635"/>
      <c r="K43" s="635"/>
      <c r="L43" s="635"/>
      <c r="M43" s="635"/>
    </row>
    <row r="44" spans="1:14" ht="15.75" x14ac:dyDescent="0.25">
      <c r="A44" s="224"/>
      <c r="B44" s="695" t="s">
        <v>0</v>
      </c>
      <c r="C44" s="696"/>
      <c r="D44" s="696"/>
      <c r="E44" s="220"/>
      <c r="F44" s="635"/>
      <c r="G44" s="635"/>
      <c r="H44" s="635"/>
      <c r="I44" s="635"/>
      <c r="J44" s="635"/>
      <c r="K44" s="635"/>
      <c r="L44" s="635"/>
      <c r="M44" s="635"/>
    </row>
    <row r="45" spans="1:14" s="3" customFormat="1" x14ac:dyDescent="0.2">
      <c r="A45" s="140"/>
      <c r="B45" s="152" t="s">
        <v>412</v>
      </c>
      <c r="C45" s="152" t="s">
        <v>413</v>
      </c>
      <c r="D45" s="162" t="s">
        <v>3</v>
      </c>
      <c r="E45" s="162" t="s">
        <v>29</v>
      </c>
      <c r="F45" s="174"/>
      <c r="G45" s="174"/>
      <c r="H45" s="173"/>
      <c r="I45" s="173"/>
      <c r="J45" s="174"/>
      <c r="K45" s="174"/>
      <c r="L45" s="173"/>
      <c r="M45" s="173"/>
      <c r="N45" s="148"/>
    </row>
    <row r="46" spans="1:14" s="3" customFormat="1" x14ac:dyDescent="0.2">
      <c r="A46" s="662"/>
      <c r="B46" s="221"/>
      <c r="C46" s="221"/>
      <c r="D46" s="222" t="s">
        <v>4</v>
      </c>
      <c r="E46" s="156" t="s">
        <v>30</v>
      </c>
      <c r="F46" s="173"/>
      <c r="G46" s="173"/>
      <c r="H46" s="173"/>
      <c r="I46" s="173"/>
      <c r="J46" s="173"/>
      <c r="K46" s="173"/>
      <c r="L46" s="173"/>
      <c r="M46" s="173"/>
      <c r="N46" s="148"/>
    </row>
    <row r="47" spans="1:14" s="3" customFormat="1" ht="15.75" x14ac:dyDescent="0.2">
      <c r="A47" s="14" t="s">
        <v>23</v>
      </c>
      <c r="B47" s="286"/>
      <c r="C47" s="287">
        <f>SUM(C48:C49)</f>
        <v>47791</v>
      </c>
      <c r="D47" s="401" t="str">
        <f t="shared" ref="D47:D48" si="0">IF(B47=0, "    ---- ", IF(ABS(ROUND(100/B47*C47-100,1))&lt;999,ROUND(100/B47*C47-100,1),IF(ROUND(100/B47*C47-100,1)&gt;999,999,-999)))</f>
        <v xml:space="preserve">    ---- </v>
      </c>
      <c r="E47" s="11">
        <f>IFERROR(100/'Skjema total MA'!C47*C47,0)</f>
        <v>1.5106668529917462</v>
      </c>
      <c r="F47" s="145"/>
      <c r="G47" s="33"/>
      <c r="H47" s="159"/>
      <c r="I47" s="159"/>
      <c r="J47" s="37"/>
      <c r="K47" s="37"/>
      <c r="L47" s="159"/>
      <c r="M47" s="159"/>
      <c r="N47" s="148"/>
    </row>
    <row r="48" spans="1:14" s="3" customFormat="1" ht="15.75" x14ac:dyDescent="0.2">
      <c r="A48" s="38" t="s">
        <v>352</v>
      </c>
      <c r="B48" s="258"/>
      <c r="C48" s="259">
        <v>47791</v>
      </c>
      <c r="D48" s="231" t="str">
        <f t="shared" si="0"/>
        <v xml:space="preserve">    ---- </v>
      </c>
      <c r="E48" s="27">
        <f>IFERROR(100/'Skjema total MA'!C48*C48,0)</f>
        <v>2.7862071561902821</v>
      </c>
      <c r="F48" s="145"/>
      <c r="G48" s="33"/>
      <c r="H48" s="145"/>
      <c r="I48" s="145"/>
      <c r="J48" s="33"/>
      <c r="K48" s="33"/>
      <c r="L48" s="159"/>
      <c r="M48" s="159"/>
      <c r="N48" s="148"/>
    </row>
    <row r="49" spans="1:14" s="3" customFormat="1" ht="15.75" x14ac:dyDescent="0.2">
      <c r="A49" s="38" t="s">
        <v>353</v>
      </c>
      <c r="B49" s="44"/>
      <c r="C49" s="264"/>
      <c r="D49" s="231"/>
      <c r="E49" s="27"/>
      <c r="F49" s="145"/>
      <c r="G49" s="33"/>
      <c r="H49" s="145"/>
      <c r="I49" s="145"/>
      <c r="J49" s="37"/>
      <c r="K49" s="37"/>
      <c r="L49" s="159"/>
      <c r="M49" s="159"/>
      <c r="N49" s="148"/>
    </row>
    <row r="50" spans="1:14" s="3" customFormat="1" x14ac:dyDescent="0.2">
      <c r="A50" s="272" t="s">
        <v>6</v>
      </c>
      <c r="B50" s="295"/>
      <c r="C50" s="295"/>
      <c r="D50" s="231"/>
      <c r="E50" s="23"/>
      <c r="F50" s="145"/>
      <c r="G50" s="33"/>
      <c r="H50" s="145"/>
      <c r="I50" s="145"/>
      <c r="J50" s="33"/>
      <c r="K50" s="33"/>
      <c r="L50" s="159"/>
      <c r="M50" s="159"/>
      <c r="N50" s="148"/>
    </row>
    <row r="51" spans="1:14" s="3" customFormat="1" x14ac:dyDescent="0.2">
      <c r="A51" s="272" t="s">
        <v>7</v>
      </c>
      <c r="B51" s="295"/>
      <c r="C51" s="295"/>
      <c r="D51" s="231"/>
      <c r="E51" s="23"/>
      <c r="F51" s="145"/>
      <c r="G51" s="33"/>
      <c r="H51" s="145"/>
      <c r="I51" s="145"/>
      <c r="J51" s="33"/>
      <c r="K51" s="33"/>
      <c r="L51" s="159"/>
      <c r="M51" s="159"/>
      <c r="N51" s="148"/>
    </row>
    <row r="52" spans="1:14" s="3" customFormat="1" x14ac:dyDescent="0.2">
      <c r="A52" s="272" t="s">
        <v>8</v>
      </c>
      <c r="B52" s="295"/>
      <c r="C52" s="295"/>
      <c r="D52" s="231"/>
      <c r="E52" s="23"/>
      <c r="F52" s="145"/>
      <c r="G52" s="33"/>
      <c r="H52" s="145"/>
      <c r="I52" s="145"/>
      <c r="J52" s="33"/>
      <c r="K52" s="33"/>
      <c r="L52" s="159"/>
      <c r="M52" s="159"/>
      <c r="N52" s="148"/>
    </row>
    <row r="53" spans="1:14" s="3" customFormat="1" ht="15.75" x14ac:dyDescent="0.2">
      <c r="A53" s="39" t="s">
        <v>354</v>
      </c>
      <c r="B53" s="286"/>
      <c r="C53" s="287">
        <v>1358</v>
      </c>
      <c r="D53" s="231" t="str">
        <f t="shared" ref="D53:D54" si="1">IF(B53=0, "    ---- ", IF(ABS(ROUND(100/B53*C53-100,1))&lt;999,ROUND(100/B53*C53-100,1),IF(ROUND(100/B53*C53-100,1)&gt;999,999,-999)))</f>
        <v xml:space="preserve">    ---- </v>
      </c>
      <c r="E53" s="27">
        <f>IFERROR(100/'Skjema total MA'!C53*C53,0)</f>
        <v>0.61826002142881376</v>
      </c>
      <c r="F53" s="145"/>
      <c r="G53" s="33"/>
      <c r="H53" s="145"/>
      <c r="I53" s="145"/>
      <c r="J53" s="33"/>
      <c r="K53" s="33"/>
      <c r="L53" s="159"/>
      <c r="M53" s="159"/>
      <c r="N53" s="148"/>
    </row>
    <row r="54" spans="1:14" s="3" customFormat="1" ht="15.75" x14ac:dyDescent="0.2">
      <c r="A54" s="38" t="s">
        <v>352</v>
      </c>
      <c r="B54" s="258"/>
      <c r="C54" s="259">
        <v>1358</v>
      </c>
      <c r="D54" s="231" t="str">
        <f t="shared" si="1"/>
        <v xml:space="preserve">    ---- </v>
      </c>
      <c r="E54" s="27">
        <f>IFERROR(100/'Skjema total MA'!C54*C54,0)</f>
        <v>0.67633382484831872</v>
      </c>
      <c r="F54" s="145"/>
      <c r="G54" s="33"/>
      <c r="H54" s="145"/>
      <c r="I54" s="145"/>
      <c r="J54" s="33"/>
      <c r="K54" s="33"/>
      <c r="L54" s="159"/>
      <c r="M54" s="159"/>
      <c r="N54" s="148"/>
    </row>
    <row r="55" spans="1:14" s="3" customFormat="1" ht="15.75" x14ac:dyDescent="0.2">
      <c r="A55" s="38" t="s">
        <v>353</v>
      </c>
      <c r="B55" s="258"/>
      <c r="C55" s="259"/>
      <c r="D55" s="231"/>
      <c r="E55" s="27"/>
      <c r="F55" s="145"/>
      <c r="G55" s="33"/>
      <c r="H55" s="145"/>
      <c r="I55" s="145"/>
      <c r="J55" s="33"/>
      <c r="K55" s="33"/>
      <c r="L55" s="159"/>
      <c r="M55" s="159"/>
      <c r="N55" s="148"/>
    </row>
    <row r="56" spans="1:14" s="3" customFormat="1" ht="15.75" x14ac:dyDescent="0.2">
      <c r="A56" s="39" t="s">
        <v>355</v>
      </c>
      <c r="B56" s="286"/>
      <c r="C56" s="287">
        <v>2214</v>
      </c>
      <c r="D56" s="231" t="str">
        <f t="shared" ref="D56:D57" si="2">IF(B56=0, "    ---- ", IF(ABS(ROUND(100/B56*C56-100,1))&lt;999,ROUND(100/B56*C56-100,1),IF(ROUND(100/B56*C56-100,1)&gt;999,999,-999)))</f>
        <v xml:space="preserve">    ---- </v>
      </c>
      <c r="E56" s="27">
        <f>IFERROR(100/'Skjema total MA'!C56*C56,0)</f>
        <v>4.6923989431801987</v>
      </c>
      <c r="F56" s="145"/>
      <c r="G56" s="33"/>
      <c r="H56" s="145"/>
      <c r="I56" s="145"/>
      <c r="J56" s="33"/>
      <c r="K56" s="33"/>
      <c r="L56" s="159"/>
      <c r="M56" s="159"/>
      <c r="N56" s="148"/>
    </row>
    <row r="57" spans="1:14" s="3" customFormat="1" ht="15.75" x14ac:dyDescent="0.2">
      <c r="A57" s="38" t="s">
        <v>352</v>
      </c>
      <c r="B57" s="258"/>
      <c r="C57" s="259">
        <v>2214</v>
      </c>
      <c r="D57" s="231" t="str">
        <f t="shared" si="2"/>
        <v xml:space="preserve">    ---- </v>
      </c>
      <c r="E57" s="27">
        <f>IFERROR(100/'Skjema total MA'!C57*C57,0)</f>
        <v>4.6923989431801987</v>
      </c>
      <c r="F57" s="145"/>
      <c r="G57" s="33"/>
      <c r="H57" s="145"/>
      <c r="I57" s="145"/>
      <c r="J57" s="33"/>
      <c r="K57" s="33"/>
      <c r="L57" s="159"/>
      <c r="M57" s="159"/>
      <c r="N57" s="148"/>
    </row>
    <row r="58" spans="1:14" s="3" customFormat="1" ht="15.75" x14ac:dyDescent="0.2">
      <c r="A58" s="46" t="s">
        <v>353</v>
      </c>
      <c r="B58" s="260"/>
      <c r="C58" s="261"/>
      <c r="D58" s="232"/>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250</v>
      </c>
      <c r="C61" s="26"/>
      <c r="D61" s="26"/>
      <c r="E61" s="26"/>
      <c r="F61" s="26"/>
      <c r="G61" s="26"/>
      <c r="H61" s="26"/>
      <c r="I61" s="26"/>
      <c r="J61" s="26"/>
      <c r="K61" s="26"/>
      <c r="L61" s="26"/>
      <c r="M61" s="26"/>
    </row>
    <row r="62" spans="1:14" ht="15.75" x14ac:dyDescent="0.25">
      <c r="B62" s="694"/>
      <c r="C62" s="694"/>
      <c r="D62" s="694"/>
      <c r="E62" s="634"/>
      <c r="F62" s="694"/>
      <c r="G62" s="694"/>
      <c r="H62" s="694"/>
      <c r="I62" s="634"/>
      <c r="J62" s="694"/>
      <c r="K62" s="694"/>
      <c r="L62" s="694"/>
      <c r="M62" s="634"/>
    </row>
    <row r="63" spans="1:14" x14ac:dyDescent="0.2">
      <c r="A63" s="144"/>
      <c r="B63" s="695" t="s">
        <v>0</v>
      </c>
      <c r="C63" s="696"/>
      <c r="D63" s="697"/>
      <c r="E63" s="631"/>
      <c r="F63" s="696" t="s">
        <v>1</v>
      </c>
      <c r="G63" s="696"/>
      <c r="H63" s="696"/>
      <c r="I63" s="633"/>
      <c r="J63" s="695" t="s">
        <v>2</v>
      </c>
      <c r="K63" s="696"/>
      <c r="L63" s="696"/>
      <c r="M63" s="633"/>
    </row>
    <row r="64" spans="1:14" x14ac:dyDescent="0.2">
      <c r="A64" s="140"/>
      <c r="B64" s="152" t="s">
        <v>412</v>
      </c>
      <c r="C64" s="152" t="s">
        <v>413</v>
      </c>
      <c r="D64" s="222" t="s">
        <v>3</v>
      </c>
      <c r="E64" s="281" t="s">
        <v>29</v>
      </c>
      <c r="F64" s="152" t="s">
        <v>412</v>
      </c>
      <c r="G64" s="152" t="s">
        <v>413</v>
      </c>
      <c r="H64" s="222" t="s">
        <v>3</v>
      </c>
      <c r="I64" s="281" t="s">
        <v>29</v>
      </c>
      <c r="J64" s="152" t="s">
        <v>412</v>
      </c>
      <c r="K64" s="152" t="s">
        <v>413</v>
      </c>
      <c r="L64" s="222" t="s">
        <v>3</v>
      </c>
      <c r="M64" s="162" t="s">
        <v>29</v>
      </c>
    </row>
    <row r="65" spans="1:14" x14ac:dyDescent="0.2">
      <c r="A65" s="662"/>
      <c r="B65" s="156"/>
      <c r="C65" s="156"/>
      <c r="D65" s="223" t="s">
        <v>4</v>
      </c>
      <c r="E65" s="156" t="s">
        <v>30</v>
      </c>
      <c r="F65" s="161"/>
      <c r="G65" s="161"/>
      <c r="H65" s="222" t="s">
        <v>4</v>
      </c>
      <c r="I65" s="156" t="s">
        <v>30</v>
      </c>
      <c r="J65" s="161"/>
      <c r="K65" s="203"/>
      <c r="L65" s="156" t="s">
        <v>4</v>
      </c>
      <c r="M65" s="156" t="s">
        <v>30</v>
      </c>
    </row>
    <row r="66" spans="1:14" ht="15.75" x14ac:dyDescent="0.2">
      <c r="A66" s="14" t="s">
        <v>23</v>
      </c>
      <c r="B66" s="329"/>
      <c r="C66" s="329"/>
      <c r="D66" s="326"/>
      <c r="E66" s="11"/>
      <c r="F66" s="328"/>
      <c r="G66" s="328"/>
      <c r="H66" s="326"/>
      <c r="I66" s="11"/>
      <c r="J66" s="285"/>
      <c r="K66" s="292"/>
      <c r="L66" s="402"/>
      <c r="M66" s="11"/>
    </row>
    <row r="67" spans="1:14" x14ac:dyDescent="0.2">
      <c r="A67" s="21" t="s">
        <v>9</v>
      </c>
      <c r="B67" s="44"/>
      <c r="C67" s="145"/>
      <c r="D67" s="166"/>
      <c r="E67" s="27"/>
      <c r="F67" s="211"/>
      <c r="G67" s="145"/>
      <c r="H67" s="166"/>
      <c r="I67" s="27"/>
      <c r="J67" s="264"/>
      <c r="K67" s="44"/>
      <c r="L67" s="231"/>
      <c r="M67" s="27"/>
    </row>
    <row r="68" spans="1:14" x14ac:dyDescent="0.2">
      <c r="A68" s="21" t="s">
        <v>10</v>
      </c>
      <c r="B68" s="268"/>
      <c r="C68" s="269"/>
      <c r="D68" s="166"/>
      <c r="E68" s="27"/>
      <c r="F68" s="268"/>
      <c r="G68" s="269"/>
      <c r="H68" s="166"/>
      <c r="I68" s="27"/>
      <c r="J68" s="264"/>
      <c r="K68" s="44"/>
      <c r="L68" s="231"/>
      <c r="M68" s="27"/>
    </row>
    <row r="69" spans="1:14" ht="15.75" x14ac:dyDescent="0.2">
      <c r="A69" s="272" t="s">
        <v>356</v>
      </c>
      <c r="B69" s="295"/>
      <c r="C69" s="295"/>
      <c r="D69" s="166"/>
      <c r="E69" s="391"/>
      <c r="F69" s="295"/>
      <c r="G69" s="295"/>
      <c r="H69" s="166"/>
      <c r="I69" s="391"/>
      <c r="J69" s="295"/>
      <c r="K69" s="295"/>
      <c r="L69" s="166"/>
      <c r="M69" s="23"/>
    </row>
    <row r="70" spans="1:14" x14ac:dyDescent="0.2">
      <c r="A70" s="272" t="s">
        <v>12</v>
      </c>
      <c r="B70" s="270"/>
      <c r="C70" s="271"/>
      <c r="D70" s="166"/>
      <c r="E70" s="391"/>
      <c r="F70" s="270"/>
      <c r="G70" s="271"/>
      <c r="H70" s="166"/>
      <c r="I70" s="391"/>
      <c r="J70" s="270"/>
      <c r="K70" s="271"/>
      <c r="L70" s="166"/>
      <c r="M70" s="23"/>
    </row>
    <row r="71" spans="1:14" x14ac:dyDescent="0.2">
      <c r="A71" s="272" t="s">
        <v>13</v>
      </c>
      <c r="B71" s="212"/>
      <c r="C71" s="266"/>
      <c r="D71" s="166"/>
      <c r="E71" s="391"/>
      <c r="F71" s="212"/>
      <c r="G71" s="266"/>
      <c r="H71" s="166"/>
      <c r="I71" s="391"/>
      <c r="J71" s="212"/>
      <c r="K71" s="266"/>
      <c r="L71" s="166"/>
      <c r="M71" s="23"/>
    </row>
    <row r="72" spans="1:14" ht="15.75" x14ac:dyDescent="0.2">
      <c r="A72" s="272" t="s">
        <v>357</v>
      </c>
      <c r="B72" s="295"/>
      <c r="C72" s="295"/>
      <c r="D72" s="166"/>
      <c r="E72" s="391"/>
      <c r="F72" s="295"/>
      <c r="G72" s="295"/>
      <c r="H72" s="166"/>
      <c r="I72" s="391"/>
      <c r="J72" s="295"/>
      <c r="K72" s="295"/>
      <c r="L72" s="166"/>
      <c r="M72" s="23"/>
    </row>
    <row r="73" spans="1:14" x14ac:dyDescent="0.2">
      <c r="A73" s="272" t="s">
        <v>12</v>
      </c>
      <c r="B73" s="212"/>
      <c r="C73" s="266"/>
      <c r="D73" s="166"/>
      <c r="E73" s="391"/>
      <c r="F73" s="212"/>
      <c r="G73" s="266"/>
      <c r="H73" s="166"/>
      <c r="I73" s="391"/>
      <c r="J73" s="212"/>
      <c r="K73" s="266"/>
      <c r="L73" s="166"/>
      <c r="M73" s="23"/>
    </row>
    <row r="74" spans="1:14" s="3" customFormat="1" x14ac:dyDescent="0.2">
      <c r="A74" s="272" t="s">
        <v>13</v>
      </c>
      <c r="B74" s="212"/>
      <c r="C74" s="266"/>
      <c r="D74" s="166"/>
      <c r="E74" s="391"/>
      <c r="F74" s="212"/>
      <c r="G74" s="266"/>
      <c r="H74" s="166"/>
      <c r="I74" s="391"/>
      <c r="J74" s="212"/>
      <c r="K74" s="266"/>
      <c r="L74" s="166"/>
      <c r="M74" s="23"/>
      <c r="N74" s="148"/>
    </row>
    <row r="75" spans="1:14" s="3" customFormat="1" x14ac:dyDescent="0.2">
      <c r="A75" s="21" t="s">
        <v>326</v>
      </c>
      <c r="B75" s="211"/>
      <c r="C75" s="145"/>
      <c r="D75" s="166"/>
      <c r="E75" s="27"/>
      <c r="F75" s="211"/>
      <c r="G75" s="145"/>
      <c r="H75" s="166"/>
      <c r="I75" s="27"/>
      <c r="J75" s="264"/>
      <c r="K75" s="44"/>
      <c r="L75" s="231"/>
      <c r="M75" s="27"/>
      <c r="N75" s="148"/>
    </row>
    <row r="76" spans="1:14" s="3" customFormat="1" x14ac:dyDescent="0.2">
      <c r="A76" s="21" t="s">
        <v>325</v>
      </c>
      <c r="B76" s="211"/>
      <c r="C76" s="145"/>
      <c r="D76" s="166"/>
      <c r="E76" s="27"/>
      <c r="F76" s="211"/>
      <c r="G76" s="145"/>
      <c r="H76" s="166"/>
      <c r="I76" s="27"/>
      <c r="J76" s="264"/>
      <c r="K76" s="44"/>
      <c r="L76" s="231"/>
      <c r="M76" s="27"/>
      <c r="N76" s="148"/>
    </row>
    <row r="77" spans="1:14" ht="15.75" x14ac:dyDescent="0.2">
      <c r="A77" s="21" t="s">
        <v>358</v>
      </c>
      <c r="B77" s="211"/>
      <c r="C77" s="211"/>
      <c r="D77" s="166"/>
      <c r="E77" s="27"/>
      <c r="F77" s="211"/>
      <c r="G77" s="145"/>
      <c r="H77" s="166"/>
      <c r="I77" s="27"/>
      <c r="J77" s="264"/>
      <c r="K77" s="44"/>
      <c r="L77" s="231"/>
      <c r="M77" s="27"/>
    </row>
    <row r="78" spans="1:14" x14ac:dyDescent="0.2">
      <c r="A78" s="21" t="s">
        <v>9</v>
      </c>
      <c r="B78" s="211"/>
      <c r="C78" s="145"/>
      <c r="D78" s="166"/>
      <c r="E78" s="27"/>
      <c r="F78" s="211"/>
      <c r="G78" s="145"/>
      <c r="H78" s="166"/>
      <c r="I78" s="27"/>
      <c r="J78" s="264"/>
      <c r="K78" s="44"/>
      <c r="L78" s="231"/>
      <c r="M78" s="27"/>
    </row>
    <row r="79" spans="1:14" x14ac:dyDescent="0.2">
      <c r="A79" s="38" t="s">
        <v>398</v>
      </c>
      <c r="B79" s="268"/>
      <c r="C79" s="269"/>
      <c r="D79" s="166"/>
      <c r="E79" s="27"/>
      <c r="F79" s="268"/>
      <c r="G79" s="269"/>
      <c r="H79" s="166"/>
      <c r="I79" s="27"/>
      <c r="J79" s="264"/>
      <c r="K79" s="44"/>
      <c r="L79" s="231"/>
      <c r="M79" s="27"/>
    </row>
    <row r="80" spans="1:14" ht="15.75" x14ac:dyDescent="0.2">
      <c r="A80" s="272" t="s">
        <v>356</v>
      </c>
      <c r="B80" s="295"/>
      <c r="C80" s="295"/>
      <c r="D80" s="166"/>
      <c r="E80" s="391"/>
      <c r="F80" s="295"/>
      <c r="G80" s="295"/>
      <c r="H80" s="166"/>
      <c r="I80" s="391"/>
      <c r="J80" s="295"/>
      <c r="K80" s="295"/>
      <c r="L80" s="166"/>
      <c r="M80" s="23"/>
    </row>
    <row r="81" spans="1:13" x14ac:dyDescent="0.2">
      <c r="A81" s="272" t="s">
        <v>12</v>
      </c>
      <c r="B81" s="295"/>
      <c r="C81" s="295"/>
      <c r="D81" s="166"/>
      <c r="E81" s="391"/>
      <c r="F81" s="270"/>
      <c r="G81" s="271"/>
      <c r="H81" s="166"/>
      <c r="I81" s="391"/>
      <c r="J81" s="270"/>
      <c r="K81" s="271"/>
      <c r="L81" s="166"/>
      <c r="M81" s="23"/>
    </row>
    <row r="82" spans="1:13" x14ac:dyDescent="0.2">
      <c r="A82" s="272" t="s">
        <v>13</v>
      </c>
      <c r="B82" s="295"/>
      <c r="C82" s="295"/>
      <c r="D82" s="166"/>
      <c r="E82" s="391"/>
      <c r="F82" s="212"/>
      <c r="G82" s="266"/>
      <c r="H82" s="166"/>
      <c r="I82" s="391"/>
      <c r="J82" s="212"/>
      <c r="K82" s="266"/>
      <c r="L82" s="166"/>
      <c r="M82" s="23"/>
    </row>
    <row r="83" spans="1:13" ht="15.75" x14ac:dyDescent="0.2">
      <c r="A83" s="272" t="s">
        <v>357</v>
      </c>
      <c r="B83" s="295"/>
      <c r="C83" s="295"/>
      <c r="D83" s="166"/>
      <c r="E83" s="391"/>
      <c r="F83" s="295"/>
      <c r="G83" s="295"/>
      <c r="H83" s="166"/>
      <c r="I83" s="391"/>
      <c r="J83" s="295"/>
      <c r="K83" s="295"/>
      <c r="L83" s="166"/>
      <c r="M83" s="23"/>
    </row>
    <row r="84" spans="1:13" x14ac:dyDescent="0.2">
      <c r="A84" s="272" t="s">
        <v>12</v>
      </c>
      <c r="B84" s="212"/>
      <c r="C84" s="266"/>
      <c r="D84" s="166"/>
      <c r="E84" s="391"/>
      <c r="F84" s="212"/>
      <c r="G84" s="266"/>
      <c r="H84" s="166"/>
      <c r="I84" s="391"/>
      <c r="J84" s="212"/>
      <c r="K84" s="266"/>
      <c r="L84" s="166"/>
      <c r="M84" s="23"/>
    </row>
    <row r="85" spans="1:13" x14ac:dyDescent="0.2">
      <c r="A85" s="272" t="s">
        <v>13</v>
      </c>
      <c r="B85" s="212"/>
      <c r="C85" s="266"/>
      <c r="D85" s="166"/>
      <c r="E85" s="391"/>
      <c r="F85" s="212"/>
      <c r="G85" s="266"/>
      <c r="H85" s="166"/>
      <c r="I85" s="391"/>
      <c r="J85" s="212"/>
      <c r="K85" s="266"/>
      <c r="L85" s="166"/>
      <c r="M85" s="23"/>
    </row>
    <row r="86" spans="1:13" ht="15.75" x14ac:dyDescent="0.2">
      <c r="A86" s="21" t="s">
        <v>359</v>
      </c>
      <c r="B86" s="211"/>
      <c r="C86" s="145"/>
      <c r="D86" s="166"/>
      <c r="E86" s="27"/>
      <c r="F86" s="211"/>
      <c r="G86" s="145"/>
      <c r="H86" s="166"/>
      <c r="I86" s="27"/>
      <c r="J86" s="264"/>
      <c r="K86" s="44"/>
      <c r="L86" s="231"/>
      <c r="M86" s="27"/>
    </row>
    <row r="87" spans="1:13" ht="15.75" x14ac:dyDescent="0.2">
      <c r="A87" s="13" t="s">
        <v>341</v>
      </c>
      <c r="B87" s="329"/>
      <c r="C87" s="329"/>
      <c r="D87" s="171"/>
      <c r="E87" s="11"/>
      <c r="F87" s="328"/>
      <c r="G87" s="328"/>
      <c r="H87" s="171"/>
      <c r="I87" s="11"/>
      <c r="J87" s="285"/>
      <c r="K87" s="213"/>
      <c r="L87" s="402"/>
      <c r="M87" s="11"/>
    </row>
    <row r="88" spans="1:13" x14ac:dyDescent="0.2">
      <c r="A88" s="21" t="s">
        <v>9</v>
      </c>
      <c r="B88" s="211"/>
      <c r="C88" s="145"/>
      <c r="D88" s="166"/>
      <c r="E88" s="27"/>
      <c r="F88" s="211"/>
      <c r="G88" s="145"/>
      <c r="H88" s="166"/>
      <c r="I88" s="27"/>
      <c r="J88" s="264"/>
      <c r="K88" s="44"/>
      <c r="L88" s="231"/>
      <c r="M88" s="27"/>
    </row>
    <row r="89" spans="1:13" x14ac:dyDescent="0.2">
      <c r="A89" s="21" t="s">
        <v>10</v>
      </c>
      <c r="B89" s="211"/>
      <c r="C89" s="145"/>
      <c r="D89" s="166"/>
      <c r="E89" s="27"/>
      <c r="F89" s="211"/>
      <c r="G89" s="145"/>
      <c r="H89" s="166"/>
      <c r="I89" s="27"/>
      <c r="J89" s="264"/>
      <c r="K89" s="44"/>
      <c r="L89" s="231"/>
      <c r="M89" s="27"/>
    </row>
    <row r="90" spans="1:13" ht="15.75" x14ac:dyDescent="0.2">
      <c r="A90" s="272" t="s">
        <v>356</v>
      </c>
      <c r="B90" s="295"/>
      <c r="C90" s="295"/>
      <c r="D90" s="166"/>
      <c r="E90" s="391"/>
      <c r="F90" s="295"/>
      <c r="G90" s="295"/>
      <c r="H90" s="166"/>
      <c r="I90" s="391"/>
      <c r="J90" s="295"/>
      <c r="K90" s="295"/>
      <c r="L90" s="166"/>
      <c r="M90" s="23"/>
    </row>
    <row r="91" spans="1:13" x14ac:dyDescent="0.2">
      <c r="A91" s="272" t="s">
        <v>12</v>
      </c>
      <c r="B91" s="295"/>
      <c r="C91" s="295"/>
      <c r="D91" s="166"/>
      <c r="E91" s="391"/>
      <c r="F91" s="270"/>
      <c r="G91" s="271"/>
      <c r="H91" s="166"/>
      <c r="I91" s="391"/>
      <c r="J91" s="270"/>
      <c r="K91" s="271"/>
      <c r="L91" s="166"/>
      <c r="M91" s="23"/>
    </row>
    <row r="92" spans="1:13" x14ac:dyDescent="0.2">
      <c r="A92" s="272" t="s">
        <v>13</v>
      </c>
      <c r="B92" s="295"/>
      <c r="C92" s="295"/>
      <c r="D92" s="166"/>
      <c r="E92" s="391"/>
      <c r="F92" s="212"/>
      <c r="G92" s="266"/>
      <c r="H92" s="166"/>
      <c r="I92" s="391"/>
      <c r="J92" s="212"/>
      <c r="K92" s="266"/>
      <c r="L92" s="166"/>
      <c r="M92" s="23"/>
    </row>
    <row r="93" spans="1:13" ht="15.75" x14ac:dyDescent="0.2">
      <c r="A93" s="272" t="s">
        <v>357</v>
      </c>
      <c r="B93" s="295"/>
      <c r="C93" s="295"/>
      <c r="D93" s="166"/>
      <c r="E93" s="391"/>
      <c r="F93" s="295"/>
      <c r="G93" s="295"/>
      <c r="H93" s="166"/>
      <c r="I93" s="391"/>
      <c r="J93" s="295"/>
      <c r="K93" s="295"/>
      <c r="L93" s="166"/>
      <c r="M93" s="23"/>
    </row>
    <row r="94" spans="1:13" x14ac:dyDescent="0.2">
      <c r="A94" s="272" t="s">
        <v>12</v>
      </c>
      <c r="B94" s="212"/>
      <c r="C94" s="266"/>
      <c r="D94" s="166"/>
      <c r="E94" s="391"/>
      <c r="F94" s="212"/>
      <c r="G94" s="266"/>
      <c r="H94" s="166"/>
      <c r="I94" s="391"/>
      <c r="J94" s="212"/>
      <c r="K94" s="266"/>
      <c r="L94" s="166"/>
      <c r="M94" s="23"/>
    </row>
    <row r="95" spans="1:13" x14ac:dyDescent="0.2">
      <c r="A95" s="272" t="s">
        <v>13</v>
      </c>
      <c r="B95" s="212"/>
      <c r="C95" s="266"/>
      <c r="D95" s="166"/>
      <c r="E95" s="391"/>
      <c r="F95" s="212"/>
      <c r="G95" s="266"/>
      <c r="H95" s="166"/>
      <c r="I95" s="391"/>
      <c r="J95" s="212"/>
      <c r="K95" s="266"/>
      <c r="L95" s="166"/>
      <c r="M95" s="23"/>
    </row>
    <row r="96" spans="1:13" x14ac:dyDescent="0.2">
      <c r="A96" s="21" t="s">
        <v>324</v>
      </c>
      <c r="B96" s="211"/>
      <c r="C96" s="145"/>
      <c r="D96" s="166"/>
      <c r="E96" s="27"/>
      <c r="F96" s="211"/>
      <c r="G96" s="145"/>
      <c r="H96" s="166"/>
      <c r="I96" s="27"/>
      <c r="J96" s="264"/>
      <c r="K96" s="44"/>
      <c r="L96" s="231"/>
      <c r="M96" s="27"/>
    </row>
    <row r="97" spans="1:13" x14ac:dyDescent="0.2">
      <c r="A97" s="21" t="s">
        <v>323</v>
      </c>
      <c r="B97" s="211"/>
      <c r="C97" s="145"/>
      <c r="D97" s="166"/>
      <c r="E97" s="27"/>
      <c r="F97" s="211"/>
      <c r="G97" s="145"/>
      <c r="H97" s="166"/>
      <c r="I97" s="27"/>
      <c r="J97" s="264"/>
      <c r="K97" s="44"/>
      <c r="L97" s="231"/>
      <c r="M97" s="27"/>
    </row>
    <row r="98" spans="1:13" ht="15.75" x14ac:dyDescent="0.2">
      <c r="A98" s="21" t="s">
        <v>358</v>
      </c>
      <c r="B98" s="211"/>
      <c r="C98" s="211"/>
      <c r="D98" s="166"/>
      <c r="E98" s="27"/>
      <c r="F98" s="268"/>
      <c r="G98" s="268"/>
      <c r="H98" s="166"/>
      <c r="I98" s="27"/>
      <c r="J98" s="264"/>
      <c r="K98" s="44"/>
      <c r="L98" s="231"/>
      <c r="M98" s="27"/>
    </row>
    <row r="99" spans="1:13" x14ac:dyDescent="0.2">
      <c r="A99" s="21" t="s">
        <v>9</v>
      </c>
      <c r="B99" s="268"/>
      <c r="C99" s="269"/>
      <c r="D99" s="166"/>
      <c r="E99" s="27"/>
      <c r="F99" s="211"/>
      <c r="G99" s="145"/>
      <c r="H99" s="166"/>
      <c r="I99" s="27"/>
      <c r="J99" s="264"/>
      <c r="K99" s="44"/>
      <c r="L99" s="231"/>
      <c r="M99" s="27"/>
    </row>
    <row r="100" spans="1:13" ht="15.75" x14ac:dyDescent="0.2">
      <c r="A100" s="38" t="s">
        <v>399</v>
      </c>
      <c r="B100" s="268"/>
      <c r="C100" s="269"/>
      <c r="D100" s="166"/>
      <c r="E100" s="27"/>
      <c r="F100" s="211"/>
      <c r="G100" s="211"/>
      <c r="H100" s="166"/>
      <c r="I100" s="27"/>
      <c r="J100" s="264"/>
      <c r="K100" s="44"/>
      <c r="L100" s="231"/>
      <c r="M100" s="27"/>
    </row>
    <row r="101" spans="1:13" ht="15.75" x14ac:dyDescent="0.2">
      <c r="A101" s="38" t="s">
        <v>400</v>
      </c>
      <c r="B101" s="268"/>
      <c r="C101" s="268"/>
      <c r="D101" s="166"/>
      <c r="E101" s="27"/>
      <c r="F101" s="268"/>
      <c r="G101" s="268"/>
      <c r="H101" s="166"/>
      <c r="I101" s="27"/>
      <c r="J101" s="264"/>
      <c r="K101" s="44"/>
      <c r="L101" s="231"/>
      <c r="M101" s="27"/>
    </row>
    <row r="102" spans="1:13" ht="15.75" x14ac:dyDescent="0.2">
      <c r="A102" s="272" t="s">
        <v>356</v>
      </c>
      <c r="B102" s="295"/>
      <c r="C102" s="295"/>
      <c r="D102" s="166"/>
      <c r="E102" s="391"/>
      <c r="F102" s="295"/>
      <c r="G102" s="295"/>
      <c r="H102" s="166"/>
      <c r="I102" s="391"/>
      <c r="J102" s="295"/>
      <c r="K102" s="295"/>
      <c r="L102" s="166"/>
      <c r="M102" s="23"/>
    </row>
    <row r="103" spans="1:13" x14ac:dyDescent="0.2">
      <c r="A103" s="272" t="s">
        <v>12</v>
      </c>
      <c r="B103" s="295"/>
      <c r="C103" s="295"/>
      <c r="D103" s="166"/>
      <c r="E103" s="391"/>
      <c r="F103" s="270"/>
      <c r="G103" s="271"/>
      <c r="H103" s="166"/>
      <c r="I103" s="391"/>
      <c r="J103" s="270"/>
      <c r="K103" s="271"/>
      <c r="L103" s="166"/>
      <c r="M103" s="23"/>
    </row>
    <row r="104" spans="1:13" x14ac:dyDescent="0.2">
      <c r="A104" s="272" t="s">
        <v>13</v>
      </c>
      <c r="B104" s="295"/>
      <c r="C104" s="295"/>
      <c r="D104" s="166"/>
      <c r="E104" s="391"/>
      <c r="F104" s="212"/>
      <c r="G104" s="266"/>
      <c r="H104" s="166"/>
      <c r="I104" s="391"/>
      <c r="J104" s="212"/>
      <c r="K104" s="266"/>
      <c r="L104" s="166"/>
      <c r="M104" s="23"/>
    </row>
    <row r="105" spans="1:13" ht="15.75" x14ac:dyDescent="0.2">
      <c r="A105" s="272" t="s">
        <v>357</v>
      </c>
      <c r="B105" s="295"/>
      <c r="C105" s="295"/>
      <c r="D105" s="166"/>
      <c r="E105" s="391"/>
      <c r="F105" s="295"/>
      <c r="G105" s="295"/>
      <c r="H105" s="166"/>
      <c r="I105" s="391"/>
      <c r="J105" s="295"/>
      <c r="K105" s="295"/>
      <c r="L105" s="166"/>
      <c r="M105" s="23"/>
    </row>
    <row r="106" spans="1:13" x14ac:dyDescent="0.2">
      <c r="A106" s="272" t="s">
        <v>12</v>
      </c>
      <c r="B106" s="212"/>
      <c r="C106" s="266"/>
      <c r="D106" s="166"/>
      <c r="E106" s="391"/>
      <c r="F106" s="212"/>
      <c r="G106" s="266"/>
      <c r="H106" s="166"/>
      <c r="I106" s="391"/>
      <c r="J106" s="212"/>
      <c r="K106" s="266"/>
      <c r="L106" s="166"/>
      <c r="M106" s="23"/>
    </row>
    <row r="107" spans="1:13" x14ac:dyDescent="0.2">
      <c r="A107" s="272" t="s">
        <v>13</v>
      </c>
      <c r="B107" s="212"/>
      <c r="C107" s="266"/>
      <c r="D107" s="166"/>
      <c r="E107" s="391"/>
      <c r="F107" s="212"/>
      <c r="G107" s="266"/>
      <c r="H107" s="166"/>
      <c r="I107" s="391"/>
      <c r="J107" s="212"/>
      <c r="K107" s="266"/>
      <c r="L107" s="166"/>
      <c r="M107" s="23"/>
    </row>
    <row r="108" spans="1:13" ht="15.75" x14ac:dyDescent="0.2">
      <c r="A108" s="21" t="s">
        <v>359</v>
      </c>
      <c r="B108" s="211"/>
      <c r="C108" s="145"/>
      <c r="D108" s="166"/>
      <c r="E108" s="27"/>
      <c r="F108" s="211"/>
      <c r="G108" s="145"/>
      <c r="H108" s="166"/>
      <c r="I108" s="27"/>
      <c r="J108" s="264"/>
      <c r="K108" s="44"/>
      <c r="L108" s="231"/>
      <c r="M108" s="27"/>
    </row>
    <row r="109" spans="1:13" ht="15.75" x14ac:dyDescent="0.2">
      <c r="A109" s="21" t="s">
        <v>360</v>
      </c>
      <c r="B109" s="211"/>
      <c r="C109" s="211"/>
      <c r="D109" s="166"/>
      <c r="E109" s="27"/>
      <c r="F109" s="211"/>
      <c r="G109" s="211"/>
      <c r="H109" s="166"/>
      <c r="I109" s="27"/>
      <c r="J109" s="264"/>
      <c r="K109" s="44"/>
      <c r="L109" s="231"/>
      <c r="M109" s="27"/>
    </row>
    <row r="110" spans="1:13" ht="15.75" x14ac:dyDescent="0.2">
      <c r="A110" s="38" t="s">
        <v>416</v>
      </c>
      <c r="B110" s="211"/>
      <c r="C110" s="211"/>
      <c r="D110" s="166"/>
      <c r="E110" s="27"/>
      <c r="F110" s="211"/>
      <c r="G110" s="211"/>
      <c r="H110" s="166"/>
      <c r="I110" s="27"/>
      <c r="J110" s="264"/>
      <c r="K110" s="44"/>
      <c r="L110" s="231"/>
      <c r="M110" s="27"/>
    </row>
    <row r="111" spans="1:13" ht="15.75" x14ac:dyDescent="0.2">
      <c r="A111" s="21" t="s">
        <v>362</v>
      </c>
      <c r="B111" s="211"/>
      <c r="C111" s="211"/>
      <c r="D111" s="166"/>
      <c r="E111" s="27"/>
      <c r="F111" s="211"/>
      <c r="G111" s="211"/>
      <c r="H111" s="166"/>
      <c r="I111" s="27"/>
      <c r="J111" s="264"/>
      <c r="K111" s="44"/>
      <c r="L111" s="231"/>
      <c r="M111" s="27"/>
    </row>
    <row r="112" spans="1:13" ht="15.75" x14ac:dyDescent="0.2">
      <c r="A112" s="13" t="s">
        <v>342</v>
      </c>
      <c r="B112" s="284"/>
      <c r="C112" s="159"/>
      <c r="D112" s="171"/>
      <c r="E112" s="11"/>
      <c r="F112" s="284"/>
      <c r="G112" s="159"/>
      <c r="H112" s="171"/>
      <c r="I112" s="11"/>
      <c r="J112" s="285"/>
      <c r="K112" s="213"/>
      <c r="L112" s="402"/>
      <c r="M112" s="11"/>
    </row>
    <row r="113" spans="1:14" x14ac:dyDescent="0.2">
      <c r="A113" s="21" t="s">
        <v>9</v>
      </c>
      <c r="B113" s="211"/>
      <c r="C113" s="145"/>
      <c r="D113" s="166"/>
      <c r="E113" s="27"/>
      <c r="F113" s="211"/>
      <c r="G113" s="145"/>
      <c r="H113" s="166"/>
      <c r="I113" s="27"/>
      <c r="J113" s="264"/>
      <c r="K113" s="44"/>
      <c r="L113" s="231"/>
      <c r="M113" s="27"/>
    </row>
    <row r="114" spans="1:14" x14ac:dyDescent="0.2">
      <c r="A114" s="21" t="s">
        <v>10</v>
      </c>
      <c r="B114" s="211"/>
      <c r="C114" s="145"/>
      <c r="D114" s="166"/>
      <c r="E114" s="27"/>
      <c r="F114" s="211"/>
      <c r="G114" s="145"/>
      <c r="H114" s="166"/>
      <c r="I114" s="27"/>
      <c r="J114" s="264"/>
      <c r="K114" s="44"/>
      <c r="L114" s="231"/>
      <c r="M114" s="27"/>
    </row>
    <row r="115" spans="1:14" x14ac:dyDescent="0.2">
      <c r="A115" s="21" t="s">
        <v>26</v>
      </c>
      <c r="B115" s="211"/>
      <c r="C115" s="145"/>
      <c r="D115" s="166"/>
      <c r="E115" s="27"/>
      <c r="F115" s="211"/>
      <c r="G115" s="145"/>
      <c r="H115" s="166"/>
      <c r="I115" s="27"/>
      <c r="J115" s="264"/>
      <c r="K115" s="44"/>
      <c r="L115" s="231"/>
      <c r="M115" s="27"/>
    </row>
    <row r="116" spans="1:14" x14ac:dyDescent="0.2">
      <c r="A116" s="272" t="s">
        <v>15</v>
      </c>
      <c r="B116" s="258"/>
      <c r="C116" s="258"/>
      <c r="D116" s="166"/>
      <c r="E116" s="391"/>
      <c r="F116" s="258"/>
      <c r="G116" s="258"/>
      <c r="H116" s="166"/>
      <c r="I116" s="391"/>
      <c r="J116" s="267"/>
      <c r="K116" s="267"/>
      <c r="L116" s="166"/>
      <c r="M116" s="23"/>
    </row>
    <row r="117" spans="1:14" ht="15.75" x14ac:dyDescent="0.2">
      <c r="A117" s="21" t="s">
        <v>363</v>
      </c>
      <c r="B117" s="211"/>
      <c r="C117" s="211"/>
      <c r="D117" s="166"/>
      <c r="E117" s="27"/>
      <c r="F117" s="211"/>
      <c r="G117" s="211"/>
      <c r="H117" s="166"/>
      <c r="I117" s="27"/>
      <c r="J117" s="264"/>
      <c r="K117" s="44"/>
      <c r="L117" s="231"/>
      <c r="M117" s="27"/>
    </row>
    <row r="118" spans="1:14" ht="15.75" x14ac:dyDescent="0.2">
      <c r="A118" s="21" t="s">
        <v>364</v>
      </c>
      <c r="B118" s="211"/>
      <c r="C118" s="211"/>
      <c r="D118" s="166"/>
      <c r="E118" s="27"/>
      <c r="F118" s="211"/>
      <c r="G118" s="211"/>
      <c r="H118" s="166"/>
      <c r="I118" s="27"/>
      <c r="J118" s="264"/>
      <c r="K118" s="44"/>
      <c r="L118" s="231"/>
      <c r="M118" s="27"/>
    </row>
    <row r="119" spans="1:14" ht="15.75" x14ac:dyDescent="0.2">
      <c r="A119" s="21" t="s">
        <v>362</v>
      </c>
      <c r="B119" s="211"/>
      <c r="C119" s="211"/>
      <c r="D119" s="166"/>
      <c r="E119" s="27"/>
      <c r="F119" s="211"/>
      <c r="G119" s="211"/>
      <c r="H119" s="166"/>
      <c r="I119" s="27"/>
      <c r="J119" s="264"/>
      <c r="K119" s="44"/>
      <c r="L119" s="231"/>
      <c r="M119" s="27"/>
    </row>
    <row r="120" spans="1:14" ht="15.75" x14ac:dyDescent="0.2">
      <c r="A120" s="13" t="s">
        <v>343</v>
      </c>
      <c r="B120" s="284"/>
      <c r="C120" s="159"/>
      <c r="D120" s="171"/>
      <c r="E120" s="11"/>
      <c r="F120" s="284"/>
      <c r="G120" s="159"/>
      <c r="H120" s="171"/>
      <c r="I120" s="11"/>
      <c r="J120" s="285"/>
      <c r="K120" s="213"/>
      <c r="L120" s="402"/>
      <c r="M120" s="11"/>
    </row>
    <row r="121" spans="1:14" x14ac:dyDescent="0.2">
      <c r="A121" s="21" t="s">
        <v>9</v>
      </c>
      <c r="B121" s="211"/>
      <c r="C121" s="145"/>
      <c r="D121" s="166"/>
      <c r="E121" s="27"/>
      <c r="F121" s="211"/>
      <c r="G121" s="145"/>
      <c r="H121" s="166"/>
      <c r="I121" s="27"/>
      <c r="J121" s="264"/>
      <c r="K121" s="44"/>
      <c r="L121" s="231"/>
      <c r="M121" s="27"/>
    </row>
    <row r="122" spans="1:14" x14ac:dyDescent="0.2">
      <c r="A122" s="21" t="s">
        <v>10</v>
      </c>
      <c r="B122" s="211"/>
      <c r="C122" s="145"/>
      <c r="D122" s="166"/>
      <c r="E122" s="27"/>
      <c r="F122" s="211"/>
      <c r="G122" s="145"/>
      <c r="H122" s="166"/>
      <c r="I122" s="27"/>
      <c r="J122" s="264"/>
      <c r="K122" s="44"/>
      <c r="L122" s="231"/>
      <c r="M122" s="27"/>
    </row>
    <row r="123" spans="1:14" x14ac:dyDescent="0.2">
      <c r="A123" s="21" t="s">
        <v>26</v>
      </c>
      <c r="B123" s="211"/>
      <c r="C123" s="145"/>
      <c r="D123" s="166"/>
      <c r="E123" s="27"/>
      <c r="F123" s="211"/>
      <c r="G123" s="145"/>
      <c r="H123" s="166"/>
      <c r="I123" s="27"/>
      <c r="J123" s="264"/>
      <c r="K123" s="44"/>
      <c r="L123" s="231"/>
      <c r="M123" s="27"/>
    </row>
    <row r="124" spans="1:14" x14ac:dyDescent="0.2">
      <c r="A124" s="272" t="s">
        <v>14</v>
      </c>
      <c r="B124" s="258"/>
      <c r="C124" s="258"/>
      <c r="D124" s="166"/>
      <c r="E124" s="391"/>
      <c r="F124" s="258"/>
      <c r="G124" s="258"/>
      <c r="H124" s="166"/>
      <c r="I124" s="391"/>
      <c r="J124" s="267"/>
      <c r="K124" s="267"/>
      <c r="L124" s="166"/>
      <c r="M124" s="23"/>
    </row>
    <row r="125" spans="1:14" ht="15.75" x14ac:dyDescent="0.2">
      <c r="A125" s="21" t="s">
        <v>369</v>
      </c>
      <c r="B125" s="211"/>
      <c r="C125" s="211"/>
      <c r="D125" s="166"/>
      <c r="E125" s="27"/>
      <c r="F125" s="211"/>
      <c r="G125" s="211"/>
      <c r="H125" s="166"/>
      <c r="I125" s="27"/>
      <c r="J125" s="264"/>
      <c r="K125" s="44"/>
      <c r="L125" s="231"/>
      <c r="M125" s="27"/>
    </row>
    <row r="126" spans="1:14" ht="15.75" x14ac:dyDescent="0.2">
      <c r="A126" s="21" t="s">
        <v>361</v>
      </c>
      <c r="B126" s="211"/>
      <c r="C126" s="211"/>
      <c r="D126" s="166"/>
      <c r="E126" s="27"/>
      <c r="F126" s="211"/>
      <c r="G126" s="211"/>
      <c r="H126" s="166"/>
      <c r="I126" s="27"/>
      <c r="J126" s="264"/>
      <c r="K126" s="44"/>
      <c r="L126" s="231"/>
      <c r="M126" s="27"/>
    </row>
    <row r="127" spans="1:14" ht="15.75" x14ac:dyDescent="0.2">
      <c r="A127" s="10" t="s">
        <v>362</v>
      </c>
      <c r="B127" s="45"/>
      <c r="C127" s="45"/>
      <c r="D127" s="167"/>
      <c r="E127" s="392"/>
      <c r="F127" s="45"/>
      <c r="G127" s="45"/>
      <c r="H127" s="167"/>
      <c r="I127" s="22"/>
      <c r="J127" s="265"/>
      <c r="K127" s="45"/>
      <c r="L127" s="232"/>
      <c r="M127" s="22"/>
    </row>
    <row r="128" spans="1:14" x14ac:dyDescent="0.2">
      <c r="A128" s="155"/>
      <c r="L128" s="26"/>
      <c r="M128" s="26"/>
      <c r="N128" s="26"/>
    </row>
    <row r="129" spans="1:14" x14ac:dyDescent="0.2">
      <c r="L129" s="26"/>
      <c r="M129" s="26"/>
      <c r="N129" s="26"/>
    </row>
    <row r="130" spans="1:14" ht="15.75" x14ac:dyDescent="0.25">
      <c r="A130" s="165" t="s">
        <v>27</v>
      </c>
    </row>
    <row r="131" spans="1:14" ht="15.75" x14ac:dyDescent="0.25">
      <c r="B131" s="694"/>
      <c r="C131" s="694"/>
      <c r="D131" s="694"/>
      <c r="E131" s="634"/>
      <c r="F131" s="694"/>
      <c r="G131" s="694"/>
      <c r="H131" s="694"/>
      <c r="I131" s="634"/>
      <c r="J131" s="694"/>
      <c r="K131" s="694"/>
      <c r="L131" s="694"/>
      <c r="M131" s="634"/>
    </row>
    <row r="132" spans="1:14" s="3" customFormat="1" x14ac:dyDescent="0.2">
      <c r="A132" s="144"/>
      <c r="B132" s="695" t="s">
        <v>0</v>
      </c>
      <c r="C132" s="696"/>
      <c r="D132" s="696"/>
      <c r="E132" s="632"/>
      <c r="F132" s="695" t="s">
        <v>1</v>
      </c>
      <c r="G132" s="696"/>
      <c r="H132" s="696"/>
      <c r="I132" s="633"/>
      <c r="J132" s="695" t="s">
        <v>2</v>
      </c>
      <c r="K132" s="696"/>
      <c r="L132" s="696"/>
      <c r="M132" s="633"/>
      <c r="N132" s="148"/>
    </row>
    <row r="133" spans="1:14" s="3" customFormat="1" x14ac:dyDescent="0.2">
      <c r="A133" s="140"/>
      <c r="B133" s="152" t="s">
        <v>412</v>
      </c>
      <c r="C133" s="152" t="s">
        <v>413</v>
      </c>
      <c r="D133" s="222" t="s">
        <v>3</v>
      </c>
      <c r="E133" s="281" t="s">
        <v>29</v>
      </c>
      <c r="F133" s="152" t="s">
        <v>412</v>
      </c>
      <c r="G133" s="152" t="s">
        <v>413</v>
      </c>
      <c r="H133" s="203" t="s">
        <v>3</v>
      </c>
      <c r="I133" s="162" t="s">
        <v>29</v>
      </c>
      <c r="J133" s="152" t="s">
        <v>412</v>
      </c>
      <c r="K133" s="152" t="s">
        <v>413</v>
      </c>
      <c r="L133" s="223" t="s">
        <v>3</v>
      </c>
      <c r="M133" s="162" t="s">
        <v>29</v>
      </c>
      <c r="N133" s="148"/>
    </row>
    <row r="134" spans="1:14" s="3" customFormat="1" x14ac:dyDescent="0.2">
      <c r="A134" s="662"/>
      <c r="B134" s="156"/>
      <c r="C134" s="156"/>
      <c r="D134" s="223" t="s">
        <v>4</v>
      </c>
      <c r="E134" s="156" t="s">
        <v>30</v>
      </c>
      <c r="F134" s="161"/>
      <c r="G134" s="161"/>
      <c r="H134" s="203" t="s">
        <v>4</v>
      </c>
      <c r="I134" s="156" t="s">
        <v>30</v>
      </c>
      <c r="J134" s="156"/>
      <c r="K134" s="156"/>
      <c r="L134" s="150" t="s">
        <v>4</v>
      </c>
      <c r="M134" s="156" t="s">
        <v>30</v>
      </c>
      <c r="N134" s="148"/>
    </row>
    <row r="135" spans="1:14" s="3" customFormat="1" ht="15.75" x14ac:dyDescent="0.2">
      <c r="A135" s="14" t="s">
        <v>365</v>
      </c>
      <c r="B135" s="213"/>
      <c r="C135" s="285"/>
      <c r="D135" s="326"/>
      <c r="E135" s="11"/>
      <c r="F135" s="292"/>
      <c r="G135" s="293"/>
      <c r="H135" s="405"/>
      <c r="I135" s="24"/>
      <c r="J135" s="294"/>
      <c r="K135" s="294"/>
      <c r="L135" s="401"/>
      <c r="M135" s="11"/>
      <c r="N135" s="148"/>
    </row>
    <row r="136" spans="1:14" s="3" customFormat="1" ht="15.75" x14ac:dyDescent="0.2">
      <c r="A136" s="13" t="s">
        <v>370</v>
      </c>
      <c r="B136" s="213"/>
      <c r="C136" s="285"/>
      <c r="D136" s="171"/>
      <c r="E136" s="11"/>
      <c r="F136" s="213"/>
      <c r="G136" s="285"/>
      <c r="H136" s="406"/>
      <c r="I136" s="24"/>
      <c r="J136" s="284"/>
      <c r="K136" s="284"/>
      <c r="L136" s="402"/>
      <c r="M136" s="11"/>
      <c r="N136" s="148"/>
    </row>
    <row r="137" spans="1:14" s="3" customFormat="1" ht="15.75" x14ac:dyDescent="0.2">
      <c r="A137" s="13" t="s">
        <v>367</v>
      </c>
      <c r="B137" s="213"/>
      <c r="C137" s="285"/>
      <c r="D137" s="171"/>
      <c r="E137" s="11"/>
      <c r="F137" s="213"/>
      <c r="G137" s="285"/>
      <c r="H137" s="406"/>
      <c r="I137" s="24"/>
      <c r="J137" s="284"/>
      <c r="K137" s="284"/>
      <c r="L137" s="402"/>
      <c r="M137" s="11"/>
      <c r="N137" s="148"/>
    </row>
    <row r="138" spans="1:14" s="3" customFormat="1" ht="15.75" x14ac:dyDescent="0.2">
      <c r="A138" s="41" t="s">
        <v>368</v>
      </c>
      <c r="B138" s="253"/>
      <c r="C138" s="291"/>
      <c r="D138" s="169"/>
      <c r="E138" s="9"/>
      <c r="F138" s="253"/>
      <c r="G138" s="291"/>
      <c r="H138" s="407"/>
      <c r="I138" s="36"/>
      <c r="J138" s="290"/>
      <c r="K138" s="290"/>
      <c r="L138" s="403"/>
      <c r="M138" s="36"/>
      <c r="N138" s="148"/>
    </row>
    <row r="139" spans="1:14" s="3" customFormat="1"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68"/>
      <c r="B141" s="33"/>
      <c r="C141" s="33"/>
      <c r="D141" s="159"/>
      <c r="E141" s="159"/>
      <c r="F141" s="33"/>
      <c r="G141" s="33"/>
      <c r="H141" s="159"/>
      <c r="I141" s="159"/>
      <c r="J141" s="33"/>
      <c r="K141" s="33"/>
      <c r="L141" s="159"/>
      <c r="M141" s="159"/>
      <c r="N141" s="148"/>
    </row>
    <row r="142" spans="1:14" x14ac:dyDescent="0.2">
      <c r="A142" s="146"/>
      <c r="B142" s="146"/>
      <c r="C142" s="146"/>
      <c r="D142" s="146"/>
      <c r="E142" s="146"/>
      <c r="F142" s="146"/>
      <c r="G142" s="146"/>
      <c r="H142" s="146"/>
      <c r="I142" s="146"/>
      <c r="J142" s="146"/>
      <c r="K142" s="146"/>
      <c r="L142" s="146"/>
      <c r="M142" s="146"/>
      <c r="N142" s="146"/>
    </row>
    <row r="143" spans="1:14" ht="15.75" x14ac:dyDescent="0.25">
      <c r="B143" s="142"/>
      <c r="C143" s="142"/>
      <c r="D143" s="142"/>
      <c r="E143" s="142"/>
      <c r="F143" s="142"/>
      <c r="G143" s="142"/>
      <c r="H143" s="142"/>
      <c r="I143" s="142"/>
      <c r="J143" s="142"/>
      <c r="K143" s="142"/>
      <c r="L143" s="142"/>
      <c r="M143" s="142"/>
      <c r="N143" s="142"/>
    </row>
    <row r="144" spans="1:14" ht="15.75" x14ac:dyDescent="0.25">
      <c r="B144" s="157"/>
      <c r="C144" s="157"/>
      <c r="D144" s="157"/>
      <c r="E144" s="157"/>
      <c r="F144" s="157"/>
      <c r="G144" s="157"/>
      <c r="H144" s="157"/>
      <c r="I144" s="157"/>
      <c r="J144" s="157"/>
      <c r="K144" s="157"/>
      <c r="L144" s="157"/>
      <c r="M144" s="157"/>
      <c r="N144" s="157"/>
    </row>
    <row r="145" spans="2:14" ht="15.75" x14ac:dyDescent="0.25">
      <c r="B145" s="157"/>
      <c r="C145" s="157"/>
      <c r="D145" s="157"/>
      <c r="E145" s="157"/>
      <c r="F145" s="157"/>
      <c r="G145" s="157"/>
      <c r="H145" s="157"/>
      <c r="I145" s="157"/>
      <c r="J145" s="157"/>
      <c r="K145" s="157"/>
      <c r="L145" s="157"/>
      <c r="M145" s="157"/>
      <c r="N145" s="157"/>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1:D131"/>
    <mergeCell ref="F131:H131"/>
    <mergeCell ref="J131:L131"/>
    <mergeCell ref="B132:D132"/>
    <mergeCell ref="F132:H132"/>
    <mergeCell ref="J132:L132"/>
  </mergeCells>
  <conditionalFormatting sqref="B116">
    <cfRule type="expression" dxfId="664" priority="42">
      <formula>kvartal &lt; 4</formula>
    </cfRule>
  </conditionalFormatting>
  <conditionalFormatting sqref="C116">
    <cfRule type="expression" dxfId="663" priority="41">
      <formula>kvartal &lt; 4</formula>
    </cfRule>
  </conditionalFormatting>
  <conditionalFormatting sqref="B124">
    <cfRule type="expression" dxfId="662" priority="40">
      <formula>kvartal &lt; 4</formula>
    </cfRule>
  </conditionalFormatting>
  <conditionalFormatting sqref="C124">
    <cfRule type="expression" dxfId="661" priority="39">
      <formula>kvartal &lt; 4</formula>
    </cfRule>
  </conditionalFormatting>
  <conditionalFormatting sqref="F116">
    <cfRule type="expression" dxfId="660" priority="28">
      <formula>kvartal &lt; 4</formula>
    </cfRule>
  </conditionalFormatting>
  <conditionalFormatting sqref="G116">
    <cfRule type="expression" dxfId="659" priority="27">
      <formula>kvartal &lt; 4</formula>
    </cfRule>
  </conditionalFormatting>
  <conditionalFormatting sqref="F124:G124">
    <cfRule type="expression" dxfId="658" priority="26">
      <formula>kvartal &lt; 4</formula>
    </cfRule>
  </conditionalFormatting>
  <conditionalFormatting sqref="J116:K116">
    <cfRule type="expression" dxfId="657" priority="9">
      <formula>kvartal &lt; 4</formula>
    </cfRule>
  </conditionalFormatting>
  <conditionalFormatting sqref="J124:K124">
    <cfRule type="expression" dxfId="656" priority="8">
      <formula>kvartal &lt; 4</formula>
    </cfRule>
  </conditionalFormatting>
  <conditionalFormatting sqref="A50:A52">
    <cfRule type="expression" dxfId="655" priority="7">
      <formula>kvartal &lt; 4</formula>
    </cfRule>
  </conditionalFormatting>
  <conditionalFormatting sqref="A69:A74">
    <cfRule type="expression" dxfId="654" priority="6">
      <formula>kvartal &lt; 4</formula>
    </cfRule>
  </conditionalFormatting>
  <conditionalFormatting sqref="A80:A85">
    <cfRule type="expression" dxfId="653" priority="5">
      <formula>kvartal &lt; 4</formula>
    </cfRule>
  </conditionalFormatting>
  <conditionalFormatting sqref="A90:A95">
    <cfRule type="expression" dxfId="652" priority="4">
      <formula>kvartal &lt; 4</formula>
    </cfRule>
  </conditionalFormatting>
  <conditionalFormatting sqref="A102:A107">
    <cfRule type="expression" dxfId="651" priority="3">
      <formula>kvartal &lt; 4</formula>
    </cfRule>
  </conditionalFormatting>
  <conditionalFormatting sqref="A116">
    <cfRule type="expression" dxfId="650" priority="2">
      <formula>kvartal &lt; 4</formula>
    </cfRule>
  </conditionalFormatting>
  <conditionalFormatting sqref="A124">
    <cfRule type="expression" dxfId="649" priority="1">
      <formula>kvartal &lt; 4</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8"/>
  <dimension ref="A1:N145"/>
  <sheetViews>
    <sheetView showGridLines="0" zoomScaleNormal="100" workbookViewId="0"/>
  </sheetViews>
  <sheetFormatPr baseColWidth="10" defaultColWidth="11.42578125" defaultRowHeight="12.75" x14ac:dyDescent="0.2"/>
  <cols>
    <col min="1" max="1" width="41.57031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134</v>
      </c>
      <c r="B1" s="663"/>
      <c r="C1" s="225" t="s">
        <v>83</v>
      </c>
      <c r="D1" s="26"/>
      <c r="E1" s="26"/>
      <c r="F1" s="26"/>
      <c r="G1" s="26"/>
      <c r="H1" s="26"/>
      <c r="I1" s="26"/>
      <c r="J1" s="26"/>
      <c r="K1" s="26"/>
      <c r="L1" s="26"/>
      <c r="M1" s="26"/>
    </row>
    <row r="2" spans="1:14" ht="15.75" x14ac:dyDescent="0.25">
      <c r="A2" s="165" t="s">
        <v>28</v>
      </c>
      <c r="B2" s="699"/>
      <c r="C2" s="699"/>
      <c r="D2" s="699"/>
      <c r="E2" s="380"/>
      <c r="F2" s="699"/>
      <c r="G2" s="699"/>
      <c r="H2" s="699"/>
      <c r="I2" s="380"/>
      <c r="J2" s="699"/>
      <c r="K2" s="699"/>
      <c r="L2" s="699"/>
      <c r="M2" s="380"/>
    </row>
    <row r="3" spans="1:14" ht="15.75" x14ac:dyDescent="0.25">
      <c r="A3" s="163"/>
      <c r="B3" s="380"/>
      <c r="C3" s="380"/>
      <c r="D3" s="380"/>
      <c r="E3" s="380"/>
      <c r="F3" s="380"/>
      <c r="G3" s="380"/>
      <c r="H3" s="380"/>
      <c r="I3" s="380"/>
      <c r="J3" s="380"/>
      <c r="K3" s="380"/>
      <c r="L3" s="380"/>
      <c r="M3" s="380"/>
    </row>
    <row r="4" spans="1:14" x14ac:dyDescent="0.2">
      <c r="A4" s="144"/>
      <c r="B4" s="695" t="s">
        <v>0</v>
      </c>
      <c r="C4" s="696"/>
      <c r="D4" s="696"/>
      <c r="E4" s="379"/>
      <c r="F4" s="695" t="s">
        <v>1</v>
      </c>
      <c r="G4" s="696"/>
      <c r="H4" s="696"/>
      <c r="I4" s="382"/>
      <c r="J4" s="695" t="s">
        <v>2</v>
      </c>
      <c r="K4" s="696"/>
      <c r="L4" s="696"/>
      <c r="M4" s="382"/>
    </row>
    <row r="5" spans="1:14" x14ac:dyDescent="0.2">
      <c r="A5" s="158"/>
      <c r="B5" s="152" t="s">
        <v>412</v>
      </c>
      <c r="C5" s="152" t="s">
        <v>413</v>
      </c>
      <c r="D5" s="222" t="s">
        <v>3</v>
      </c>
      <c r="E5" s="281" t="s">
        <v>29</v>
      </c>
      <c r="F5" s="152" t="s">
        <v>412</v>
      </c>
      <c r="G5" s="152" t="s">
        <v>413</v>
      </c>
      <c r="H5" s="222" t="s">
        <v>3</v>
      </c>
      <c r="I5" s="162" t="s">
        <v>29</v>
      </c>
      <c r="J5" s="152" t="s">
        <v>412</v>
      </c>
      <c r="K5" s="152" t="s">
        <v>413</v>
      </c>
      <c r="L5" s="222" t="s">
        <v>3</v>
      </c>
      <c r="M5" s="162" t="s">
        <v>29</v>
      </c>
    </row>
    <row r="6" spans="1:14" x14ac:dyDescent="0.2">
      <c r="A6" s="661"/>
      <c r="B6" s="156"/>
      <c r="C6" s="156"/>
      <c r="D6" s="223" t="s">
        <v>4</v>
      </c>
      <c r="E6" s="156" t="s">
        <v>30</v>
      </c>
      <c r="F6" s="161"/>
      <c r="G6" s="161"/>
      <c r="H6" s="222" t="s">
        <v>4</v>
      </c>
      <c r="I6" s="156" t="s">
        <v>30</v>
      </c>
      <c r="J6" s="161"/>
      <c r="K6" s="161"/>
      <c r="L6" s="222" t="s">
        <v>4</v>
      </c>
      <c r="M6" s="156" t="s">
        <v>30</v>
      </c>
    </row>
    <row r="7" spans="1:14" ht="15.75" x14ac:dyDescent="0.2">
      <c r="A7" s="14" t="s">
        <v>23</v>
      </c>
      <c r="B7" s="282">
        <v>69639.137000000002</v>
      </c>
      <c r="C7" s="283">
        <v>64910.955999999998</v>
      </c>
      <c r="D7" s="326">
        <f t="shared" ref="D7:D10" si="0">IF(B7=0, "    ---- ", IF(ABS(ROUND(100/B7*C7-100,1))&lt;999,ROUND(100/B7*C7-100,1),IF(ROUND(100/B7*C7-100,1)&gt;999,999,-999)))</f>
        <v>-6.8</v>
      </c>
      <c r="E7" s="11">
        <f>IFERROR(100/'Skjema total MA'!C7*C7,0)</f>
        <v>3.8520582489913342</v>
      </c>
      <c r="F7" s="282">
        <v>75206.520999999993</v>
      </c>
      <c r="G7" s="283">
        <v>78207.692999999999</v>
      </c>
      <c r="H7" s="326">
        <f t="shared" ref="H7:H12" si="1">IF(F7=0, "    ---- ", IF(ABS(ROUND(100/F7*G7-100,1))&lt;999,ROUND(100/F7*G7-100,1),IF(ROUND(100/F7*G7-100,1)&gt;999,999,-999)))</f>
        <v>4</v>
      </c>
      <c r="I7" s="160">
        <f>IFERROR(100/'Skjema total MA'!F7*G7,0)</f>
        <v>2.004011636879047</v>
      </c>
      <c r="J7" s="284">
        <f t="shared" ref="J7:K12" si="2">SUM(B7,F7)</f>
        <v>144845.658</v>
      </c>
      <c r="K7" s="285">
        <f t="shared" si="2"/>
        <v>143118.649</v>
      </c>
      <c r="L7" s="401">
        <f t="shared" ref="L7:L12" si="3">IF(J7=0, "    ---- ", IF(ABS(ROUND(100/J7*K7-100,1))&lt;999,ROUND(100/J7*K7-100,1),IF(ROUND(100/J7*K7-100,1)&gt;999,999,-999)))</f>
        <v>-1.2</v>
      </c>
      <c r="M7" s="11">
        <f>IFERROR(100/'Skjema total MA'!I7*K7,0)</f>
        <v>2.5613366198634622</v>
      </c>
    </row>
    <row r="8" spans="1:14" ht="15.75" x14ac:dyDescent="0.2">
      <c r="A8" s="21" t="s">
        <v>25</v>
      </c>
      <c r="B8" s="258">
        <v>33264.71</v>
      </c>
      <c r="C8" s="259">
        <v>34190.728000000003</v>
      </c>
      <c r="D8" s="166">
        <f t="shared" si="0"/>
        <v>2.8</v>
      </c>
      <c r="E8" s="27">
        <f>IFERROR(100/'Skjema total MA'!C8*C8,0)</f>
        <v>2.9985465609076529</v>
      </c>
      <c r="F8" s="262"/>
      <c r="G8" s="263"/>
      <c r="H8" s="166"/>
      <c r="I8" s="175"/>
      <c r="J8" s="211">
        <f t="shared" si="2"/>
        <v>33264.71</v>
      </c>
      <c r="K8" s="264">
        <f t="shared" si="2"/>
        <v>34190.728000000003</v>
      </c>
      <c r="L8" s="166">
        <f t="shared" si="3"/>
        <v>2.8</v>
      </c>
      <c r="M8" s="27">
        <f>IFERROR(100/'Skjema total MA'!I8*K8,0)</f>
        <v>2.9985465609076529</v>
      </c>
    </row>
    <row r="9" spans="1:14" ht="15.75" x14ac:dyDescent="0.2">
      <c r="A9" s="21" t="s">
        <v>24</v>
      </c>
      <c r="B9" s="258">
        <v>16531.57</v>
      </c>
      <c r="C9" s="259">
        <v>16292.036</v>
      </c>
      <c r="D9" s="166">
        <f t="shared" si="0"/>
        <v>-1.4</v>
      </c>
      <c r="E9" s="27">
        <f>IFERROR(100/'Skjema total MA'!C9*C9,0)</f>
        <v>4.567859157949659</v>
      </c>
      <c r="F9" s="262"/>
      <c r="G9" s="263"/>
      <c r="H9" s="166"/>
      <c r="I9" s="175"/>
      <c r="J9" s="211">
        <f t="shared" si="2"/>
        <v>16531.57</v>
      </c>
      <c r="K9" s="264">
        <f t="shared" si="2"/>
        <v>16292.036</v>
      </c>
      <c r="L9" s="166">
        <f t="shared" si="3"/>
        <v>-1.4</v>
      </c>
      <c r="M9" s="27">
        <f>IFERROR(100/'Skjema total MA'!I9*K9,0)</f>
        <v>4.567859157949659</v>
      </c>
    </row>
    <row r="10" spans="1:14" ht="15.75" x14ac:dyDescent="0.2">
      <c r="A10" s="13" t="s">
        <v>341</v>
      </c>
      <c r="B10" s="286">
        <v>306636.435</v>
      </c>
      <c r="C10" s="287">
        <v>315030.31199999998</v>
      </c>
      <c r="D10" s="171">
        <f t="shared" si="0"/>
        <v>2.7</v>
      </c>
      <c r="E10" s="11">
        <f>IFERROR(100/'Skjema total MA'!C10*C10,0)</f>
        <v>1.7853452410127402</v>
      </c>
      <c r="F10" s="286">
        <v>2230641.253</v>
      </c>
      <c r="G10" s="287">
        <v>2937767.1239999998</v>
      </c>
      <c r="H10" s="171">
        <f t="shared" ref="H10" si="4">IF(F10=0, "    ---- ", IF(ABS(ROUND(100/F10*G10-100,1))&lt;999,ROUND(100/F10*G10-100,1),IF(ROUND(100/F10*G10-100,1)&gt;999,999,-999)))</f>
        <v>31.7</v>
      </c>
      <c r="I10" s="160">
        <f>IFERROR(100/'Skjema total MA'!F10*G10,0)</f>
        <v>4.5034174827074196</v>
      </c>
      <c r="J10" s="284">
        <f t="shared" si="2"/>
        <v>2537277.6880000001</v>
      </c>
      <c r="K10" s="285">
        <f t="shared" si="2"/>
        <v>3252797.4359999998</v>
      </c>
      <c r="L10" s="402">
        <f t="shared" si="3"/>
        <v>28.2</v>
      </c>
      <c r="M10" s="11">
        <f>IFERROR(100/'Skjema total MA'!I10*K10,0)</f>
        <v>3.924730225253811</v>
      </c>
    </row>
    <row r="11" spans="1:14" s="43" customFormat="1" ht="15.75" x14ac:dyDescent="0.2">
      <c r="A11" s="13" t="s">
        <v>342</v>
      </c>
      <c r="B11" s="286"/>
      <c r="C11" s="287"/>
      <c r="D11" s="171"/>
      <c r="E11" s="11"/>
      <c r="F11" s="286">
        <v>3221.884</v>
      </c>
      <c r="G11" s="287">
        <v>843.24300000000005</v>
      </c>
      <c r="H11" s="171">
        <f t="shared" si="1"/>
        <v>-73.8</v>
      </c>
      <c r="I11" s="160">
        <f>IFERROR(100/'Skjema total MA'!F11*G11,0)</f>
        <v>0.786260469095168</v>
      </c>
      <c r="J11" s="284">
        <f t="shared" si="2"/>
        <v>3221.884</v>
      </c>
      <c r="K11" s="285">
        <f t="shared" si="2"/>
        <v>843.24300000000005</v>
      </c>
      <c r="L11" s="402">
        <f t="shared" si="3"/>
        <v>-73.8</v>
      </c>
      <c r="M11" s="11">
        <f>IFERROR(100/'Skjema total MA'!I11*K11,0)</f>
        <v>0.72644337023609395</v>
      </c>
      <c r="N11" s="143"/>
    </row>
    <row r="12" spans="1:14" s="43" customFormat="1" ht="15.75" x14ac:dyDescent="0.2">
      <c r="A12" s="41" t="s">
        <v>343</v>
      </c>
      <c r="B12" s="288"/>
      <c r="C12" s="289"/>
      <c r="D12" s="169"/>
      <c r="E12" s="36"/>
      <c r="F12" s="288">
        <v>12037.379000000001</v>
      </c>
      <c r="G12" s="289">
        <v>6122.3879999999999</v>
      </c>
      <c r="H12" s="169">
        <f t="shared" si="1"/>
        <v>-49.1</v>
      </c>
      <c r="I12" s="169">
        <f>IFERROR(100/'Skjema total MA'!F12*G12,0)</f>
        <v>12.70721140907847</v>
      </c>
      <c r="J12" s="290">
        <f t="shared" si="2"/>
        <v>12037.379000000001</v>
      </c>
      <c r="K12" s="291">
        <f t="shared" si="2"/>
        <v>6122.3879999999999</v>
      </c>
      <c r="L12" s="403">
        <f t="shared" si="3"/>
        <v>-49.1</v>
      </c>
      <c r="M12" s="36">
        <f>IFERROR(100/'Skjema total MA'!I12*K12,0)</f>
        <v>11.846400193510467</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251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248</v>
      </c>
      <c r="B17" s="157"/>
      <c r="C17" s="157"/>
      <c r="D17" s="151"/>
      <c r="E17" s="151"/>
      <c r="F17" s="157"/>
      <c r="G17" s="157"/>
      <c r="H17" s="157"/>
      <c r="I17" s="157"/>
      <c r="J17" s="157"/>
      <c r="K17" s="157"/>
      <c r="L17" s="157"/>
      <c r="M17" s="157"/>
    </row>
    <row r="18" spans="1:14" ht="15.75" x14ac:dyDescent="0.25">
      <c r="B18" s="694"/>
      <c r="C18" s="694"/>
      <c r="D18" s="694"/>
      <c r="E18" s="380"/>
      <c r="F18" s="694"/>
      <c r="G18" s="694"/>
      <c r="H18" s="694"/>
      <c r="I18" s="380"/>
      <c r="J18" s="694"/>
      <c r="K18" s="694"/>
      <c r="L18" s="694"/>
      <c r="M18" s="380"/>
    </row>
    <row r="19" spans="1:14" x14ac:dyDescent="0.2">
      <c r="A19" s="144"/>
      <c r="B19" s="695" t="s">
        <v>0</v>
      </c>
      <c r="C19" s="696"/>
      <c r="D19" s="696"/>
      <c r="E19" s="379"/>
      <c r="F19" s="695" t="s">
        <v>1</v>
      </c>
      <c r="G19" s="696"/>
      <c r="H19" s="696"/>
      <c r="I19" s="382"/>
      <c r="J19" s="695" t="s">
        <v>2</v>
      </c>
      <c r="K19" s="696"/>
      <c r="L19" s="696"/>
      <c r="M19" s="382"/>
    </row>
    <row r="20" spans="1:14" x14ac:dyDescent="0.2">
      <c r="A20" s="140" t="s">
        <v>5</v>
      </c>
      <c r="B20" s="152" t="s">
        <v>412</v>
      </c>
      <c r="C20" s="152" t="s">
        <v>413</v>
      </c>
      <c r="D20" s="162" t="s">
        <v>3</v>
      </c>
      <c r="E20" s="281" t="s">
        <v>29</v>
      </c>
      <c r="F20" s="152" t="s">
        <v>412</v>
      </c>
      <c r="G20" s="152" t="s">
        <v>413</v>
      </c>
      <c r="H20" s="162" t="s">
        <v>3</v>
      </c>
      <c r="I20" s="162" t="s">
        <v>29</v>
      </c>
      <c r="J20" s="152" t="s">
        <v>412</v>
      </c>
      <c r="K20" s="152" t="s">
        <v>413</v>
      </c>
      <c r="L20" s="162" t="s">
        <v>3</v>
      </c>
      <c r="M20" s="162" t="s">
        <v>29</v>
      </c>
    </row>
    <row r="21" spans="1:14" x14ac:dyDescent="0.2">
      <c r="A21" s="662"/>
      <c r="B21" s="156"/>
      <c r="C21" s="156"/>
      <c r="D21" s="223" t="s">
        <v>4</v>
      </c>
      <c r="E21" s="390" t="s">
        <v>30</v>
      </c>
      <c r="F21" s="161"/>
      <c r="G21" s="161"/>
      <c r="H21" s="222" t="s">
        <v>4</v>
      </c>
      <c r="I21" s="156" t="s">
        <v>30</v>
      </c>
      <c r="J21" s="161"/>
      <c r="K21" s="161"/>
      <c r="L21" s="156" t="s">
        <v>4</v>
      </c>
      <c r="M21" s="156" t="s">
        <v>30</v>
      </c>
    </row>
    <row r="22" spans="1:14" ht="15.75" x14ac:dyDescent="0.2">
      <c r="A22" s="14" t="s">
        <v>23</v>
      </c>
      <c r="B22" s="286">
        <v>3590.0320000000002</v>
      </c>
      <c r="C22" s="286">
        <v>3540.9870000000001</v>
      </c>
      <c r="D22" s="326">
        <f t="shared" ref="D22:D29" si="5">IF(B22=0, "    ---- ", IF(ABS(ROUND(100/B22*C22-100,1))&lt;999,ROUND(100/B22*C22-100,1),IF(ROUND(100/B22*C22-100,1)&gt;999,999,-999)))</f>
        <v>-1.4</v>
      </c>
      <c r="E22" s="11">
        <f>IFERROR(100/'Skjema total MA'!C22*C22,0)</f>
        <v>0.519880569242685</v>
      </c>
      <c r="F22" s="294">
        <v>16713.358</v>
      </c>
      <c r="G22" s="294">
        <v>18361.129000000001</v>
      </c>
      <c r="H22" s="326">
        <f t="shared" ref="H22:H35" si="6">IF(F22=0, "    ---- ", IF(ABS(ROUND(100/F22*G22-100,1))&lt;999,ROUND(100/F22*G22-100,1),IF(ROUND(100/F22*G22-100,1)&gt;999,999,-999)))</f>
        <v>9.9</v>
      </c>
      <c r="I22" s="160">
        <f>IFERROR(100/'Skjema total MA'!F22*G22,0)</f>
        <v>4.3376187172526901</v>
      </c>
      <c r="J22" s="292">
        <f t="shared" ref="J22:J35" si="7">SUM(B22,F22)</f>
        <v>20303.39</v>
      </c>
      <c r="K22" s="292">
        <f t="shared" ref="K22:K35" si="8">SUM(C22,G22)</f>
        <v>21902.116000000002</v>
      </c>
      <c r="L22" s="401">
        <f t="shared" ref="L22:L35" si="9">IF(J22=0, "    ---- ", IF(ABS(ROUND(100/J22*K22-100,1))&lt;999,ROUND(100/J22*K22-100,1),IF(ROUND(100/J22*K22-100,1)&gt;999,999,-999)))</f>
        <v>7.9</v>
      </c>
      <c r="M22" s="24">
        <f>IFERROR(100/'Skjema total MA'!I22*K22,0)</f>
        <v>1.9831414509879579</v>
      </c>
    </row>
    <row r="23" spans="1:14" ht="15.75" x14ac:dyDescent="0.2">
      <c r="A23" s="545" t="s">
        <v>344</v>
      </c>
      <c r="B23" s="258"/>
      <c r="C23" s="258"/>
      <c r="D23" s="166"/>
      <c r="E23" s="11"/>
      <c r="F23" s="267">
        <v>1149.0899999999999</v>
      </c>
      <c r="G23" s="267">
        <v>1209.787</v>
      </c>
      <c r="H23" s="166">
        <f t="shared" si="6"/>
        <v>5.3</v>
      </c>
      <c r="I23" s="217">
        <f>IFERROR(100/'Skjema total MA'!F23*G23,0)</f>
        <v>1.797498857230942</v>
      </c>
      <c r="J23" s="267">
        <f t="shared" si="7"/>
        <v>1149.0899999999999</v>
      </c>
      <c r="K23" s="267">
        <f t="shared" si="8"/>
        <v>1209.787</v>
      </c>
      <c r="L23" s="166">
        <f t="shared" si="9"/>
        <v>5.3</v>
      </c>
      <c r="M23" s="23">
        <f>IFERROR(100/'Skjema total MA'!I23*K23,0)</f>
        <v>0.30174747747665381</v>
      </c>
    </row>
    <row r="24" spans="1:14" ht="15.75" x14ac:dyDescent="0.2">
      <c r="A24" s="545" t="s">
        <v>345</v>
      </c>
      <c r="B24" s="258"/>
      <c r="C24" s="258"/>
      <c r="D24" s="166"/>
      <c r="E24" s="11"/>
      <c r="F24" s="267"/>
      <c r="G24" s="267"/>
      <c r="H24" s="166"/>
      <c r="I24" s="217"/>
      <c r="J24" s="267"/>
      <c r="K24" s="267"/>
      <c r="L24" s="166"/>
      <c r="M24" s="23"/>
    </row>
    <row r="25" spans="1:14" ht="15.75" x14ac:dyDescent="0.2">
      <c r="A25" s="545" t="s">
        <v>346</v>
      </c>
      <c r="B25" s="258"/>
      <c r="C25" s="258"/>
      <c r="D25" s="166"/>
      <c r="E25" s="11"/>
      <c r="F25" s="267">
        <v>330.78199999999998</v>
      </c>
      <c r="G25" s="267">
        <v>353.63799999999998</v>
      </c>
      <c r="H25" s="166">
        <f t="shared" si="6"/>
        <v>6.9</v>
      </c>
      <c r="I25" s="217">
        <f>IFERROR(100/'Skjema total MA'!F25*G25,0)</f>
        <v>9.654914493801046</v>
      </c>
      <c r="J25" s="267">
        <f t="shared" si="7"/>
        <v>330.78199999999998</v>
      </c>
      <c r="K25" s="267">
        <f t="shared" si="8"/>
        <v>353.63799999999998</v>
      </c>
      <c r="L25" s="166">
        <f t="shared" si="9"/>
        <v>6.9</v>
      </c>
      <c r="M25" s="23">
        <f>IFERROR(100/'Skjema total MA'!I25*K25,0)</f>
        <v>2.6192728115805646</v>
      </c>
    </row>
    <row r="26" spans="1:14" ht="15.75" x14ac:dyDescent="0.2">
      <c r="A26" s="545" t="s">
        <v>347</v>
      </c>
      <c r="B26" s="258"/>
      <c r="C26" s="258"/>
      <c r="D26" s="166"/>
      <c r="E26" s="11"/>
      <c r="F26" s="267">
        <v>15233.486000000001</v>
      </c>
      <c r="G26" s="267">
        <v>16797.704000000002</v>
      </c>
      <c r="H26" s="166">
        <f t="shared" si="6"/>
        <v>10.3</v>
      </c>
      <c r="I26" s="217">
        <f>IFERROR(100/'Skjema total MA'!F26*G26,0)</f>
        <v>4.768213853897997</v>
      </c>
      <c r="J26" s="267">
        <f t="shared" si="7"/>
        <v>15233.486000000001</v>
      </c>
      <c r="K26" s="267">
        <f t="shared" si="8"/>
        <v>16797.704000000002</v>
      </c>
      <c r="L26" s="166">
        <f t="shared" si="9"/>
        <v>10.3</v>
      </c>
      <c r="M26" s="23">
        <f>IFERROR(100/'Skjema total MA'!I26*K26,0)</f>
        <v>4.768213853897997</v>
      </c>
    </row>
    <row r="27" spans="1:14" x14ac:dyDescent="0.2">
      <c r="A27" s="545" t="s">
        <v>11</v>
      </c>
      <c r="B27" s="258"/>
      <c r="C27" s="258"/>
      <c r="D27" s="166"/>
      <c r="E27" s="11"/>
      <c r="F27" s="267"/>
      <c r="G27" s="267"/>
      <c r="H27" s="166"/>
      <c r="I27" s="217"/>
      <c r="J27" s="267"/>
      <c r="K27" s="267"/>
      <c r="L27" s="166"/>
      <c r="M27" s="23"/>
    </row>
    <row r="28" spans="1:14" ht="15.75" x14ac:dyDescent="0.2">
      <c r="A28" s="49" t="s">
        <v>252</v>
      </c>
      <c r="B28" s="44">
        <v>3590.0320000000002</v>
      </c>
      <c r="C28" s="264">
        <v>3540.9870000000001</v>
      </c>
      <c r="D28" s="166">
        <f t="shared" si="5"/>
        <v>-1.4</v>
      </c>
      <c r="E28" s="11">
        <f>IFERROR(100/'Skjema total MA'!C28*C28,0)</f>
        <v>0.4867543184849954</v>
      </c>
      <c r="F28" s="211"/>
      <c r="G28" s="264"/>
      <c r="H28" s="166"/>
      <c r="I28" s="175"/>
      <c r="J28" s="44">
        <f t="shared" si="7"/>
        <v>3590.0320000000002</v>
      </c>
      <c r="K28" s="44">
        <f t="shared" si="8"/>
        <v>3540.9870000000001</v>
      </c>
      <c r="L28" s="231">
        <f t="shared" si="9"/>
        <v>-1.4</v>
      </c>
      <c r="M28" s="23">
        <f>IFERROR(100/'Skjema total MA'!I28*K28,0)</f>
        <v>0.4867543184849954</v>
      </c>
    </row>
    <row r="29" spans="1:14" s="3" customFormat="1" ht="15.75" x14ac:dyDescent="0.2">
      <c r="A29" s="13" t="s">
        <v>341</v>
      </c>
      <c r="B29" s="213">
        <v>110589.931</v>
      </c>
      <c r="C29" s="213">
        <v>130370.057</v>
      </c>
      <c r="D29" s="171">
        <f t="shared" si="5"/>
        <v>17.899999999999999</v>
      </c>
      <c r="E29" s="11">
        <f>IFERROR(100/'Skjema total MA'!C29*C29,0)</f>
        <v>0.28456334759608948</v>
      </c>
      <c r="F29" s="284">
        <v>1884242.946</v>
      </c>
      <c r="G29" s="284">
        <v>2218632.804</v>
      </c>
      <c r="H29" s="171">
        <f t="shared" si="6"/>
        <v>17.7</v>
      </c>
      <c r="I29" s="160">
        <f>IFERROR(100/'Skjema total MA'!F29*G29,0)</f>
        <v>8.7297273957761252</v>
      </c>
      <c r="J29" s="213">
        <f t="shared" si="7"/>
        <v>1994832.8770000001</v>
      </c>
      <c r="K29" s="213">
        <f t="shared" si="8"/>
        <v>2349002.861</v>
      </c>
      <c r="L29" s="402">
        <f t="shared" si="9"/>
        <v>17.8</v>
      </c>
      <c r="M29" s="24">
        <f>IFERROR(100/'Skjema total MA'!I29*K29,0)</f>
        <v>3.2978293140035078</v>
      </c>
      <c r="N29" s="148"/>
    </row>
    <row r="30" spans="1:14" s="3" customFormat="1" ht="15.75" x14ac:dyDescent="0.2">
      <c r="A30" s="545" t="s">
        <v>344</v>
      </c>
      <c r="B30" s="258"/>
      <c r="C30" s="258"/>
      <c r="D30" s="166"/>
      <c r="E30" s="11"/>
      <c r="F30" s="267">
        <v>545110.73600000003</v>
      </c>
      <c r="G30" s="267">
        <v>620876.43599999999</v>
      </c>
      <c r="H30" s="166">
        <f t="shared" si="6"/>
        <v>13.9</v>
      </c>
      <c r="I30" s="217">
        <f>IFERROR(100/'Skjema total MA'!F30*G30,0)</f>
        <v>13.450835226762326</v>
      </c>
      <c r="J30" s="267">
        <f t="shared" si="7"/>
        <v>545110.73600000003</v>
      </c>
      <c r="K30" s="267">
        <f t="shared" si="8"/>
        <v>620876.43599999999</v>
      </c>
      <c r="L30" s="166">
        <f t="shared" si="9"/>
        <v>13.9</v>
      </c>
      <c r="M30" s="23">
        <f>IFERROR(100/'Skjema total MA'!I30*K30,0)</f>
        <v>3.3875727964369076</v>
      </c>
      <c r="N30" s="148"/>
    </row>
    <row r="31" spans="1:14" s="3" customFormat="1" ht="15.75" x14ac:dyDescent="0.2">
      <c r="A31" s="545" t="s">
        <v>345</v>
      </c>
      <c r="B31" s="258"/>
      <c r="C31" s="258"/>
      <c r="D31" s="166"/>
      <c r="E31" s="11"/>
      <c r="F31" s="267">
        <v>1074830.503</v>
      </c>
      <c r="G31" s="267">
        <v>1185625.4480000001</v>
      </c>
      <c r="H31" s="166">
        <f t="shared" si="6"/>
        <v>10.3</v>
      </c>
      <c r="I31" s="217">
        <f>IFERROR(100/'Skjema total MA'!F31*G31,0)</f>
        <v>12.155904128186728</v>
      </c>
      <c r="J31" s="267">
        <f t="shared" si="7"/>
        <v>1074830.503</v>
      </c>
      <c r="K31" s="267">
        <f t="shared" si="8"/>
        <v>1185625.4480000001</v>
      </c>
      <c r="L31" s="166">
        <f t="shared" si="9"/>
        <v>10.3</v>
      </c>
      <c r="M31" s="23">
        <f>IFERROR(100/'Skjema total MA'!I31*K31,0)</f>
        <v>3.6000099639126435</v>
      </c>
      <c r="N31" s="148"/>
    </row>
    <row r="32" spans="1:14" ht="15.75" x14ac:dyDescent="0.2">
      <c r="A32" s="545" t="s">
        <v>346</v>
      </c>
      <c r="B32" s="258"/>
      <c r="C32" s="258"/>
      <c r="D32" s="166"/>
      <c r="E32" s="11"/>
      <c r="F32" s="267">
        <v>71910.05</v>
      </c>
      <c r="G32" s="267">
        <v>92727.217000000004</v>
      </c>
      <c r="H32" s="166">
        <f t="shared" si="6"/>
        <v>28.9</v>
      </c>
      <c r="I32" s="217">
        <f>IFERROR(100/'Skjema total MA'!F32*G32,0)</f>
        <v>1.7024016216883038</v>
      </c>
      <c r="J32" s="267">
        <f t="shared" si="7"/>
        <v>71910.05</v>
      </c>
      <c r="K32" s="267">
        <f t="shared" si="8"/>
        <v>92727.217000000004</v>
      </c>
      <c r="L32" s="166">
        <f t="shared" si="9"/>
        <v>28.9</v>
      </c>
      <c r="M32" s="23">
        <f>IFERROR(100/'Skjema total MA'!I32*K32,0)</f>
        <v>1.104518370752366</v>
      </c>
    </row>
    <row r="33" spans="1:14" ht="15.75" x14ac:dyDescent="0.2">
      <c r="A33" s="545" t="s">
        <v>347</v>
      </c>
      <c r="B33" s="258"/>
      <c r="C33" s="258"/>
      <c r="D33" s="166"/>
      <c r="E33" s="11"/>
      <c r="F33" s="267">
        <v>192391.65700000001</v>
      </c>
      <c r="G33" s="267">
        <v>319403.70299999998</v>
      </c>
      <c r="H33" s="166">
        <f t="shared" si="6"/>
        <v>66</v>
      </c>
      <c r="I33" s="217">
        <f>IFERROR(100/'Skjema total MA'!F34*G33,0)</f>
        <v>-1238.0425574978265</v>
      </c>
      <c r="J33" s="267">
        <f t="shared" si="7"/>
        <v>192391.65700000001</v>
      </c>
      <c r="K33" s="267">
        <f t="shared" si="8"/>
        <v>319403.70299999998</v>
      </c>
      <c r="L33" s="166">
        <f t="shared" si="9"/>
        <v>66</v>
      </c>
      <c r="M33" s="23">
        <f>IFERROR(100/'Skjema total MA'!I34*K33,0)</f>
        <v>-1495.3890251443208</v>
      </c>
    </row>
    <row r="34" spans="1:14" ht="15.75" x14ac:dyDescent="0.2">
      <c r="A34" s="13" t="s">
        <v>342</v>
      </c>
      <c r="B34" s="213"/>
      <c r="C34" s="285"/>
      <c r="D34" s="171"/>
      <c r="E34" s="11"/>
      <c r="F34" s="284">
        <v>5030.5029999999997</v>
      </c>
      <c r="G34" s="285">
        <v>1694.5909999999999</v>
      </c>
      <c r="H34" s="171">
        <f t="shared" si="6"/>
        <v>-66.3</v>
      </c>
      <c r="I34" s="160">
        <f>IFERROR(100/'Skjema total MA'!F34*G34,0)</f>
        <v>-6.5684140661099324</v>
      </c>
      <c r="J34" s="213">
        <f t="shared" si="7"/>
        <v>5030.5029999999997</v>
      </c>
      <c r="K34" s="213">
        <f t="shared" si="8"/>
        <v>1694.5909999999999</v>
      </c>
      <c r="L34" s="402">
        <f t="shared" si="9"/>
        <v>-66.3</v>
      </c>
      <c r="M34" s="24">
        <f>IFERROR(100/'Skjema total MA'!I34*K34,0)</f>
        <v>-7.9337614426728793</v>
      </c>
    </row>
    <row r="35" spans="1:14" ht="15.75" x14ac:dyDescent="0.2">
      <c r="A35" s="13" t="s">
        <v>343</v>
      </c>
      <c r="B35" s="213"/>
      <c r="C35" s="285"/>
      <c r="D35" s="171"/>
      <c r="E35" s="11"/>
      <c r="F35" s="284">
        <v>6023.3130000000001</v>
      </c>
      <c r="G35" s="285">
        <v>6915.4030000000002</v>
      </c>
      <c r="H35" s="171">
        <f t="shared" si="6"/>
        <v>14.8</v>
      </c>
      <c r="I35" s="160">
        <f>IFERROR(100/'Skjema total MA'!F35*G35,0)</f>
        <v>11.456090447340456</v>
      </c>
      <c r="J35" s="213">
        <f t="shared" si="7"/>
        <v>6023.3130000000001</v>
      </c>
      <c r="K35" s="213">
        <f t="shared" si="8"/>
        <v>6915.4030000000002</v>
      </c>
      <c r="L35" s="402">
        <f t="shared" si="9"/>
        <v>14.8</v>
      </c>
      <c r="M35" s="24">
        <f>IFERROR(100/'Skjema total MA'!I35*K35,0)</f>
        <v>79.241124872392177</v>
      </c>
    </row>
    <row r="36" spans="1:14" ht="15.75" x14ac:dyDescent="0.2">
      <c r="A36" s="12" t="s">
        <v>260</v>
      </c>
      <c r="B36" s="213"/>
      <c r="C36" s="285"/>
      <c r="D36" s="171"/>
      <c r="E36" s="11"/>
      <c r="F36" s="295"/>
      <c r="G36" s="296"/>
      <c r="H36" s="171"/>
      <c r="I36" s="404"/>
      <c r="J36" s="213"/>
      <c r="K36" s="213"/>
      <c r="L36" s="402"/>
      <c r="M36" s="24"/>
    </row>
    <row r="37" spans="1:14" ht="15.75" x14ac:dyDescent="0.2">
      <c r="A37" s="12" t="s">
        <v>349</v>
      </c>
      <c r="B37" s="213"/>
      <c r="C37" s="285"/>
      <c r="D37" s="171"/>
      <c r="E37" s="11"/>
      <c r="F37" s="295"/>
      <c r="G37" s="297"/>
      <c r="H37" s="171"/>
      <c r="I37" s="404"/>
      <c r="J37" s="213"/>
      <c r="K37" s="213"/>
      <c r="L37" s="402"/>
      <c r="M37" s="24"/>
    </row>
    <row r="38" spans="1:14" ht="15.75" x14ac:dyDescent="0.2">
      <c r="A38" s="12" t="s">
        <v>350</v>
      </c>
      <c r="B38" s="213"/>
      <c r="C38" s="285"/>
      <c r="D38" s="171"/>
      <c r="E38" s="24"/>
      <c r="F38" s="295"/>
      <c r="G38" s="296"/>
      <c r="H38" s="171"/>
      <c r="I38" s="404"/>
      <c r="J38" s="213"/>
      <c r="K38" s="213"/>
      <c r="L38" s="402"/>
      <c r="M38" s="24"/>
    </row>
    <row r="39" spans="1:14" ht="15.75" x14ac:dyDescent="0.2">
      <c r="A39" s="18" t="s">
        <v>351</v>
      </c>
      <c r="B39" s="253"/>
      <c r="C39" s="291"/>
      <c r="D39" s="169"/>
      <c r="E39" s="36"/>
      <c r="F39" s="298"/>
      <c r="G39" s="299"/>
      <c r="H39" s="169"/>
      <c r="I39" s="169"/>
      <c r="J39" s="213"/>
      <c r="K39" s="213"/>
      <c r="L39" s="403"/>
      <c r="M39" s="36"/>
    </row>
    <row r="40" spans="1:14" ht="15.75" x14ac:dyDescent="0.25">
      <c r="A40" s="47"/>
      <c r="B40" s="230"/>
      <c r="C40" s="230"/>
      <c r="D40" s="698"/>
      <c r="E40" s="698"/>
      <c r="F40" s="698"/>
      <c r="G40" s="698"/>
      <c r="H40" s="698"/>
      <c r="I40" s="698"/>
      <c r="J40" s="698"/>
      <c r="K40" s="698"/>
      <c r="L40" s="698"/>
      <c r="M40" s="381"/>
    </row>
    <row r="41" spans="1:14" x14ac:dyDescent="0.2">
      <c r="A41" s="155"/>
    </row>
    <row r="42" spans="1:14" ht="15.75" x14ac:dyDescent="0.25">
      <c r="A42" s="147" t="s">
        <v>249</v>
      </c>
      <c r="B42" s="699"/>
      <c r="C42" s="699"/>
      <c r="D42" s="699"/>
      <c r="E42" s="380"/>
      <c r="F42" s="700"/>
      <c r="G42" s="700"/>
      <c r="H42" s="700"/>
      <c r="I42" s="381"/>
      <c r="J42" s="700"/>
      <c r="K42" s="700"/>
      <c r="L42" s="700"/>
      <c r="M42" s="381"/>
    </row>
    <row r="43" spans="1:14" ht="15.75" x14ac:dyDescent="0.25">
      <c r="A43" s="163"/>
      <c r="B43" s="377"/>
      <c r="C43" s="377"/>
      <c r="D43" s="377"/>
      <c r="E43" s="377"/>
      <c r="F43" s="381"/>
      <c r="G43" s="381"/>
      <c r="H43" s="381"/>
      <c r="I43" s="381"/>
      <c r="J43" s="381"/>
      <c r="K43" s="381"/>
      <c r="L43" s="381"/>
      <c r="M43" s="381"/>
    </row>
    <row r="44" spans="1:14" ht="15.75" x14ac:dyDescent="0.25">
      <c r="A44" s="224"/>
      <c r="B44" s="695" t="s">
        <v>0</v>
      </c>
      <c r="C44" s="696"/>
      <c r="D44" s="696"/>
      <c r="E44" s="220"/>
      <c r="F44" s="381"/>
      <c r="G44" s="381"/>
      <c r="H44" s="381"/>
      <c r="I44" s="381"/>
      <c r="J44" s="381"/>
      <c r="K44" s="381"/>
      <c r="L44" s="381"/>
      <c r="M44" s="381"/>
    </row>
    <row r="45" spans="1:14" s="3" customFormat="1" x14ac:dyDescent="0.2">
      <c r="A45" s="140"/>
      <c r="B45" s="152" t="s">
        <v>412</v>
      </c>
      <c r="C45" s="152" t="s">
        <v>413</v>
      </c>
      <c r="D45" s="162" t="s">
        <v>3</v>
      </c>
      <c r="E45" s="162" t="s">
        <v>29</v>
      </c>
      <c r="F45" s="174"/>
      <c r="G45" s="174"/>
      <c r="H45" s="173"/>
      <c r="I45" s="173"/>
      <c r="J45" s="174"/>
      <c r="K45" s="174"/>
      <c r="L45" s="173"/>
      <c r="M45" s="173"/>
      <c r="N45" s="148"/>
    </row>
    <row r="46" spans="1:14" s="3" customFormat="1" x14ac:dyDescent="0.2">
      <c r="A46" s="662"/>
      <c r="B46" s="221"/>
      <c r="C46" s="221"/>
      <c r="D46" s="222" t="s">
        <v>4</v>
      </c>
      <c r="E46" s="156" t="s">
        <v>30</v>
      </c>
      <c r="F46" s="173"/>
      <c r="G46" s="173"/>
      <c r="H46" s="173"/>
      <c r="I46" s="173"/>
      <c r="J46" s="173"/>
      <c r="K46" s="173"/>
      <c r="L46" s="173"/>
      <c r="M46" s="173"/>
      <c r="N46" s="148"/>
    </row>
    <row r="47" spans="1:14" s="3" customFormat="1" ht="15.75" x14ac:dyDescent="0.2">
      <c r="A47" s="14" t="s">
        <v>23</v>
      </c>
      <c r="B47" s="286">
        <v>2540.1889999999999</v>
      </c>
      <c r="C47" s="287">
        <v>2408.3110000000001</v>
      </c>
      <c r="D47" s="401">
        <f t="shared" ref="D47:D48" si="10">IF(B47=0, "    ---- ", IF(ABS(ROUND(100/B47*C47-100,1))&lt;999,ROUND(100/B47*C47-100,1),IF(ROUND(100/B47*C47-100,1)&gt;999,999,-999)))</f>
        <v>-5.2</v>
      </c>
      <c r="E47" s="11">
        <f>IFERROR(100/'Skjema total MA'!C47*C47,0)</f>
        <v>7.6126375246289166E-2</v>
      </c>
      <c r="F47" s="145"/>
      <c r="G47" s="33"/>
      <c r="H47" s="159"/>
      <c r="I47" s="159"/>
      <c r="J47" s="37"/>
      <c r="K47" s="37"/>
      <c r="L47" s="159"/>
      <c r="M47" s="159"/>
      <c r="N47" s="148"/>
    </row>
    <row r="48" spans="1:14" s="3" customFormat="1" ht="15.75" x14ac:dyDescent="0.2">
      <c r="A48" s="38" t="s">
        <v>352</v>
      </c>
      <c r="B48" s="258">
        <v>2540.1889999999999</v>
      </c>
      <c r="C48" s="259">
        <v>2408.3110000000001</v>
      </c>
      <c r="D48" s="231">
        <f t="shared" si="10"/>
        <v>-5.2</v>
      </c>
      <c r="E48" s="27">
        <f>IFERROR(100/'Skjema total MA'!C48*C48,0)</f>
        <v>0.14040412091255206</v>
      </c>
      <c r="F48" s="145"/>
      <c r="G48" s="33"/>
      <c r="H48" s="145"/>
      <c r="I48" s="145"/>
      <c r="J48" s="33"/>
      <c r="K48" s="33"/>
      <c r="L48" s="159"/>
      <c r="M48" s="159"/>
      <c r="N48" s="148"/>
    </row>
    <row r="49" spans="1:14" s="3" customFormat="1" ht="15.75" x14ac:dyDescent="0.2">
      <c r="A49" s="38" t="s">
        <v>353</v>
      </c>
      <c r="B49" s="44"/>
      <c r="C49" s="264"/>
      <c r="D49" s="231"/>
      <c r="E49" s="27"/>
      <c r="F49" s="145"/>
      <c r="G49" s="33"/>
      <c r="H49" s="145"/>
      <c r="I49" s="145"/>
      <c r="J49" s="37"/>
      <c r="K49" s="37"/>
      <c r="L49" s="159"/>
      <c r="M49" s="159"/>
      <c r="N49" s="148"/>
    </row>
    <row r="50" spans="1:14" s="3" customFormat="1" x14ac:dyDescent="0.2">
      <c r="A50" s="272" t="s">
        <v>6</v>
      </c>
      <c r="B50" s="295"/>
      <c r="C50" s="295"/>
      <c r="D50" s="231"/>
      <c r="E50" s="23"/>
      <c r="F50" s="145"/>
      <c r="G50" s="33"/>
      <c r="H50" s="145"/>
      <c r="I50" s="145"/>
      <c r="J50" s="33"/>
      <c r="K50" s="33"/>
      <c r="L50" s="159"/>
      <c r="M50" s="159"/>
      <c r="N50" s="148"/>
    </row>
    <row r="51" spans="1:14" s="3" customFormat="1" x14ac:dyDescent="0.2">
      <c r="A51" s="272" t="s">
        <v>7</v>
      </c>
      <c r="B51" s="295"/>
      <c r="C51" s="295"/>
      <c r="D51" s="231"/>
      <c r="E51" s="23"/>
      <c r="F51" s="145"/>
      <c r="G51" s="33"/>
      <c r="H51" s="145"/>
      <c r="I51" s="145"/>
      <c r="J51" s="33"/>
      <c r="K51" s="33"/>
      <c r="L51" s="159"/>
      <c r="M51" s="159"/>
      <c r="N51" s="148"/>
    </row>
    <row r="52" spans="1:14" s="3" customFormat="1" x14ac:dyDescent="0.2">
      <c r="A52" s="272" t="s">
        <v>8</v>
      </c>
      <c r="B52" s="295"/>
      <c r="C52" s="295"/>
      <c r="D52" s="231"/>
      <c r="E52" s="23"/>
      <c r="F52" s="145"/>
      <c r="G52" s="33"/>
      <c r="H52" s="145"/>
      <c r="I52" s="145"/>
      <c r="J52" s="33"/>
      <c r="K52" s="33"/>
      <c r="L52" s="159"/>
      <c r="M52" s="159"/>
      <c r="N52" s="148"/>
    </row>
    <row r="53" spans="1:14" s="3" customFormat="1" ht="15.75" x14ac:dyDescent="0.2">
      <c r="A53" s="39" t="s">
        <v>354</v>
      </c>
      <c r="B53" s="286"/>
      <c r="C53" s="287"/>
      <c r="D53" s="402"/>
      <c r="E53" s="11"/>
      <c r="F53" s="145"/>
      <c r="G53" s="33"/>
      <c r="H53" s="145"/>
      <c r="I53" s="145"/>
      <c r="J53" s="33"/>
      <c r="K53" s="33"/>
      <c r="L53" s="159"/>
      <c r="M53" s="159"/>
      <c r="N53" s="148"/>
    </row>
    <row r="54" spans="1:14" s="3" customFormat="1" ht="15.75" x14ac:dyDescent="0.2">
      <c r="A54" s="38" t="s">
        <v>352</v>
      </c>
      <c r="B54" s="258"/>
      <c r="C54" s="259"/>
      <c r="D54" s="231"/>
      <c r="E54" s="27"/>
      <c r="F54" s="145"/>
      <c r="G54" s="33"/>
      <c r="H54" s="145"/>
      <c r="I54" s="145"/>
      <c r="J54" s="33"/>
      <c r="K54" s="33"/>
      <c r="L54" s="159"/>
      <c r="M54" s="159"/>
      <c r="N54" s="148"/>
    </row>
    <row r="55" spans="1:14" s="3" customFormat="1" ht="15.75" x14ac:dyDescent="0.2">
      <c r="A55" s="38" t="s">
        <v>353</v>
      </c>
      <c r="B55" s="258"/>
      <c r="C55" s="259"/>
      <c r="D55" s="231"/>
      <c r="E55" s="27"/>
      <c r="F55" s="145"/>
      <c r="G55" s="33"/>
      <c r="H55" s="145"/>
      <c r="I55" s="145"/>
      <c r="J55" s="33"/>
      <c r="K55" s="33"/>
      <c r="L55" s="159"/>
      <c r="M55" s="159"/>
      <c r="N55" s="148"/>
    </row>
    <row r="56" spans="1:14" s="3" customFormat="1" ht="15.75" x14ac:dyDescent="0.2">
      <c r="A56" s="39" t="s">
        <v>355</v>
      </c>
      <c r="B56" s="286"/>
      <c r="C56" s="287"/>
      <c r="D56" s="402"/>
      <c r="E56" s="11"/>
      <c r="F56" s="145"/>
      <c r="G56" s="33"/>
      <c r="H56" s="145"/>
      <c r="I56" s="145"/>
      <c r="J56" s="33"/>
      <c r="K56" s="33"/>
      <c r="L56" s="159"/>
      <c r="M56" s="159"/>
      <c r="N56" s="148"/>
    </row>
    <row r="57" spans="1:14" s="3" customFormat="1" ht="15.75" x14ac:dyDescent="0.2">
      <c r="A57" s="38" t="s">
        <v>352</v>
      </c>
      <c r="B57" s="258"/>
      <c r="C57" s="259"/>
      <c r="D57" s="231"/>
      <c r="E57" s="27"/>
      <c r="F57" s="145"/>
      <c r="G57" s="33"/>
      <c r="H57" s="145"/>
      <c r="I57" s="145"/>
      <c r="J57" s="33"/>
      <c r="K57" s="33"/>
      <c r="L57" s="159"/>
      <c r="M57" s="159"/>
      <c r="N57" s="148"/>
    </row>
    <row r="58" spans="1:14" s="3" customFormat="1" ht="15.75" x14ac:dyDescent="0.2">
      <c r="A58" s="46" t="s">
        <v>353</v>
      </c>
      <c r="B58" s="260"/>
      <c r="C58" s="261"/>
      <c r="D58" s="232"/>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250</v>
      </c>
      <c r="C61" s="26"/>
      <c r="D61" s="26"/>
      <c r="E61" s="26"/>
      <c r="F61" s="26"/>
      <c r="G61" s="26"/>
      <c r="H61" s="26"/>
      <c r="I61" s="26"/>
      <c r="J61" s="26"/>
      <c r="K61" s="26"/>
      <c r="L61" s="26"/>
      <c r="M61" s="26"/>
    </row>
    <row r="62" spans="1:14" ht="15.75" x14ac:dyDescent="0.25">
      <c r="B62" s="694"/>
      <c r="C62" s="694"/>
      <c r="D62" s="694"/>
      <c r="E62" s="380"/>
      <c r="F62" s="694"/>
      <c r="G62" s="694"/>
      <c r="H62" s="694"/>
      <c r="I62" s="380"/>
      <c r="J62" s="694"/>
      <c r="K62" s="694"/>
      <c r="L62" s="694"/>
      <c r="M62" s="380"/>
    </row>
    <row r="63" spans="1:14" x14ac:dyDescent="0.2">
      <c r="A63" s="144"/>
      <c r="B63" s="695" t="s">
        <v>0</v>
      </c>
      <c r="C63" s="696"/>
      <c r="D63" s="697"/>
      <c r="E63" s="378"/>
      <c r="F63" s="696" t="s">
        <v>1</v>
      </c>
      <c r="G63" s="696"/>
      <c r="H63" s="696"/>
      <c r="I63" s="382"/>
      <c r="J63" s="695" t="s">
        <v>2</v>
      </c>
      <c r="K63" s="696"/>
      <c r="L63" s="696"/>
      <c r="M63" s="382"/>
    </row>
    <row r="64" spans="1:14" x14ac:dyDescent="0.2">
      <c r="A64" s="140"/>
      <c r="B64" s="152" t="s">
        <v>412</v>
      </c>
      <c r="C64" s="152" t="s">
        <v>413</v>
      </c>
      <c r="D64" s="222" t="s">
        <v>3</v>
      </c>
      <c r="E64" s="281" t="s">
        <v>29</v>
      </c>
      <c r="F64" s="152" t="s">
        <v>412</v>
      </c>
      <c r="G64" s="152" t="s">
        <v>413</v>
      </c>
      <c r="H64" s="222" t="s">
        <v>3</v>
      </c>
      <c r="I64" s="281" t="s">
        <v>29</v>
      </c>
      <c r="J64" s="152" t="s">
        <v>412</v>
      </c>
      <c r="K64" s="152" t="s">
        <v>413</v>
      </c>
      <c r="L64" s="222" t="s">
        <v>3</v>
      </c>
      <c r="M64" s="162" t="s">
        <v>29</v>
      </c>
    </row>
    <row r="65" spans="1:14" x14ac:dyDescent="0.2">
      <c r="A65" s="662"/>
      <c r="B65" s="156"/>
      <c r="C65" s="156"/>
      <c r="D65" s="223" t="s">
        <v>4</v>
      </c>
      <c r="E65" s="156" t="s">
        <v>30</v>
      </c>
      <c r="F65" s="161"/>
      <c r="G65" s="161"/>
      <c r="H65" s="222" t="s">
        <v>4</v>
      </c>
      <c r="I65" s="156" t="s">
        <v>30</v>
      </c>
      <c r="J65" s="161"/>
      <c r="K65" s="203"/>
      <c r="L65" s="156" t="s">
        <v>4</v>
      </c>
      <c r="M65" s="156" t="s">
        <v>30</v>
      </c>
    </row>
    <row r="66" spans="1:14" ht="15.75" x14ac:dyDescent="0.2">
      <c r="A66" s="14" t="s">
        <v>23</v>
      </c>
      <c r="B66" s="329">
        <v>33834.205000000002</v>
      </c>
      <c r="C66" s="329">
        <v>35123.887000000002</v>
      </c>
      <c r="D66" s="326">
        <f t="shared" ref="D66:D121" si="11">IF(B66=0, "    ---- ", IF(ABS(ROUND(100/B66*C66-100,1))&lt;999,ROUND(100/B66*C66-100,1),IF(ROUND(100/B66*C66-100,1)&gt;999,999,-999)))</f>
        <v>3.8</v>
      </c>
      <c r="E66" s="672">
        <f>IFERROR(100/'Skjema total MA'!C66*C66,0)</f>
        <v>1.1255914379063272</v>
      </c>
      <c r="F66" s="328">
        <v>464156.87300000002</v>
      </c>
      <c r="G66" s="328">
        <v>509055.53499999997</v>
      </c>
      <c r="H66" s="326">
        <f t="shared" ref="H66:H126" si="12">IF(F66=0, "    ---- ", IF(ABS(ROUND(100/F66*G66-100,1))&lt;999,ROUND(100/F66*G66-100,1),IF(ROUND(100/F66*G66-100,1)&gt;999,999,-999)))</f>
        <v>9.6999999999999993</v>
      </c>
      <c r="I66" s="672">
        <f>IFERROR(100/'Skjema total MA'!F66*G66,0)</f>
        <v>5.3416208406388801</v>
      </c>
      <c r="J66" s="159">
        <f t="shared" ref="J66:K68" si="13">SUM(B66,F66)</f>
        <v>497991.07800000004</v>
      </c>
      <c r="K66" s="292">
        <f t="shared" si="13"/>
        <v>544179.42200000002</v>
      </c>
      <c r="L66" s="402">
        <f t="shared" ref="L66:L126" si="14">IF(J66=0, "    ---- ", IF(ABS(ROUND(100/J66*K66-100,1))&lt;999,ROUND(100/J66*K66-100,1),IF(ROUND(100/J66*K66-100,1)&gt;999,999,-999)))</f>
        <v>9.3000000000000007</v>
      </c>
      <c r="M66" s="11">
        <f>IFERROR(100/'Skjema total MA'!I66*K66,0)</f>
        <v>4.3016553697638562</v>
      </c>
    </row>
    <row r="67" spans="1:14" x14ac:dyDescent="0.2">
      <c r="A67" s="21" t="s">
        <v>9</v>
      </c>
      <c r="B67" s="44">
        <v>33834.205000000002</v>
      </c>
      <c r="C67" s="145">
        <v>35123.887000000002</v>
      </c>
      <c r="D67" s="166">
        <f t="shared" si="11"/>
        <v>3.8</v>
      </c>
      <c r="E67" s="23">
        <f>IFERROR(100/'Skjema total MA'!C67*C67,0)</f>
        <v>1.4498851058425992</v>
      </c>
      <c r="F67" s="211"/>
      <c r="G67" s="145"/>
      <c r="H67" s="166"/>
      <c r="I67" s="23"/>
      <c r="J67" s="145">
        <f t="shared" si="13"/>
        <v>33834.205000000002</v>
      </c>
      <c r="K67" s="44">
        <f t="shared" si="13"/>
        <v>35123.887000000002</v>
      </c>
      <c r="L67" s="231">
        <f t="shared" si="14"/>
        <v>3.8</v>
      </c>
      <c r="M67" s="27">
        <f>IFERROR(100/'Skjema total MA'!I67*K67,0)</f>
        <v>1.4498851058425992</v>
      </c>
    </row>
    <row r="68" spans="1:14" x14ac:dyDescent="0.2">
      <c r="A68" s="21" t="s">
        <v>10</v>
      </c>
      <c r="B68" s="268"/>
      <c r="C68" s="269"/>
      <c r="D68" s="166"/>
      <c r="E68" s="23"/>
      <c r="F68" s="268">
        <v>464156.87300000002</v>
      </c>
      <c r="G68" s="269">
        <v>509055.53499999997</v>
      </c>
      <c r="H68" s="166">
        <f t="shared" si="12"/>
        <v>9.6999999999999993</v>
      </c>
      <c r="I68" s="23">
        <f>IFERROR(100/'Skjema total MA'!F68*G68,0)</f>
        <v>5.5581976655648768</v>
      </c>
      <c r="J68" s="145">
        <f t="shared" si="13"/>
        <v>464156.87300000002</v>
      </c>
      <c r="K68" s="44">
        <f t="shared" si="13"/>
        <v>509055.53499999997</v>
      </c>
      <c r="L68" s="231">
        <f t="shared" si="14"/>
        <v>9.6999999999999993</v>
      </c>
      <c r="M68" s="27">
        <f>IFERROR(100/'Skjema total MA'!I68*K68,0)</f>
        <v>5.5498322849842161</v>
      </c>
    </row>
    <row r="69" spans="1:14" ht="15.75" x14ac:dyDescent="0.2">
      <c r="A69" s="272" t="s">
        <v>356</v>
      </c>
      <c r="B69" s="295"/>
      <c r="C69" s="295"/>
      <c r="D69" s="166"/>
      <c r="E69" s="23"/>
      <c r="F69" s="295"/>
      <c r="G69" s="295"/>
      <c r="H69" s="166"/>
      <c r="I69" s="23"/>
      <c r="J69" s="295"/>
      <c r="K69" s="295"/>
      <c r="L69" s="166"/>
      <c r="M69" s="23"/>
    </row>
    <row r="70" spans="1:14" x14ac:dyDescent="0.2">
      <c r="A70" s="272" t="s">
        <v>12</v>
      </c>
      <c r="B70" s="270"/>
      <c r="C70" s="271"/>
      <c r="D70" s="166"/>
      <c r="E70" s="23"/>
      <c r="F70" s="270"/>
      <c r="G70" s="271"/>
      <c r="H70" s="166"/>
      <c r="I70" s="23"/>
      <c r="J70" s="270"/>
      <c r="K70" s="271"/>
      <c r="L70" s="166"/>
      <c r="M70" s="23"/>
    </row>
    <row r="71" spans="1:14" x14ac:dyDescent="0.2">
      <c r="A71" s="272" t="s">
        <v>13</v>
      </c>
      <c r="B71" s="212"/>
      <c r="C71" s="266"/>
      <c r="D71" s="166"/>
      <c r="E71" s="23"/>
      <c r="F71" s="212"/>
      <c r="G71" s="266"/>
      <c r="H71" s="166"/>
      <c r="I71" s="23"/>
      <c r="J71" s="212"/>
      <c r="K71" s="266"/>
      <c r="L71" s="166"/>
      <c r="M71" s="23"/>
    </row>
    <row r="72" spans="1:14" ht="15.75" x14ac:dyDescent="0.2">
      <c r="A72" s="272" t="s">
        <v>357</v>
      </c>
      <c r="B72" s="295"/>
      <c r="C72" s="295"/>
      <c r="D72" s="166"/>
      <c r="E72" s="23"/>
      <c r="F72" s="295"/>
      <c r="G72" s="295"/>
      <c r="H72" s="166"/>
      <c r="I72" s="23"/>
      <c r="J72" s="295"/>
      <c r="K72" s="295"/>
      <c r="L72" s="166"/>
      <c r="M72" s="23"/>
    </row>
    <row r="73" spans="1:14" x14ac:dyDescent="0.2">
      <c r="A73" s="272" t="s">
        <v>12</v>
      </c>
      <c r="B73" s="212"/>
      <c r="C73" s="266"/>
      <c r="D73" s="166"/>
      <c r="E73" s="23"/>
      <c r="F73" s="212"/>
      <c r="G73" s="266"/>
      <c r="H73" s="166"/>
      <c r="I73" s="23"/>
      <c r="J73" s="212"/>
      <c r="K73" s="266"/>
      <c r="L73" s="166"/>
      <c r="M73" s="23"/>
    </row>
    <row r="74" spans="1:14" s="3" customFormat="1" x14ac:dyDescent="0.2">
      <c r="A74" s="272" t="s">
        <v>13</v>
      </c>
      <c r="B74" s="212"/>
      <c r="C74" s="266"/>
      <c r="D74" s="166"/>
      <c r="E74" s="23"/>
      <c r="F74" s="212"/>
      <c r="G74" s="266"/>
      <c r="H74" s="166"/>
      <c r="I74" s="23"/>
      <c r="J74" s="212"/>
      <c r="K74" s="266"/>
      <c r="L74" s="166"/>
      <c r="M74" s="23"/>
      <c r="N74" s="148"/>
    </row>
    <row r="75" spans="1:14" s="3" customFormat="1" x14ac:dyDescent="0.2">
      <c r="A75" s="21" t="s">
        <v>326</v>
      </c>
      <c r="B75" s="211"/>
      <c r="C75" s="145"/>
      <c r="D75" s="166"/>
      <c r="E75" s="23"/>
      <c r="F75" s="211"/>
      <c r="G75" s="145"/>
      <c r="H75" s="166"/>
      <c r="I75" s="23"/>
      <c r="J75" s="145"/>
      <c r="K75" s="44"/>
      <c r="L75" s="231"/>
      <c r="M75" s="27"/>
      <c r="N75" s="148"/>
    </row>
    <row r="76" spans="1:14" s="3" customFormat="1" x14ac:dyDescent="0.2">
      <c r="A76" s="21" t="s">
        <v>325</v>
      </c>
      <c r="B76" s="211"/>
      <c r="C76" s="145"/>
      <c r="D76" s="166"/>
      <c r="E76" s="23"/>
      <c r="F76" s="211"/>
      <c r="G76" s="145"/>
      <c r="H76" s="166"/>
      <c r="I76" s="23"/>
      <c r="J76" s="145"/>
      <c r="K76" s="44"/>
      <c r="L76" s="231"/>
      <c r="M76" s="27"/>
      <c r="N76" s="148"/>
    </row>
    <row r="77" spans="1:14" ht="15.75" x14ac:dyDescent="0.2">
      <c r="A77" s="21" t="s">
        <v>358</v>
      </c>
      <c r="B77" s="211">
        <v>33834.205000000002</v>
      </c>
      <c r="C77" s="211">
        <v>35123.887000000002</v>
      </c>
      <c r="D77" s="166">
        <f t="shared" si="11"/>
        <v>3.8</v>
      </c>
      <c r="E77" s="23">
        <f>IFERROR(100/'Skjema total MA'!C77*C77,0)</f>
        <v>1.4974344106948687</v>
      </c>
      <c r="F77" s="211">
        <v>464156.87300000002</v>
      </c>
      <c r="G77" s="145">
        <v>509055.53499999997</v>
      </c>
      <c r="H77" s="166">
        <f t="shared" si="12"/>
        <v>9.6999999999999993</v>
      </c>
      <c r="I77" s="23">
        <f>IFERROR(100/'Skjema total MA'!F77*G77,0)</f>
        <v>5.5600222670082173</v>
      </c>
      <c r="J77" s="145">
        <f t="shared" ref="J77:K79" si="15">SUM(B77,F77)</f>
        <v>497991.07800000004</v>
      </c>
      <c r="K77" s="44">
        <f t="shared" si="15"/>
        <v>544179.42200000002</v>
      </c>
      <c r="L77" s="231">
        <f t="shared" si="14"/>
        <v>9.3000000000000007</v>
      </c>
      <c r="M77" s="27">
        <f>IFERROR(100/'Skjema total MA'!I77*K77,0)</f>
        <v>4.7314836467707018</v>
      </c>
    </row>
    <row r="78" spans="1:14" x14ac:dyDescent="0.2">
      <c r="A78" s="21" t="s">
        <v>9</v>
      </c>
      <c r="B78" s="211">
        <v>33834.205000000002</v>
      </c>
      <c r="C78" s="145">
        <v>35123.887000000002</v>
      </c>
      <c r="D78" s="166">
        <f t="shared" si="11"/>
        <v>3.8</v>
      </c>
      <c r="E78" s="23">
        <f>IFERROR(100/'Skjema total MA'!C78*C78,0)</f>
        <v>1.5057695507959368</v>
      </c>
      <c r="F78" s="211"/>
      <c r="G78" s="145"/>
      <c r="H78" s="166"/>
      <c r="I78" s="23"/>
      <c r="J78" s="145">
        <f t="shared" si="15"/>
        <v>33834.205000000002</v>
      </c>
      <c r="K78" s="44">
        <f t="shared" si="15"/>
        <v>35123.887000000002</v>
      </c>
      <c r="L78" s="231">
        <f t="shared" si="14"/>
        <v>3.8</v>
      </c>
      <c r="M78" s="27">
        <f>IFERROR(100/'Skjema total MA'!I78*K78,0)</f>
        <v>1.5057695507959368</v>
      </c>
    </row>
    <row r="79" spans="1:14" x14ac:dyDescent="0.2">
      <c r="A79" s="38" t="s">
        <v>398</v>
      </c>
      <c r="B79" s="268"/>
      <c r="C79" s="269"/>
      <c r="D79" s="166"/>
      <c r="E79" s="23"/>
      <c r="F79" s="268">
        <v>464156.87300000002</v>
      </c>
      <c r="G79" s="269">
        <v>509055.53499999997</v>
      </c>
      <c r="H79" s="166">
        <f t="shared" si="12"/>
        <v>9.6999999999999993</v>
      </c>
      <c r="I79" s="23">
        <f>IFERROR(100/'Skjema total MA'!F79*G79,0)</f>
        <v>5.5600222670082173</v>
      </c>
      <c r="J79" s="145">
        <f t="shared" si="15"/>
        <v>464156.87300000002</v>
      </c>
      <c r="K79" s="44">
        <f t="shared" si="15"/>
        <v>509055.53499999997</v>
      </c>
      <c r="L79" s="231">
        <f t="shared" si="14"/>
        <v>9.6999999999999993</v>
      </c>
      <c r="M79" s="27">
        <f>IFERROR(100/'Skjema total MA'!I79*K79,0)</f>
        <v>5.5521485174418475</v>
      </c>
    </row>
    <row r="80" spans="1:14" ht="15.75" x14ac:dyDescent="0.2">
      <c r="A80" s="272" t="s">
        <v>356</v>
      </c>
      <c r="B80" s="295"/>
      <c r="C80" s="295"/>
      <c r="D80" s="166"/>
      <c r="E80" s="23"/>
      <c r="F80" s="295"/>
      <c r="G80" s="295"/>
      <c r="H80" s="166"/>
      <c r="I80" s="23"/>
      <c r="J80" s="295"/>
      <c r="K80" s="295"/>
      <c r="L80" s="166"/>
      <c r="M80" s="23"/>
    </row>
    <row r="81" spans="1:13" x14ac:dyDescent="0.2">
      <c r="A81" s="272" t="s">
        <v>12</v>
      </c>
      <c r="B81" s="295"/>
      <c r="C81" s="295"/>
      <c r="D81" s="166"/>
      <c r="E81" s="23"/>
      <c r="F81" s="270"/>
      <c r="G81" s="271"/>
      <c r="H81" s="166"/>
      <c r="I81" s="23"/>
      <c r="J81" s="270"/>
      <c r="K81" s="271"/>
      <c r="L81" s="166"/>
      <c r="M81" s="23"/>
    </row>
    <row r="82" spans="1:13" x14ac:dyDescent="0.2">
      <c r="A82" s="272" t="s">
        <v>13</v>
      </c>
      <c r="B82" s="295"/>
      <c r="C82" s="295"/>
      <c r="D82" s="166"/>
      <c r="E82" s="23"/>
      <c r="F82" s="212"/>
      <c r="G82" s="266"/>
      <c r="H82" s="166"/>
      <c r="I82" s="23"/>
      <c r="J82" s="212"/>
      <c r="K82" s="266"/>
      <c r="L82" s="166"/>
      <c r="M82" s="23"/>
    </row>
    <row r="83" spans="1:13" ht="15.75" x14ac:dyDescent="0.2">
      <c r="A83" s="272" t="s">
        <v>357</v>
      </c>
      <c r="B83" s="295"/>
      <c r="C83" s="295"/>
      <c r="D83" s="166"/>
      <c r="E83" s="23"/>
      <c r="F83" s="295"/>
      <c r="G83" s="295"/>
      <c r="H83" s="166"/>
      <c r="I83" s="23"/>
      <c r="J83" s="295"/>
      <c r="K83" s="295"/>
      <c r="L83" s="166"/>
      <c r="M83" s="23"/>
    </row>
    <row r="84" spans="1:13" x14ac:dyDescent="0.2">
      <c r="A84" s="272" t="s">
        <v>12</v>
      </c>
      <c r="B84" s="212"/>
      <c r="C84" s="266"/>
      <c r="D84" s="166"/>
      <c r="E84" s="23"/>
      <c r="F84" s="212"/>
      <c r="G84" s="266"/>
      <c r="H84" s="166"/>
      <c r="I84" s="23"/>
      <c r="J84" s="212"/>
      <c r="K84" s="266"/>
      <c r="L84" s="166"/>
      <c r="M84" s="23"/>
    </row>
    <row r="85" spans="1:13" x14ac:dyDescent="0.2">
      <c r="A85" s="272" t="s">
        <v>13</v>
      </c>
      <c r="B85" s="212"/>
      <c r="C85" s="266"/>
      <c r="D85" s="166"/>
      <c r="E85" s="23"/>
      <c r="F85" s="212"/>
      <c r="G85" s="266"/>
      <c r="H85" s="166"/>
      <c r="I85" s="23"/>
      <c r="J85" s="212"/>
      <c r="K85" s="266"/>
      <c r="L85" s="166"/>
      <c r="M85" s="23"/>
    </row>
    <row r="86" spans="1:13" ht="15.75" x14ac:dyDescent="0.2">
      <c r="A86" s="21" t="s">
        <v>359</v>
      </c>
      <c r="B86" s="211"/>
      <c r="C86" s="145"/>
      <c r="D86" s="166"/>
      <c r="E86" s="23"/>
      <c r="F86" s="211"/>
      <c r="G86" s="145"/>
      <c r="H86" s="166"/>
      <c r="I86" s="23"/>
      <c r="J86" s="145"/>
      <c r="K86" s="44"/>
      <c r="L86" s="231"/>
      <c r="M86" s="27"/>
    </row>
    <row r="87" spans="1:13" ht="15.75" x14ac:dyDescent="0.2">
      <c r="A87" s="13" t="s">
        <v>341</v>
      </c>
      <c r="B87" s="329">
        <v>766564.67599999998</v>
      </c>
      <c r="C87" s="329">
        <v>906555.65899999999</v>
      </c>
      <c r="D87" s="171">
        <f t="shared" si="11"/>
        <v>18.3</v>
      </c>
      <c r="E87" s="24">
        <f>IFERROR(100/'Skjema total MA'!C87*C87,0)</f>
        <v>0.2272242666095588</v>
      </c>
      <c r="F87" s="328">
        <v>14411385.301000001</v>
      </c>
      <c r="G87" s="328">
        <v>20035177.408</v>
      </c>
      <c r="H87" s="171">
        <f t="shared" si="12"/>
        <v>39</v>
      </c>
      <c r="I87" s="24">
        <f>IFERROR(100/'Skjema total MA'!F87*G87,0)</f>
        <v>5.0906319536861693</v>
      </c>
      <c r="J87" s="159">
        <f t="shared" ref="J87:K89" si="16">SUM(B87,F87)</f>
        <v>15177949.977000002</v>
      </c>
      <c r="K87" s="213">
        <f t="shared" si="16"/>
        <v>20941733.067000002</v>
      </c>
      <c r="L87" s="402">
        <f t="shared" si="14"/>
        <v>38</v>
      </c>
      <c r="M87" s="11">
        <f>IFERROR(100/'Skjema total MA'!I87*K87,0)</f>
        <v>2.6423595637909125</v>
      </c>
    </row>
    <row r="88" spans="1:13" x14ac:dyDescent="0.2">
      <c r="A88" s="21" t="s">
        <v>9</v>
      </c>
      <c r="B88" s="211">
        <v>766564.67599999998</v>
      </c>
      <c r="C88" s="145">
        <v>906555.65899999999</v>
      </c>
      <c r="D88" s="166">
        <f t="shared" si="11"/>
        <v>18.3</v>
      </c>
      <c r="E88" s="23">
        <f>IFERROR(100/'Skjema total MA'!C88*C88,0)</f>
        <v>0.23453675608189439</v>
      </c>
      <c r="F88" s="211"/>
      <c r="G88" s="145"/>
      <c r="H88" s="166"/>
      <c r="I88" s="23"/>
      <c r="J88" s="145">
        <f t="shared" si="16"/>
        <v>766564.67599999998</v>
      </c>
      <c r="K88" s="44">
        <f t="shared" si="16"/>
        <v>906555.65899999999</v>
      </c>
      <c r="L88" s="231">
        <f t="shared" si="14"/>
        <v>18.3</v>
      </c>
      <c r="M88" s="27">
        <f>IFERROR(100/'Skjema total MA'!I88*K88,0)</f>
        <v>0.23453675608189439</v>
      </c>
    </row>
    <row r="89" spans="1:13" x14ac:dyDescent="0.2">
      <c r="A89" s="21" t="s">
        <v>10</v>
      </c>
      <c r="B89" s="211"/>
      <c r="C89" s="145"/>
      <c r="D89" s="166"/>
      <c r="E89" s="23"/>
      <c r="F89" s="211">
        <v>14411385.301000001</v>
      </c>
      <c r="G89" s="145">
        <v>20035177.408</v>
      </c>
      <c r="H89" s="166">
        <f t="shared" si="12"/>
        <v>39</v>
      </c>
      <c r="I89" s="23">
        <f>IFERROR(100/'Skjema total MA'!F89*G89,0)</f>
        <v>5.1375144178851855</v>
      </c>
      <c r="J89" s="145">
        <f t="shared" si="16"/>
        <v>14411385.301000001</v>
      </c>
      <c r="K89" s="44">
        <f t="shared" si="16"/>
        <v>20035177.408</v>
      </c>
      <c r="L89" s="231">
        <f t="shared" si="14"/>
        <v>39</v>
      </c>
      <c r="M89" s="27">
        <f>IFERROR(100/'Skjema total MA'!I89*K89,0)</f>
        <v>5.0975658958881009</v>
      </c>
    </row>
    <row r="90" spans="1:13" ht="15.75" x14ac:dyDescent="0.2">
      <c r="A90" s="272" t="s">
        <v>356</v>
      </c>
      <c r="B90" s="295"/>
      <c r="C90" s="295"/>
      <c r="D90" s="166"/>
      <c r="E90" s="23"/>
      <c r="F90" s="295"/>
      <c r="G90" s="295"/>
      <c r="H90" s="166"/>
      <c r="I90" s="23"/>
      <c r="J90" s="295"/>
      <c r="K90" s="295"/>
      <c r="L90" s="166"/>
      <c r="M90" s="23"/>
    </row>
    <row r="91" spans="1:13" x14ac:dyDescent="0.2">
      <c r="A91" s="272" t="s">
        <v>12</v>
      </c>
      <c r="B91" s="295"/>
      <c r="C91" s="295"/>
      <c r="D91" s="166"/>
      <c r="E91" s="23"/>
      <c r="F91" s="270"/>
      <c r="G91" s="271"/>
      <c r="H91" s="166"/>
      <c r="I91" s="23"/>
      <c r="J91" s="270"/>
      <c r="K91" s="271"/>
      <c r="L91" s="166"/>
      <c r="M91" s="23"/>
    </row>
    <row r="92" spans="1:13" x14ac:dyDescent="0.2">
      <c r="A92" s="272" t="s">
        <v>13</v>
      </c>
      <c r="B92" s="295"/>
      <c r="C92" s="295"/>
      <c r="D92" s="166"/>
      <c r="E92" s="23"/>
      <c r="F92" s="212"/>
      <c r="G92" s="266"/>
      <c r="H92" s="166"/>
      <c r="I92" s="23"/>
      <c r="J92" s="212"/>
      <c r="K92" s="266"/>
      <c r="L92" s="166"/>
      <c r="M92" s="23"/>
    </row>
    <row r="93" spans="1:13" ht="15.75" x14ac:dyDescent="0.2">
      <c r="A93" s="272" t="s">
        <v>357</v>
      </c>
      <c r="B93" s="295"/>
      <c r="C93" s="295"/>
      <c r="D93" s="166"/>
      <c r="E93" s="23"/>
      <c r="F93" s="295"/>
      <c r="G93" s="295"/>
      <c r="H93" s="166"/>
      <c r="I93" s="23"/>
      <c r="J93" s="295"/>
      <c r="K93" s="295"/>
      <c r="L93" s="166"/>
      <c r="M93" s="23"/>
    </row>
    <row r="94" spans="1:13" x14ac:dyDescent="0.2">
      <c r="A94" s="272" t="s">
        <v>12</v>
      </c>
      <c r="B94" s="212"/>
      <c r="C94" s="266"/>
      <c r="D94" s="166"/>
      <c r="E94" s="23"/>
      <c r="F94" s="212"/>
      <c r="G94" s="266"/>
      <c r="H94" s="166"/>
      <c r="I94" s="23"/>
      <c r="J94" s="212"/>
      <c r="K94" s="266"/>
      <c r="L94" s="166"/>
      <c r="M94" s="23"/>
    </row>
    <row r="95" spans="1:13" x14ac:dyDescent="0.2">
      <c r="A95" s="272" t="s">
        <v>13</v>
      </c>
      <c r="B95" s="212"/>
      <c r="C95" s="266"/>
      <c r="D95" s="166"/>
      <c r="E95" s="23"/>
      <c r="F95" s="212"/>
      <c r="G95" s="266"/>
      <c r="H95" s="166"/>
      <c r="I95" s="23"/>
      <c r="J95" s="212"/>
      <c r="K95" s="266"/>
      <c r="L95" s="166"/>
      <c r="M95" s="23"/>
    </row>
    <row r="96" spans="1:13" x14ac:dyDescent="0.2">
      <c r="A96" s="21" t="s">
        <v>324</v>
      </c>
      <c r="B96" s="211"/>
      <c r="C96" s="145"/>
      <c r="D96" s="166"/>
      <c r="E96" s="23"/>
      <c r="F96" s="211"/>
      <c r="G96" s="145"/>
      <c r="H96" s="166"/>
      <c r="I96" s="23"/>
      <c r="J96" s="145"/>
      <c r="K96" s="44"/>
      <c r="L96" s="231"/>
      <c r="M96" s="27"/>
    </row>
    <row r="97" spans="1:13" x14ac:dyDescent="0.2">
      <c r="A97" s="21" t="s">
        <v>323</v>
      </c>
      <c r="B97" s="211"/>
      <c r="C97" s="145"/>
      <c r="D97" s="166"/>
      <c r="E97" s="23"/>
      <c r="F97" s="211"/>
      <c r="G97" s="145"/>
      <c r="H97" s="166"/>
      <c r="I97" s="23"/>
      <c r="J97" s="145"/>
      <c r="K97" s="44"/>
      <c r="L97" s="231"/>
      <c r="M97" s="27"/>
    </row>
    <row r="98" spans="1:13" ht="15.75" x14ac:dyDescent="0.2">
      <c r="A98" s="21" t="s">
        <v>358</v>
      </c>
      <c r="B98" s="211">
        <v>766564.67599999998</v>
      </c>
      <c r="C98" s="211">
        <v>906555.65899999999</v>
      </c>
      <c r="D98" s="166">
        <f t="shared" si="11"/>
        <v>18.3</v>
      </c>
      <c r="E98" s="23">
        <f>IFERROR(100/'Skjema total MA'!C98*C98,0)</f>
        <v>0.2353833381577575</v>
      </c>
      <c r="F98" s="268">
        <v>14411385.301000001</v>
      </c>
      <c r="G98" s="268">
        <v>20035177.408</v>
      </c>
      <c r="H98" s="166">
        <f t="shared" si="12"/>
        <v>39</v>
      </c>
      <c r="I98" s="23">
        <f>IFERROR(100/'Skjema total MA'!F98*G98,0)</f>
        <v>5.1517602307551105</v>
      </c>
      <c r="J98" s="145">
        <f t="shared" ref="J98:K100" si="17">SUM(B98,F98)</f>
        <v>15177949.977000002</v>
      </c>
      <c r="K98" s="44">
        <f t="shared" si="17"/>
        <v>20941733.067000002</v>
      </c>
      <c r="L98" s="231">
        <f t="shared" si="14"/>
        <v>38</v>
      </c>
      <c r="M98" s="27">
        <f>IFERROR(100/'Skjema total MA'!I98*K98,0)</f>
        <v>2.7055112758602409</v>
      </c>
    </row>
    <row r="99" spans="1:13" x14ac:dyDescent="0.2">
      <c r="A99" s="21" t="s">
        <v>9</v>
      </c>
      <c r="B99" s="268">
        <v>766564.67599999998</v>
      </c>
      <c r="C99" s="269">
        <v>906555.65899999999</v>
      </c>
      <c r="D99" s="166">
        <f t="shared" si="11"/>
        <v>18.3</v>
      </c>
      <c r="E99" s="23">
        <f>IFERROR(100/'Skjema total MA'!C99*C99,0)</f>
        <v>0.23726609805259283</v>
      </c>
      <c r="F99" s="211"/>
      <c r="G99" s="145"/>
      <c r="H99" s="166"/>
      <c r="I99" s="23"/>
      <c r="J99" s="145">
        <f t="shared" si="17"/>
        <v>766564.67599999998</v>
      </c>
      <c r="K99" s="44">
        <f t="shared" si="17"/>
        <v>906555.65899999999</v>
      </c>
      <c r="L99" s="231">
        <f t="shared" si="14"/>
        <v>18.3</v>
      </c>
      <c r="M99" s="27">
        <f>IFERROR(100/'Skjema total MA'!I99*K99,0)</f>
        <v>0.23726609805259283</v>
      </c>
    </row>
    <row r="100" spans="1:13" ht="15.75" x14ac:dyDescent="0.2">
      <c r="A100" s="38" t="s">
        <v>399</v>
      </c>
      <c r="B100" s="268"/>
      <c r="C100" s="269"/>
      <c r="D100" s="166"/>
      <c r="E100" s="23"/>
      <c r="F100" s="211">
        <v>14411385.301000001</v>
      </c>
      <c r="G100" s="211">
        <v>20035177.408</v>
      </c>
      <c r="H100" s="166">
        <f t="shared" si="12"/>
        <v>39</v>
      </c>
      <c r="I100" s="23">
        <f>IFERROR(100/'Skjema total MA'!F100*G100,0)</f>
        <v>5.1517602307551105</v>
      </c>
      <c r="J100" s="145">
        <f t="shared" si="17"/>
        <v>14411385.301000001</v>
      </c>
      <c r="K100" s="44">
        <f t="shared" si="17"/>
        <v>20035177.408</v>
      </c>
      <c r="L100" s="231">
        <f t="shared" si="14"/>
        <v>39</v>
      </c>
      <c r="M100" s="27">
        <f>IFERROR(100/'Skjema total MA'!I100*K100,0)</f>
        <v>5.1115907212155847</v>
      </c>
    </row>
    <row r="101" spans="1:13" ht="15.75" x14ac:dyDescent="0.2">
      <c r="A101" s="38" t="s">
        <v>400</v>
      </c>
      <c r="B101" s="268"/>
      <c r="C101" s="268"/>
      <c r="D101" s="166"/>
      <c r="E101" s="23"/>
      <c r="F101" s="268"/>
      <c r="G101" s="268"/>
      <c r="H101" s="166"/>
      <c r="I101" s="23"/>
      <c r="J101" s="145"/>
      <c r="K101" s="44"/>
      <c r="L101" s="231"/>
      <c r="M101" s="27"/>
    </row>
    <row r="102" spans="1:13" ht="15.75" x14ac:dyDescent="0.2">
      <c r="A102" s="272" t="s">
        <v>356</v>
      </c>
      <c r="B102" s="295"/>
      <c r="C102" s="295"/>
      <c r="D102" s="166"/>
      <c r="E102" s="23"/>
      <c r="F102" s="295"/>
      <c r="G102" s="295"/>
      <c r="H102" s="166"/>
      <c r="I102" s="23"/>
      <c r="J102" s="295"/>
      <c r="K102" s="295"/>
      <c r="L102" s="166"/>
      <c r="M102" s="23"/>
    </row>
    <row r="103" spans="1:13" x14ac:dyDescent="0.2">
      <c r="A103" s="272" t="s">
        <v>12</v>
      </c>
      <c r="B103" s="295"/>
      <c r="C103" s="295"/>
      <c r="D103" s="166"/>
      <c r="E103" s="23"/>
      <c r="F103" s="270"/>
      <c r="G103" s="271"/>
      <c r="H103" s="166"/>
      <c r="I103" s="23"/>
      <c r="J103" s="270"/>
      <c r="K103" s="271"/>
      <c r="L103" s="166"/>
      <c r="M103" s="23"/>
    </row>
    <row r="104" spans="1:13" x14ac:dyDescent="0.2">
      <c r="A104" s="272" t="s">
        <v>13</v>
      </c>
      <c r="B104" s="295"/>
      <c r="C104" s="295"/>
      <c r="D104" s="166"/>
      <c r="E104" s="23"/>
      <c r="F104" s="212"/>
      <c r="G104" s="266"/>
      <c r="H104" s="166"/>
      <c r="I104" s="23"/>
      <c r="J104" s="212"/>
      <c r="K104" s="266"/>
      <c r="L104" s="166"/>
      <c r="M104" s="23"/>
    </row>
    <row r="105" spans="1:13" ht="15.75" x14ac:dyDescent="0.2">
      <c r="A105" s="272" t="s">
        <v>357</v>
      </c>
      <c r="B105" s="295"/>
      <c r="C105" s="295"/>
      <c r="D105" s="166"/>
      <c r="E105" s="23"/>
      <c r="F105" s="295"/>
      <c r="G105" s="295"/>
      <c r="H105" s="166"/>
      <c r="I105" s="23"/>
      <c r="J105" s="295"/>
      <c r="K105" s="295"/>
      <c r="L105" s="166"/>
      <c r="M105" s="23"/>
    </row>
    <row r="106" spans="1:13" x14ac:dyDescent="0.2">
      <c r="A106" s="272" t="s">
        <v>12</v>
      </c>
      <c r="B106" s="212"/>
      <c r="C106" s="266"/>
      <c r="D106" s="166"/>
      <c r="E106" s="23"/>
      <c r="F106" s="212"/>
      <c r="G106" s="266"/>
      <c r="H106" s="166"/>
      <c r="I106" s="23"/>
      <c r="J106" s="212"/>
      <c r="K106" s="266"/>
      <c r="L106" s="166"/>
      <c r="M106" s="23"/>
    </row>
    <row r="107" spans="1:13" x14ac:dyDescent="0.2">
      <c r="A107" s="272" t="s">
        <v>13</v>
      </c>
      <c r="B107" s="212"/>
      <c r="C107" s="266"/>
      <c r="D107" s="166"/>
      <c r="E107" s="23"/>
      <c r="F107" s="212"/>
      <c r="G107" s="266"/>
      <c r="H107" s="166"/>
      <c r="I107" s="23"/>
      <c r="J107" s="212"/>
      <c r="K107" s="266"/>
      <c r="L107" s="166"/>
      <c r="M107" s="23"/>
    </row>
    <row r="108" spans="1:13" ht="15.75" x14ac:dyDescent="0.2">
      <c r="A108" s="21" t="s">
        <v>359</v>
      </c>
      <c r="B108" s="211"/>
      <c r="C108" s="145"/>
      <c r="D108" s="166"/>
      <c r="E108" s="23"/>
      <c r="F108" s="211"/>
      <c r="G108" s="145"/>
      <c r="H108" s="166"/>
      <c r="I108" s="23"/>
      <c r="J108" s="145"/>
      <c r="K108" s="44"/>
      <c r="L108" s="231"/>
      <c r="M108" s="27"/>
    </row>
    <row r="109" spans="1:13" ht="15.75" x14ac:dyDescent="0.2">
      <c r="A109" s="21" t="s">
        <v>360</v>
      </c>
      <c r="B109" s="211">
        <v>159716.17300000001</v>
      </c>
      <c r="C109" s="211">
        <v>212087.158</v>
      </c>
      <c r="D109" s="166">
        <f t="shared" si="11"/>
        <v>32.799999999999997</v>
      </c>
      <c r="E109" s="23">
        <f>IFERROR(100/'Skjema total MA'!C109*C109,0)</f>
        <v>6.4241308156721827E-2</v>
      </c>
      <c r="F109" s="211">
        <v>159716.17300000001</v>
      </c>
      <c r="G109" s="211">
        <v>212087.158</v>
      </c>
      <c r="H109" s="166">
        <f t="shared" si="12"/>
        <v>32.799999999999997</v>
      </c>
      <c r="I109" s="23">
        <f>IFERROR(100/'Skjema total MA'!F109*G109,0)</f>
        <v>1.0906281555543318</v>
      </c>
      <c r="J109" s="145">
        <f t="shared" ref="J109:K112" si="18">SUM(B109,F109)</f>
        <v>319432.34600000002</v>
      </c>
      <c r="K109" s="44">
        <f t="shared" si="18"/>
        <v>424174.31599999999</v>
      </c>
      <c r="L109" s="231">
        <f t="shared" si="14"/>
        <v>32.799999999999997</v>
      </c>
      <c r="M109" s="27">
        <f>IFERROR(100/'Skjema total MA'!I109*K109,0)</f>
        <v>0.12133558229208269</v>
      </c>
    </row>
    <row r="110" spans="1:13" ht="15.75" x14ac:dyDescent="0.2">
      <c r="A110" s="38" t="s">
        <v>416</v>
      </c>
      <c r="B110" s="211"/>
      <c r="C110" s="211"/>
      <c r="D110" s="166"/>
      <c r="E110" s="23"/>
      <c r="F110" s="211">
        <v>5028124.8859999999</v>
      </c>
      <c r="G110" s="211">
        <v>6835256.4519999996</v>
      </c>
      <c r="H110" s="166">
        <f t="shared" si="12"/>
        <v>35.9</v>
      </c>
      <c r="I110" s="23">
        <f>IFERROR(100/'Skjema total MA'!F110*G110,0)</f>
        <v>5.0532137662055758</v>
      </c>
      <c r="J110" s="145">
        <f t="shared" si="18"/>
        <v>5028124.8859999999</v>
      </c>
      <c r="K110" s="44">
        <f t="shared" si="18"/>
        <v>6835256.4519999996</v>
      </c>
      <c r="L110" s="231">
        <f t="shared" si="14"/>
        <v>35.9</v>
      </c>
      <c r="M110" s="27">
        <f>IFERROR(100/'Skjema total MA'!I110*K110,0)</f>
        <v>4.9943160448535142</v>
      </c>
    </row>
    <row r="111" spans="1:13" ht="15.75" x14ac:dyDescent="0.2">
      <c r="A111" s="21" t="s">
        <v>362</v>
      </c>
      <c r="B111" s="211"/>
      <c r="C111" s="211"/>
      <c r="D111" s="166"/>
      <c r="E111" s="23"/>
      <c r="F111" s="211"/>
      <c r="G111" s="211"/>
      <c r="H111" s="166"/>
      <c r="I111" s="23"/>
      <c r="J111" s="145"/>
      <c r="K111" s="44"/>
      <c r="L111" s="231"/>
      <c r="M111" s="27"/>
    </row>
    <row r="112" spans="1:13" ht="15.75" x14ac:dyDescent="0.2">
      <c r="A112" s="13" t="s">
        <v>342</v>
      </c>
      <c r="B112" s="284">
        <v>17296.601999999999</v>
      </c>
      <c r="C112" s="159">
        <v>10744.61</v>
      </c>
      <c r="D112" s="171">
        <f t="shared" si="11"/>
        <v>-37.9</v>
      </c>
      <c r="E112" s="24">
        <f>IFERROR(100/'Skjema total MA'!C112*C112,0)</f>
        <v>1.6064653908798323</v>
      </c>
      <c r="F112" s="284">
        <v>246608.356</v>
      </c>
      <c r="G112" s="159">
        <v>533400.10699999996</v>
      </c>
      <c r="H112" s="171">
        <f t="shared" si="12"/>
        <v>116.3</v>
      </c>
      <c r="I112" s="24">
        <f>IFERROR(100/'Skjema total MA'!F112*G112,0)</f>
        <v>5.5352083041781466</v>
      </c>
      <c r="J112" s="159">
        <f t="shared" si="18"/>
        <v>263904.95799999998</v>
      </c>
      <c r="K112" s="213">
        <f t="shared" si="18"/>
        <v>544144.71699999995</v>
      </c>
      <c r="L112" s="402">
        <f t="shared" si="14"/>
        <v>106.2</v>
      </c>
      <c r="M112" s="11">
        <f>IFERROR(100/'Skjema total MA'!I112*K112,0)</f>
        <v>5.2802254700567346</v>
      </c>
    </row>
    <row r="113" spans="1:14" x14ac:dyDescent="0.2">
      <c r="A113" s="21" t="s">
        <v>9</v>
      </c>
      <c r="B113" s="211">
        <v>17296.601999999999</v>
      </c>
      <c r="C113" s="145">
        <v>10744.61</v>
      </c>
      <c r="D113" s="166">
        <f t="shared" si="11"/>
        <v>-37.9</v>
      </c>
      <c r="E113" s="23">
        <f>IFERROR(100/'Skjema total MA'!C113*C113,0)</f>
        <v>1.7683627269742737</v>
      </c>
      <c r="F113" s="211"/>
      <c r="G113" s="145"/>
      <c r="H113" s="166"/>
      <c r="I113" s="23"/>
      <c r="J113" s="145">
        <f t="shared" ref="J113:K126" si="19">SUM(B113,F113)</f>
        <v>17296.601999999999</v>
      </c>
      <c r="K113" s="44">
        <f t="shared" si="19"/>
        <v>10744.61</v>
      </c>
      <c r="L113" s="231">
        <f t="shared" si="14"/>
        <v>-37.9</v>
      </c>
      <c r="M113" s="27">
        <f>IFERROR(100/'Skjema total MA'!I113*K113,0)</f>
        <v>1.7394255361588731</v>
      </c>
    </row>
    <row r="114" spans="1:14" x14ac:dyDescent="0.2">
      <c r="A114" s="21" t="s">
        <v>10</v>
      </c>
      <c r="B114" s="211"/>
      <c r="C114" s="145"/>
      <c r="D114" s="166"/>
      <c r="E114" s="23"/>
      <c r="F114" s="211">
        <v>246608.356</v>
      </c>
      <c r="G114" s="145">
        <v>533400.10699999996</v>
      </c>
      <c r="H114" s="166">
        <f t="shared" si="12"/>
        <v>116.3</v>
      </c>
      <c r="I114" s="23">
        <f>IFERROR(100/'Skjema total MA'!F114*G114,0)</f>
        <v>5.5410205029498361</v>
      </c>
      <c r="J114" s="145">
        <f t="shared" si="19"/>
        <v>246608.356</v>
      </c>
      <c r="K114" s="44">
        <f t="shared" si="19"/>
        <v>533400.10699999996</v>
      </c>
      <c r="L114" s="231">
        <f t="shared" si="14"/>
        <v>116.3</v>
      </c>
      <c r="M114" s="27">
        <f>IFERROR(100/'Skjema total MA'!I114*K114,0)</f>
        <v>5.5409041357136868</v>
      </c>
    </row>
    <row r="115" spans="1:14" x14ac:dyDescent="0.2">
      <c r="A115" s="21" t="s">
        <v>26</v>
      </c>
      <c r="B115" s="211"/>
      <c r="C115" s="145"/>
      <c r="D115" s="166"/>
      <c r="E115" s="23"/>
      <c r="F115" s="211"/>
      <c r="G115" s="145"/>
      <c r="H115" s="166"/>
      <c r="I115" s="23"/>
      <c r="J115" s="145"/>
      <c r="K115" s="44"/>
      <c r="L115" s="231"/>
      <c r="M115" s="27"/>
    </row>
    <row r="116" spans="1:14" x14ac:dyDescent="0.2">
      <c r="A116" s="272" t="s">
        <v>15</v>
      </c>
      <c r="B116" s="258"/>
      <c r="C116" s="258"/>
      <c r="D116" s="166"/>
      <c r="E116" s="23"/>
      <c r="F116" s="665"/>
      <c r="G116" s="258"/>
      <c r="H116" s="166"/>
      <c r="I116" s="23"/>
      <c r="J116" s="667"/>
      <c r="K116" s="267"/>
      <c r="L116" s="166"/>
      <c r="M116" s="23"/>
    </row>
    <row r="117" spans="1:14" ht="15.75" x14ac:dyDescent="0.2">
      <c r="A117" s="21" t="s">
        <v>363</v>
      </c>
      <c r="B117" s="211"/>
      <c r="C117" s="211"/>
      <c r="D117" s="166"/>
      <c r="E117" s="23"/>
      <c r="F117" s="211"/>
      <c r="G117" s="211"/>
      <c r="H117" s="166"/>
      <c r="I117" s="23"/>
      <c r="J117" s="145"/>
      <c r="K117" s="44"/>
      <c r="L117" s="231"/>
      <c r="M117" s="27"/>
    </row>
    <row r="118" spans="1:14" ht="15.75" x14ac:dyDescent="0.2">
      <c r="A118" s="21" t="s">
        <v>364</v>
      </c>
      <c r="B118" s="211"/>
      <c r="C118" s="211"/>
      <c r="D118" s="166"/>
      <c r="E118" s="23"/>
      <c r="F118" s="211">
        <v>26298.100999999999</v>
      </c>
      <c r="G118" s="211">
        <v>51539.108</v>
      </c>
      <c r="H118" s="166">
        <f t="shared" si="12"/>
        <v>96</v>
      </c>
      <c r="I118" s="23">
        <f>IFERROR(100/'Skjema total MA'!F118*G118,0)</f>
        <v>5.5255339601606179</v>
      </c>
      <c r="J118" s="145">
        <f t="shared" si="19"/>
        <v>26298.100999999999</v>
      </c>
      <c r="K118" s="44">
        <f t="shared" si="19"/>
        <v>51539.108</v>
      </c>
      <c r="L118" s="231">
        <f t="shared" si="14"/>
        <v>96</v>
      </c>
      <c r="M118" s="27">
        <f>IFERROR(100/'Skjema total MA'!I118*K118,0)</f>
        <v>5.5255339601606179</v>
      </c>
    </row>
    <row r="119" spans="1:14" ht="15.75" x14ac:dyDescent="0.2">
      <c r="A119" s="21" t="s">
        <v>362</v>
      </c>
      <c r="B119" s="211"/>
      <c r="C119" s="211"/>
      <c r="D119" s="166"/>
      <c r="E119" s="23"/>
      <c r="F119" s="211"/>
      <c r="G119" s="211"/>
      <c r="H119" s="166"/>
      <c r="I119" s="23"/>
      <c r="J119" s="145"/>
      <c r="K119" s="44"/>
      <c r="L119" s="231"/>
      <c r="M119" s="27"/>
    </row>
    <row r="120" spans="1:14" ht="15.75" x14ac:dyDescent="0.2">
      <c r="A120" s="13" t="s">
        <v>343</v>
      </c>
      <c r="B120" s="284">
        <v>4650.5259999999998</v>
      </c>
      <c r="C120" s="159">
        <v>4571.1589999999997</v>
      </c>
      <c r="D120" s="171">
        <f t="shared" si="11"/>
        <v>-1.7</v>
      </c>
      <c r="E120" s="24">
        <f>IFERROR(100/'Skjema total MA'!C120*C120,0)</f>
        <v>3.4923339032228777</v>
      </c>
      <c r="F120" s="284">
        <v>217557.05799999999</v>
      </c>
      <c r="G120" s="159">
        <v>600993.43700000003</v>
      </c>
      <c r="H120" s="171">
        <f t="shared" si="12"/>
        <v>176.2</v>
      </c>
      <c r="I120" s="24">
        <f>IFERROR(100/'Skjema total MA'!F120*G120,0)</f>
        <v>4.968961645963585</v>
      </c>
      <c r="J120" s="159">
        <f t="shared" si="19"/>
        <v>222207.584</v>
      </c>
      <c r="K120" s="213">
        <f t="shared" si="19"/>
        <v>605564.59600000002</v>
      </c>
      <c r="L120" s="402">
        <f t="shared" si="14"/>
        <v>172.5</v>
      </c>
      <c r="M120" s="11">
        <f>IFERROR(100/'Skjema total MA'!I120*K120,0)</f>
        <v>4.9531527030163005</v>
      </c>
    </row>
    <row r="121" spans="1:14" x14ac:dyDescent="0.2">
      <c r="A121" s="21" t="s">
        <v>9</v>
      </c>
      <c r="B121" s="211">
        <v>4650.5259999999998</v>
      </c>
      <c r="C121" s="145">
        <v>4571.1589999999997</v>
      </c>
      <c r="D121" s="166">
        <f t="shared" si="11"/>
        <v>-1.7</v>
      </c>
      <c r="E121" s="23">
        <f>IFERROR(100/'Skjema total MA'!C121*C121,0)</f>
        <v>5.8115334428842722</v>
      </c>
      <c r="F121" s="211"/>
      <c r="G121" s="145"/>
      <c r="H121" s="166"/>
      <c r="I121" s="23"/>
      <c r="J121" s="145">
        <f t="shared" si="19"/>
        <v>4650.5259999999998</v>
      </c>
      <c r="K121" s="44">
        <f t="shared" si="19"/>
        <v>4571.1589999999997</v>
      </c>
      <c r="L121" s="231">
        <f t="shared" si="14"/>
        <v>-1.7</v>
      </c>
      <c r="M121" s="27">
        <f>IFERROR(100/'Skjema total MA'!I121*K121,0)</f>
        <v>5.8115334428842722</v>
      </c>
    </row>
    <row r="122" spans="1:14" x14ac:dyDescent="0.2">
      <c r="A122" s="21" t="s">
        <v>10</v>
      </c>
      <c r="B122" s="211"/>
      <c r="C122" s="145"/>
      <c r="D122" s="166"/>
      <c r="E122" s="23"/>
      <c r="F122" s="211">
        <v>217557.05799999999</v>
      </c>
      <c r="G122" s="145">
        <v>600993.43700000003</v>
      </c>
      <c r="H122" s="166">
        <f t="shared" si="12"/>
        <v>176.2</v>
      </c>
      <c r="I122" s="23">
        <f>IFERROR(100/'Skjema total MA'!F122*G122,0)</f>
        <v>4.968961645963585</v>
      </c>
      <c r="J122" s="145">
        <f t="shared" si="19"/>
        <v>217557.05799999999</v>
      </c>
      <c r="K122" s="44">
        <f t="shared" si="19"/>
        <v>600993.43700000003</v>
      </c>
      <c r="L122" s="231">
        <f t="shared" si="14"/>
        <v>176.2</v>
      </c>
      <c r="M122" s="27">
        <f>IFERROR(100/'Skjema total MA'!I122*K122,0)</f>
        <v>4.9646200461261545</v>
      </c>
    </row>
    <row r="123" spans="1:14" x14ac:dyDescent="0.2">
      <c r="A123" s="21" t="s">
        <v>26</v>
      </c>
      <c r="B123" s="211"/>
      <c r="C123" s="145"/>
      <c r="D123" s="166"/>
      <c r="E123" s="23"/>
      <c r="F123" s="211"/>
      <c r="G123" s="145"/>
      <c r="H123" s="166"/>
      <c r="I123" s="23"/>
      <c r="J123" s="145"/>
      <c r="K123" s="44"/>
      <c r="L123" s="231"/>
      <c r="M123" s="27"/>
    </row>
    <row r="124" spans="1:14" x14ac:dyDescent="0.2">
      <c r="A124" s="272" t="s">
        <v>14</v>
      </c>
      <c r="B124" s="258"/>
      <c r="C124" s="258"/>
      <c r="D124" s="166"/>
      <c r="E124" s="23"/>
      <c r="F124" s="665"/>
      <c r="G124" s="258"/>
      <c r="H124" s="166"/>
      <c r="I124" s="23"/>
      <c r="J124" s="667"/>
      <c r="K124" s="267"/>
      <c r="L124" s="166"/>
      <c r="M124" s="23"/>
    </row>
    <row r="125" spans="1:14" ht="15.75" x14ac:dyDescent="0.2">
      <c r="A125" s="21" t="s">
        <v>369</v>
      </c>
      <c r="B125" s="211"/>
      <c r="C125" s="211"/>
      <c r="D125" s="166"/>
      <c r="E125" s="23"/>
      <c r="F125" s="211"/>
      <c r="G125" s="211"/>
      <c r="H125" s="166"/>
      <c r="I125" s="23"/>
      <c r="J125" s="145"/>
      <c r="K125" s="44"/>
      <c r="L125" s="231"/>
      <c r="M125" s="27"/>
    </row>
    <row r="126" spans="1:14" ht="15.75" x14ac:dyDescent="0.2">
      <c r="A126" s="21" t="s">
        <v>361</v>
      </c>
      <c r="B126" s="211"/>
      <c r="C126" s="211"/>
      <c r="D126" s="166"/>
      <c r="E126" s="23"/>
      <c r="F126" s="211">
        <v>52619.470999999998</v>
      </c>
      <c r="G126" s="211">
        <v>66628.255999999994</v>
      </c>
      <c r="H126" s="166">
        <f t="shared" si="12"/>
        <v>26.6</v>
      </c>
      <c r="I126" s="23">
        <f>IFERROR(100/'Skjema total MA'!F126*G126,0)</f>
        <v>2.4402508239689378</v>
      </c>
      <c r="J126" s="145">
        <f t="shared" si="19"/>
        <v>52619.470999999998</v>
      </c>
      <c r="K126" s="44">
        <f t="shared" si="19"/>
        <v>66628.255999999994</v>
      </c>
      <c r="L126" s="231">
        <f t="shared" si="14"/>
        <v>26.6</v>
      </c>
      <c r="M126" s="27">
        <f>IFERROR(100/'Skjema total MA'!I126*K126,0)</f>
        <v>2.4400952295404577</v>
      </c>
    </row>
    <row r="127" spans="1:14" ht="15.75" x14ac:dyDescent="0.2">
      <c r="A127" s="10" t="s">
        <v>362</v>
      </c>
      <c r="B127" s="45"/>
      <c r="C127" s="45"/>
      <c r="D127" s="167"/>
      <c r="E127" s="22"/>
      <c r="F127" s="666"/>
      <c r="G127" s="45"/>
      <c r="H127" s="167"/>
      <c r="I127" s="22"/>
      <c r="J127" s="668"/>
      <c r="K127" s="45"/>
      <c r="L127" s="232"/>
      <c r="M127" s="22"/>
    </row>
    <row r="128" spans="1:14" x14ac:dyDescent="0.2">
      <c r="A128" s="155"/>
      <c r="L128" s="26"/>
      <c r="M128" s="26"/>
      <c r="N128" s="26"/>
    </row>
    <row r="129" spans="1:14" x14ac:dyDescent="0.2">
      <c r="L129" s="26"/>
      <c r="M129" s="26"/>
      <c r="N129" s="26"/>
    </row>
    <row r="130" spans="1:14" ht="15.75" x14ac:dyDescent="0.25">
      <c r="A130" s="165" t="s">
        <v>27</v>
      </c>
    </row>
    <row r="131" spans="1:14" ht="15.75" x14ac:dyDescent="0.25">
      <c r="B131" s="694"/>
      <c r="C131" s="694"/>
      <c r="D131" s="694"/>
      <c r="E131" s="380"/>
      <c r="F131" s="694"/>
      <c r="G131" s="694"/>
      <c r="H131" s="694"/>
      <c r="I131" s="380"/>
      <c r="J131" s="694"/>
      <c r="K131" s="694"/>
      <c r="L131" s="694"/>
      <c r="M131" s="380"/>
    </row>
    <row r="132" spans="1:14" s="3" customFormat="1" x14ac:dyDescent="0.2">
      <c r="A132" s="144"/>
      <c r="B132" s="695" t="s">
        <v>0</v>
      </c>
      <c r="C132" s="696"/>
      <c r="D132" s="696"/>
      <c r="E132" s="379"/>
      <c r="F132" s="695" t="s">
        <v>1</v>
      </c>
      <c r="G132" s="696"/>
      <c r="H132" s="696"/>
      <c r="I132" s="382"/>
      <c r="J132" s="695" t="s">
        <v>2</v>
      </c>
      <c r="K132" s="696"/>
      <c r="L132" s="696"/>
      <c r="M132" s="382"/>
      <c r="N132" s="148"/>
    </row>
    <row r="133" spans="1:14" s="3" customFormat="1" x14ac:dyDescent="0.2">
      <c r="A133" s="140"/>
      <c r="B133" s="152" t="s">
        <v>412</v>
      </c>
      <c r="C133" s="152" t="s">
        <v>413</v>
      </c>
      <c r="D133" s="222" t="s">
        <v>3</v>
      </c>
      <c r="E133" s="281" t="s">
        <v>29</v>
      </c>
      <c r="F133" s="152" t="s">
        <v>412</v>
      </c>
      <c r="G133" s="152" t="s">
        <v>413</v>
      </c>
      <c r="H133" s="203" t="s">
        <v>3</v>
      </c>
      <c r="I133" s="162" t="s">
        <v>29</v>
      </c>
      <c r="J133" s="152" t="s">
        <v>412</v>
      </c>
      <c r="K133" s="152" t="s">
        <v>413</v>
      </c>
      <c r="L133" s="223" t="s">
        <v>3</v>
      </c>
      <c r="M133" s="162" t="s">
        <v>29</v>
      </c>
      <c r="N133" s="148"/>
    </row>
    <row r="134" spans="1:14" s="3" customFormat="1" x14ac:dyDescent="0.2">
      <c r="A134" s="662"/>
      <c r="B134" s="156"/>
      <c r="C134" s="156"/>
      <c r="D134" s="223" t="s">
        <v>4</v>
      </c>
      <c r="E134" s="156" t="s">
        <v>30</v>
      </c>
      <c r="F134" s="161"/>
      <c r="G134" s="161"/>
      <c r="H134" s="203" t="s">
        <v>4</v>
      </c>
      <c r="I134" s="156" t="s">
        <v>30</v>
      </c>
      <c r="J134" s="156"/>
      <c r="K134" s="156"/>
      <c r="L134" s="150" t="s">
        <v>4</v>
      </c>
      <c r="M134" s="156" t="s">
        <v>30</v>
      </c>
      <c r="N134" s="148"/>
    </row>
    <row r="135" spans="1:14" s="3" customFormat="1" ht="15.75" x14ac:dyDescent="0.2">
      <c r="A135" s="14" t="s">
        <v>365</v>
      </c>
      <c r="B135" s="213"/>
      <c r="C135" s="285"/>
      <c r="D135" s="326"/>
      <c r="E135" s="11"/>
      <c r="F135" s="292"/>
      <c r="G135" s="293"/>
      <c r="H135" s="405"/>
      <c r="I135" s="24"/>
      <c r="J135" s="294"/>
      <c r="K135" s="294"/>
      <c r="L135" s="401"/>
      <c r="M135" s="11"/>
      <c r="N135" s="148"/>
    </row>
    <row r="136" spans="1:14" s="3" customFormat="1" ht="15.75" x14ac:dyDescent="0.2">
      <c r="A136" s="13" t="s">
        <v>370</v>
      </c>
      <c r="B136" s="213"/>
      <c r="C136" s="285"/>
      <c r="D136" s="171"/>
      <c r="E136" s="11"/>
      <c r="F136" s="213"/>
      <c r="G136" s="285"/>
      <c r="H136" s="406"/>
      <c r="I136" s="24"/>
      <c r="J136" s="284"/>
      <c r="K136" s="284"/>
      <c r="L136" s="402"/>
      <c r="M136" s="11"/>
      <c r="N136" s="148"/>
    </row>
    <row r="137" spans="1:14" s="3" customFormat="1" ht="15.75" x14ac:dyDescent="0.2">
      <c r="A137" s="13" t="s">
        <v>367</v>
      </c>
      <c r="B137" s="213"/>
      <c r="C137" s="285"/>
      <c r="D137" s="171"/>
      <c r="E137" s="11"/>
      <c r="F137" s="213"/>
      <c r="G137" s="285"/>
      <c r="H137" s="406"/>
      <c r="I137" s="24"/>
      <c r="J137" s="284"/>
      <c r="K137" s="284"/>
      <c r="L137" s="402"/>
      <c r="M137" s="11"/>
      <c r="N137" s="148"/>
    </row>
    <row r="138" spans="1:14" s="3" customFormat="1" ht="15.75" x14ac:dyDescent="0.2">
      <c r="A138" s="41" t="s">
        <v>368</v>
      </c>
      <c r="B138" s="253"/>
      <c r="C138" s="291"/>
      <c r="D138" s="169"/>
      <c r="E138" s="9"/>
      <c r="F138" s="253"/>
      <c r="G138" s="291"/>
      <c r="H138" s="407"/>
      <c r="I138" s="36"/>
      <c r="J138" s="290"/>
      <c r="K138" s="290"/>
      <c r="L138" s="403"/>
      <c r="M138" s="36"/>
      <c r="N138" s="148"/>
    </row>
    <row r="139" spans="1:14" s="3" customFormat="1"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68"/>
      <c r="B141" s="33"/>
      <c r="C141" s="33"/>
      <c r="D141" s="159"/>
      <c r="E141" s="159"/>
      <c r="F141" s="33"/>
      <c r="G141" s="33"/>
      <c r="H141" s="159"/>
      <c r="I141" s="159"/>
      <c r="J141" s="33"/>
      <c r="K141" s="33"/>
      <c r="L141" s="159"/>
      <c r="M141" s="159"/>
      <c r="N141" s="148"/>
    </row>
    <row r="142" spans="1:14" x14ac:dyDescent="0.2">
      <c r="A142" s="146"/>
      <c r="B142" s="146"/>
      <c r="C142" s="146"/>
      <c r="D142" s="146"/>
      <c r="E142" s="146"/>
      <c r="F142" s="146"/>
      <c r="G142" s="146"/>
      <c r="H142" s="146"/>
      <c r="I142" s="146"/>
      <c r="J142" s="146"/>
      <c r="K142" s="146"/>
      <c r="L142" s="146"/>
      <c r="M142" s="146"/>
      <c r="N142" s="146"/>
    </row>
    <row r="143" spans="1:14" ht="15.75" x14ac:dyDescent="0.25">
      <c r="B143" s="142"/>
      <c r="C143" s="142"/>
      <c r="D143" s="142"/>
      <c r="E143" s="142"/>
      <c r="F143" s="142"/>
      <c r="G143" s="142"/>
      <c r="H143" s="142"/>
      <c r="I143" s="142"/>
      <c r="J143" s="142"/>
      <c r="K143" s="142"/>
      <c r="L143" s="142"/>
      <c r="M143" s="142"/>
      <c r="N143" s="142"/>
    </row>
    <row r="144" spans="1:14" ht="15.75" x14ac:dyDescent="0.25">
      <c r="B144" s="157"/>
      <c r="C144" s="157"/>
      <c r="D144" s="157"/>
      <c r="E144" s="157"/>
      <c r="F144" s="157"/>
      <c r="G144" s="157"/>
      <c r="H144" s="157"/>
      <c r="I144" s="157"/>
      <c r="J144" s="157"/>
      <c r="K144" s="157"/>
      <c r="L144" s="157"/>
      <c r="M144" s="157"/>
      <c r="N144" s="157"/>
    </row>
    <row r="145" spans="2:14" ht="15.75" x14ac:dyDescent="0.25">
      <c r="B145" s="157"/>
      <c r="C145" s="157"/>
      <c r="D145" s="157"/>
      <c r="E145" s="157"/>
      <c r="F145" s="157"/>
      <c r="G145" s="157"/>
      <c r="H145" s="157"/>
      <c r="I145" s="157"/>
      <c r="J145" s="157"/>
      <c r="K145" s="157"/>
      <c r="L145" s="157"/>
      <c r="M145" s="157"/>
      <c r="N145" s="157"/>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1:D131"/>
    <mergeCell ref="F131:H131"/>
    <mergeCell ref="J131:L131"/>
    <mergeCell ref="B132:D132"/>
    <mergeCell ref="F132:H132"/>
    <mergeCell ref="J132:L132"/>
  </mergeCells>
  <conditionalFormatting sqref="B116">
    <cfRule type="expression" dxfId="648" priority="45">
      <formula>kvartal &lt; 4</formula>
    </cfRule>
  </conditionalFormatting>
  <conditionalFormatting sqref="C116">
    <cfRule type="expression" dxfId="647" priority="44">
      <formula>kvartal &lt; 4</formula>
    </cfRule>
  </conditionalFormatting>
  <conditionalFormatting sqref="B124">
    <cfRule type="expression" dxfId="646" priority="43">
      <formula>kvartal &lt; 4</formula>
    </cfRule>
  </conditionalFormatting>
  <conditionalFormatting sqref="C124">
    <cfRule type="expression" dxfId="645" priority="42">
      <formula>kvartal &lt; 4</formula>
    </cfRule>
  </conditionalFormatting>
  <conditionalFormatting sqref="F116">
    <cfRule type="expression" dxfId="644" priority="31">
      <formula>kvartal &lt; 4</formula>
    </cfRule>
  </conditionalFormatting>
  <conditionalFormatting sqref="G116">
    <cfRule type="expression" dxfId="643" priority="30">
      <formula>kvartal &lt; 4</formula>
    </cfRule>
  </conditionalFormatting>
  <conditionalFormatting sqref="F124:G124">
    <cfRule type="expression" dxfId="642" priority="29">
      <formula>kvartal &lt; 4</formula>
    </cfRule>
  </conditionalFormatting>
  <conditionalFormatting sqref="J116:K116">
    <cfRule type="expression" dxfId="641" priority="12">
      <formula>kvartal &lt; 4</formula>
    </cfRule>
  </conditionalFormatting>
  <conditionalFormatting sqref="J124:K124">
    <cfRule type="expression" dxfId="640" priority="11">
      <formula>kvartal &lt; 4</formula>
    </cfRule>
  </conditionalFormatting>
  <conditionalFormatting sqref="A50:A52">
    <cfRule type="expression" dxfId="639" priority="8">
      <formula>kvartal &lt; 4</formula>
    </cfRule>
  </conditionalFormatting>
  <conditionalFormatting sqref="A69:A74">
    <cfRule type="expression" dxfId="638" priority="7">
      <formula>kvartal &lt; 4</formula>
    </cfRule>
  </conditionalFormatting>
  <conditionalFormatting sqref="A80:A85">
    <cfRule type="expression" dxfId="637" priority="6">
      <formula>kvartal &lt; 4</formula>
    </cfRule>
  </conditionalFormatting>
  <conditionalFormatting sqref="A90:A95">
    <cfRule type="expression" dxfId="636" priority="5">
      <formula>kvartal &lt; 4</formula>
    </cfRule>
  </conditionalFormatting>
  <conditionalFormatting sqref="A102:A107">
    <cfRule type="expression" dxfId="635" priority="4">
      <formula>kvartal &lt; 4</formula>
    </cfRule>
  </conditionalFormatting>
  <conditionalFormatting sqref="A116">
    <cfRule type="expression" dxfId="634" priority="3">
      <formula>kvartal &lt; 4</formula>
    </cfRule>
  </conditionalFormatting>
  <conditionalFormatting sqref="A124">
    <cfRule type="expression" dxfId="633" priority="2">
      <formula>kvartal &lt; 4</formula>
    </cfRule>
  </conditionalFormatting>
  <pageMargins left="0.7" right="0.7" top="0.78740157499999996" bottom="0.78740157499999996"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s q m i d = " 8 f 6 9 7 3 f 7 - 0 8 c 0 - 4 5 7 9 - b f 5 c - 6 c 7 f a d 0 9 0 d 4 1 "   x m l n s = " h t t p : / / s c h e m a s . m i c r o s o f t . c o m / D a t a M a s h u p " > A A A A A A M E A A B Q S w M E F A A C A A g A m h 2 6 U g 9 H 6 S S j A A A A 9 Q A A A B I A H A B D b 2 5 m a W c v U G F j a 2 F n Z S 5 4 b W w g o h g A K K A U A A A A A A A A A A A A A A A A A A A A A A A A A A A A h Y + x D o I w G I R f h X S n L e h A y E 8 Z X E V N T I x r L R U a 4 c d A s b y b g 4 / k K 4 h R 1 M 3 x 7 r t L 7 u 7 X G 6 R D X X k X 3 X a m w Y Q E l B N P o 2 p y g 0 V C e n v 0 I 5 I K 2 E h 1 k o X 2 x j B 2 8 d C Z h J T W n m P G n H P U z W j T F i z k P G D 7 b L l V p a 6 l b 7 C z E p U m n 1 b + v 0 U E 7 F 5 j R E i j O Y 3 4 O A n Y 5 E F m 8 M v D k T 3 p j w m L v r J 9 q w U e / N U a 2 C S B v S + I B 1 B L A w Q U A A I A C A C a H b p 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h 2 6 U g b 6 + e n + A A A A Y g E A A B M A H A B G b 3 J t d W x h c y 9 T Z W N 0 a W 9 u M S 5 t I K I Y A C i g F A A A A A A A A A A A A A A A A A A A A A A A A A A A A H 2 P w U r D Q B C G z w 3 0 H Y Y 9 l A b S E D 0 J I S C k Q a R Q l A Q t r E v Y N A P G b L J 1 s i m V 0 q O P 4 p P 0 x b q x R f H i X G Z g / m / + + T t c m 0 q 3 k J 7 7 V T h 2 x k 7 3 K g l L m E s j I Q K F x g F b D 5 J k g w b p C a m s 7 C L Z r V H 5 c U + E r X n W V B d a 1 1 N 3 z 5 d W F 7 E f P T J x 4 L F u j Z U J D 7 6 P L S p V o r 2 R v i t / 8 C l k h 1 O W 3 c 3 S 1 f w m m Q X B 9 c u 9 B a i V i n n A V L X N G 2 k n / t g j f U Q s W S U x 8 L L Q w u e b H I d P 8 g 1 h Z y 1 k 9 6 Z b 4 Y x G t 8 c v s h Y M J r D s m w L J z 3 S G O z P 9 m 4 Q f P 0 n s g 4 M L E + Y N W L 2 V Z K S 6 o P + z i 7 P 2 w g M L m X C d q v 3 N G J 4 A U E s B A i 0 A F A A C A A g A m h 2 6 U g 9 H 6 S S j A A A A 9 Q A A A B I A A A A A A A A A A A A A A A A A A A A A A E N v b m Z p Z y 9 Q Y W N r Y W d l L n h t b F B L A Q I t A B Q A A g A I A J o d u l I P y u m r p A A A A O k A A A A T A A A A A A A A A A A A A A A A A O 8 A A A B b Q 2 9 u d G V u d F 9 U e X B l c 1 0 u e G 1 s U E s B A i 0 A F A A C A A g A m h 2 6 U g b 6 + e n + A A A A Y g E A A B M A A A A A A A A A A A A A A A A A 4 A E A A E Z v c m 1 1 b G F z L 1 N l Y 3 R p b 2 4 x L m 1 Q S w U G A A A A A A M A A w D C A A A A K w M A A A A A P Q 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x X b 3 J r Y m 9 v a 0 d y b 3 V w V H l w Z T 5 Q d W J s a W M 8 L 1 d v c m t i b 2 9 r R 3 J v d X B U e X B l P j w v U G V y b W l z c 2 l v b k x p c 3 Q + w w s A A A A A A A C h C w 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R G F 0 Y T w v S X R l b V B h d G g + P C 9 J d G V t T G 9 j Y X R p b 2 4 + P F N 0 Y W J s Z U V u d H J p Z X M + P E V u d H J 5 I F R 5 c G U 9 I k l z U H J p d m F 0 Z S I g V m F s d W U 9 I m w w I i A v P j x F b n R y e S B U e X B l P S J C d W Z m Z X J O Z X h 0 U m V m c m V z a C I g V m F s d W U 9 I m w x I i A v P j x F b n R y e S B U e X B l P S J G a W x s R W 5 h Y m x l Z C I g V m F s d W U 9 I m w w I i A v P j x F b n R y e S B U e X B l P S J G a W x s V G 9 E Y X R h T W 9 k Z W x F b m F i b G V k I i B W Y W x 1 Z T 0 i b D A i I C 8 + P E V u d H J 5 I F R 5 c G U 9 I l J l c 3 V s d F R 5 c G U i I F Z h b H V l P S J z V G F i b G U i I C 8 + P E V u d H J 5 I F R 5 c G U 9 I k 5 h b W V V c G R h d G V k Q W Z 0 Z X J G a W x s I i B W Y W x 1 Z T 0 i b D A i I C 8 + P E V u d H J 5 I F R 5 c G U 9 I k Z p b G x l Z E N v b X B s Z X R l U m V z d W x 0 V G 9 X b 3 J r c 2 h l Z X Q i I F Z h b H V l P S J s M S I g L z 4 8 R W 5 0 c n k g V H l w Z T 0 i U m V j b 3 Z l c n l U Y X J n Z X R T a G V l d C I g V m F s d W U 9 I n N B c m s y I i A v P j x F b n R y e S B U e X B l P S J S Z W N v d m V y e V R h c m d l d E N v b H V t b i I g V m F s d W U 9 I m w x I i A v P j x F b n R y e S B U e X B l P S J S Z W N v d m V y e V R h c m d l d F J v d y I g V m F s d W U 9 I m w x I i A v P j x F b n R y e S B U e X B l P S J R d W V y e U l E I i B W Y W x 1 Z T 0 i c z R l O D N h Z G Q 5 L W V j Y 2 I t N G V m N i 0 5 Y 2 Y 4 L T Z i M j k 4 Z G Y w N D R j O S I g L z 4 8 R W 5 0 c n k g V H l w Z T 0 i T m F 2 a W d h d G l v b l N 0 Z X B O Y W 1 l I i B W Y W x 1 Z T 0 i c 0 5 h d m l n Y X R p b 2 4 i I C 8 + P E V u d H J 5 I F R 5 c G U 9 I k Z p b G x M Y X N 0 V X B k Y X R l Z C I g V m F s d W U 9 I m Q y M D I x L T A 1 L T I 2 V D A x O j Q 0 O j I y L j E x M z g x N D N a I i A v P j x F b n R y e S B U e X B l P S J G a W x s Q 2 9 s d W 1 u V H l w Z X M i I F Z h b H V l P S J z Q m d J Q 0 F n S U N B Z 1 U 9 I i A v P j x F b n R y e S B U e X B l P S J G a W x s R X J y b 3 J D b 3 V u d C I g V m F s d W U 9 I m w w I i A v P j x F b n R y e S B U e X B l P S J G a W x s Q 2 9 s d W 1 u T m F t Z X M i I F Z h b H V l P S J z W y Z x d W 9 0 O 3 P D u G t l b s O 4 a 2 t l b C Z x d W 9 0 O y w m c X V v d D t z Z W x z a 2 F w X 2 l k J n F 1 b 3 Q 7 L C Z x d W 9 0 O 8 O l c i Z x d W 9 0 O y w m c X V v d D t r d m F y d G F s J n F 1 b 3 Q 7 L C Z x d W 9 0 O 3 R h Y m V s b F 9 p Z C Z x d W 9 0 O y w m c X V v d D t y Y W R f a W Q m c X V v d D s s J n F 1 b 3 Q 7 a 2 F 0 Z W d v c m l f a W Q m c X V v d D s s J n F 1 b 3 Q 7 d m V y Z G k m c X V v d D t d I i A v P j x F b n R y e S B U e X B l P S J G a W x s R X J y b 3 J D b 2 R l I i B W Y W x 1 Z T 0 i c 1 V u a 2 5 v d 2 4 i I C 8 + P E V u d H J 5 I F R 5 c G U 9 I k Z p b G x T d G F 0 d X M i I F Z h b H V l P S J z Q 2 9 t c G x l d G U i I C 8 + P E V u d H J 5 I F R 5 c G U 9 I k Z p b G x D b 3 V u d C I g V m F s d W U 9 I m w 3 O D Q 0 I i A v P j x F b n R y e S B U e X B l P S J B Z G R l Z F R v R G F 0 Y U 1 v Z G V s I i B W Y W x 1 Z T 0 i b D A i I C 8 + P E V u d H J 5 I F R 5 c G U 9 I l J l b G F 0 a W 9 u c 2 h p c E l u Z m 9 D b 2 5 0 Y W l u Z X I i I F Z h b H V l P S J z e y Z x d W 9 0 O 2 N v b H V t b k N v d W 5 0 J n F 1 b 3 Q 7 O j g s J n F 1 b 3 Q 7 a 2 V 5 Q 2 9 s d W 1 u T m F t Z X M m c X V v d D s 6 W 1 0 s J n F 1 b 3 Q 7 c X V l c n l S Z W x h d G l v b n N o a X B z J n F 1 b 3 Q 7 O l t d L C Z x d W 9 0 O 2 N v b H V t b k l k Z W 5 0 a X R p Z X M m c X V v d D s 6 W y Z x d W 9 0 O 1 N l Y 3 R p b 2 4 x L 0 R h d G E v S 2 l s Z G U u e 3 P D u G t l b s O 4 a 2 t l b C w w f S Z x d W 9 0 O y w m c X V v d D t T Z W N 0 a W 9 u M S 9 E Y X R h L 0 t p b G R l L n t z Z W x z a 2 F w X 2 l k L D F 9 J n F 1 b 3 Q 7 L C Z x d W 9 0 O 1 N l Y 3 R p b 2 4 x L 0 R h d G E v S 2 l s Z G U u e 8 O l c i w y f S Z x d W 9 0 O y w m c X V v d D t T Z W N 0 a W 9 u M S 9 E Y X R h L 0 t p b G R l L n t r d m F y d G F s L D N 9 J n F 1 b 3 Q 7 L C Z x d W 9 0 O 1 N l Y 3 R p b 2 4 x L 0 R h d G E v S 2 l s Z G U u e 3 R h Y m V s b F 9 p Z C w 0 f S Z x d W 9 0 O y w m c X V v d D t T Z W N 0 a W 9 u M S 9 E Y X R h L 0 t p b G R l L n t y Y W R f a W Q s N X 0 m c X V v d D s s J n F 1 b 3 Q 7 U 2 V j d G l v b j E v R G F 0 Y S 9 L a W x k Z S 5 7 a 2 F 0 Z W d v c m l f a W Q s N n 0 m c X V v d D s s J n F 1 b 3 Q 7 U 2 V j d G l v b j E v R G F 0 Y S 9 L a W x k Z S 5 7 d m V y Z G k s N 3 0 m c X V v d D t d L C Z x d W 9 0 O 0 N v b H V t b k N v d W 5 0 J n F 1 b 3 Q 7 O j g s J n F 1 b 3 Q 7 S 2 V 5 Q 2 9 s d W 1 u T m F t Z X M m c X V v d D s 6 W 1 0 s J n F 1 b 3 Q 7 Q 2 9 s d W 1 u S W R l b n R p d G l l c y Z x d W 9 0 O z p b J n F 1 b 3 Q 7 U 2 V j d G l v b j E v R G F 0 Y S 9 L a W x k Z S 5 7 c 8 O 4 a 2 V u w 7 h r a 2 V s L D B 9 J n F 1 b 3 Q 7 L C Z x d W 9 0 O 1 N l Y 3 R p b 2 4 x L 0 R h d G E v S 2 l s Z G U u e 3 N l b H N r Y X B f a W Q s M X 0 m c X V v d D s s J n F 1 b 3 Q 7 U 2 V j d G l v b j E v R G F 0 Y S 9 L a W x k Z S 5 7 w 6 V y L D J 9 J n F 1 b 3 Q 7 L C Z x d W 9 0 O 1 N l Y 3 R p b 2 4 x L 0 R h d G E v S 2 l s Z G U u e 2 t 2 Y X J 0 Y W w s M 3 0 m c X V v d D s s J n F 1 b 3 Q 7 U 2 V j d G l v b j E v R G F 0 Y S 9 L a W x k Z S 5 7 d G F i Z W x s X 2 l k L D R 9 J n F 1 b 3 Q 7 L C Z x d W 9 0 O 1 N l Y 3 R p b 2 4 x L 0 R h d G E v S 2 l s Z G U u e 3 J h Z F 9 p Z C w 1 f S Z x d W 9 0 O y w m c X V v d D t T Z W N 0 a W 9 u M S 9 E Y X R h L 0 t p b G R l L n t r Y X R l Z 2 9 y a V 9 p Z C w 2 f S Z x d W 9 0 O y w m c X V v d D t T Z W N 0 a W 9 u M S 9 E Y X R h L 0 t p b G R l L n t 2 Z X J k a S w 3 f S Z x d W 9 0 O 1 0 s J n F 1 b 3 Q 7 U m V s Y X R p b 2 5 z a G l w S W 5 m b y Z x d W 9 0 O z p b X X 0 i I C 8 + P E V u d H J 5 I F R 5 c G U 9 I k Z p b G x P Y m p l Y 3 R U e X B l I i B W Y W x 1 Z T 0 i c 0 N v b m 5 l Y 3 R p b 2 5 P b m x 5 I i A v P j w v U 3 R h Y m x l R W 5 0 c m l l c z 4 8 L 0 l 0 Z W 0 + P E l 0 Z W 0 + P E l 0 Z W 1 M b 2 N h d G l v b j 4 8 S X R l b V R 5 c G U + R m 9 y b X V s Y T w v S X R l b V R 5 c G U + P E l 0 Z W 1 Q Y X R o P l N l Y 3 R p b 2 4 x L 0 R h d G E v S 2 l s Z G U 8 L 0 l 0 Z W 1 Q Y X R o P j w v S X R l b U x v Y 2 F 0 a W 9 u P j x T d G F i b G V F b n R y a W V z I C 8 + P C 9 J d G V t P j x J d G V t P j x J d G V t T G 9 j Y X R p b 2 4 + P E l 0 Z W 1 U e X B l P k Z v c m 1 1 b G E 8 L 0 l 0 Z W 1 U e X B l P j x J d G V t U G F 0 a D 5 T Z W N 0 a W 9 u M S 9 E Y X R h L 1 B h c m F t Z X R l c l Z l c m R p P C 9 J d G V t U G F 0 a D 4 8 L 0 l 0 Z W 1 M b 2 N h d G l v b j 4 8 U 3 R h Y m x l R W 5 0 c m l l c y A v P j w v S X R l b T 4 8 L 0 l 0 Z W 1 z P j w v T G 9 j Y W x Q Y W N r Y W d l T W V 0 Y W R h d G F G a W x l P h Y A A A B Q S w U G A A A A A A A A A A A A A A A A A A A A A A A A 2 g A A A A E A A A D Q j J 3 f A R X R E Y x 6 A M B P w p f r A Q A A A P y y p O M t j K 5 F r Y 4 N A B B A N 8 A A A A A A A g A A A A A A A 2 Y A A M A A A A A Q A A A A B G y L l 7 R B 6 i 3 + I 2 B c 5 Q c N T g A A A A A E g A A A o A A A A B A A A A A g G k a r o / x L w 7 Y q d 9 v F 8 e M / U A A A A F 6 I D d Z j j / G x / A 5 z 1 N b E P H M 4 o U U j Y I 1 J a 7 0 f O D T M v S / X H L W c E D u M d Y S H x l b K o S W p A p L 3 S 1 j O I z L 7 a p k f B z h O t V M h h R 7 2 g o q J I t K F n L S 0 J U C G F A A A A E t L 0 H X i 6 o N B 1 n S d E e B C b s V j l o k o < / D a t a M a s h u p > 
</file>

<file path=customXml/item2.xml><?xml version="1.0" encoding="utf-8"?>
<ct:contentTypeSchema xmlns:ct="http://schemas.microsoft.com/office/2006/metadata/contentType" xmlns:ma="http://schemas.microsoft.com/office/2006/metadata/properties/metaAttributes" ct:_="" ma:_="" ma:contentTypeName="Statistikk" ma:contentTypeID="0x0101000C511E5DF31BAD48807550FE88829D9D0038FF55C83469DE4F9B7DCA1B89E318DA" ma:contentTypeVersion="4" ma:contentTypeDescription="" ma:contentTypeScope="" ma:versionID="ca25aed54c960d52022b61f452b943cb">
  <xsd:schema xmlns:xsd="http://www.w3.org/2001/XMLSchema" xmlns:xs="http://www.w3.org/2001/XMLSchema" xmlns:p="http://schemas.microsoft.com/office/2006/metadata/properties" xmlns:ns2="6edf9311-6556-4af2-85ff-d57844cfe120" xmlns:ns3="d35b3e2b-d440-44dd-b9dd-e54a3943adc2" targetNamespace="http://schemas.microsoft.com/office/2006/metadata/properties" ma:root="true" ma:fieldsID="6aaeb2f404abc7033daa625e0dd95337" ns2:_="" ns3:_="">
    <xsd:import namespace="6edf9311-6556-4af2-85ff-d57844cfe120"/>
    <xsd:import namespace="d35b3e2b-d440-44dd-b9dd-e54a3943adc2"/>
    <xsd:element name="properties">
      <xsd:complexType>
        <xsd:sequence>
          <xsd:element name="documentManagement">
            <xsd:complexType>
              <xsd:all>
                <xsd:element ref="ns2:a0e180d50ff4423da66c611fe0af74a4" minOccurs="0"/>
                <xsd:element ref="ns2:TaxCatchAll" minOccurs="0"/>
                <xsd:element ref="ns2:TaxCatchAllLabel" minOccurs="0"/>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df9311-6556-4af2-85ff-d57844cfe120" elementFormDefault="qualified">
    <xsd:import namespace="http://schemas.microsoft.com/office/2006/documentManagement/types"/>
    <xsd:import namespace="http://schemas.microsoft.com/office/infopath/2007/PartnerControls"/>
    <xsd:element name="a0e180d50ff4423da66c611fe0af74a4" ma:index="8" ma:taxonomy="true" ma:internalName="a0e180d50ff4423da66c611fe0af74a4" ma:taxonomyFieldName="Statistikk" ma:displayName="Statistikk" ma:indexed="true" ma:default="" ma:fieldId="{a0e180d5-0ff4-423d-a66c-611fe0af74a4}" ma:sspId="dab2b8ef-c951-45bf-a0d0-9b3f2fbb5ccb" ma:termSetId="11bf6401-ff6f-43ab-90c7-9959af6e7799"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50ebe59-b68a-4ac7-afab-48fa3cf54c5c}" ma:internalName="TaxCatchAll" ma:showField="CatchAllData"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50ebe59-b68a-4ac7-afab-48fa3cf54c5c}" ma:internalName="TaxCatchAllLabel" ma:readOnly="true" ma:showField="CatchAllDataLabel"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kument-ID-verdi" ma:description="Verdien for dokument-IDen som er tilordnet elementet." ma:internalName="_dlc_DocId" ma:readOnly="true">
      <xsd:simpleType>
        <xsd:restriction base="dms:Text"/>
      </xsd:simpleType>
    </xsd:element>
    <xsd:element name="_dlc_DocIdUrl" ma:index="13"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35b3e2b-d440-44dd-b9dd-e54a3943adc2"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a0e180d50ff4423da66c611fe0af74a4 xmlns="6edf9311-6556-4af2-85ff-d57844cfe120">
      <Terms xmlns="http://schemas.microsoft.com/office/infopath/2007/PartnerControls"/>
    </a0e180d50ff4423da66c611fe0af74a4>
    <TaxCatchAll xmlns="6edf9311-6556-4af2-85ff-d57844cfe120" xsi:nil="true"/>
    <_dlc_DocId xmlns="6edf9311-6556-4af2-85ff-d57844cfe120">2020-123998358-359</_dlc_DocId>
    <_dlc_DocIdUrl xmlns="6edf9311-6556-4af2-85ff-d57844cfe120">
      <Url>https://finansnorge.sharepoint.com/sites/intranett/arkiv/_layouts/15/DocIdRedir.aspx?ID=2020-123998358-359</Url>
      <Description>2020-123998358-359</Description>
    </_dlc_DocIdUrl>
  </documentManagement>
</p:properties>
</file>

<file path=customXml/itemProps1.xml><?xml version="1.0" encoding="utf-8"?>
<ds:datastoreItem xmlns:ds="http://schemas.openxmlformats.org/officeDocument/2006/customXml" ds:itemID="{90A5026E-7503-4E4B-BD83-E9801AFFB720}">
  <ds:schemaRefs>
    <ds:schemaRef ds:uri="http://schemas.microsoft.com/DataMashup"/>
  </ds:schemaRefs>
</ds:datastoreItem>
</file>

<file path=customXml/itemProps2.xml><?xml version="1.0" encoding="utf-8"?>
<ds:datastoreItem xmlns:ds="http://schemas.openxmlformats.org/officeDocument/2006/customXml" ds:itemID="{951F7A0A-84C1-4428-9BFA-782361B2BA6A}"/>
</file>

<file path=customXml/itemProps3.xml><?xml version="1.0" encoding="utf-8"?>
<ds:datastoreItem xmlns:ds="http://schemas.openxmlformats.org/officeDocument/2006/customXml" ds:itemID="{89E7B2F6-1CB3-4A7E-90E6-E8AE4F7E2072}"/>
</file>

<file path=customXml/itemProps4.xml><?xml version="1.0" encoding="utf-8"?>
<ds:datastoreItem xmlns:ds="http://schemas.openxmlformats.org/officeDocument/2006/customXml" ds:itemID="{C3365D80-8CB6-4857-886E-C9D080A39C99}"/>
</file>

<file path=customXml/itemProps5.xml><?xml version="1.0" encoding="utf-8"?>
<ds:datastoreItem xmlns:ds="http://schemas.openxmlformats.org/officeDocument/2006/customXml" ds:itemID="{2E9541D1-60D3-4949-9A8D-A1A9C094428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37</vt:i4>
      </vt:variant>
      <vt:variant>
        <vt:lpstr>Navngitte områder</vt:lpstr>
      </vt:variant>
      <vt:variant>
        <vt:i4>4</vt:i4>
      </vt:variant>
    </vt:vector>
  </HeadingPairs>
  <TitlesOfParts>
    <vt:vector size="41" baseType="lpstr">
      <vt:lpstr>Forside</vt:lpstr>
      <vt:lpstr>Innhold</vt:lpstr>
      <vt:lpstr>Figurer</vt:lpstr>
      <vt:lpstr>Tabel 1.1</vt:lpstr>
      <vt:lpstr>Tabell 1.2</vt:lpstr>
      <vt:lpstr>Tabell 1.3</vt:lpstr>
      <vt:lpstr>Skjema total MA</vt:lpstr>
      <vt:lpstr>Codan Forsikring</vt:lpstr>
      <vt:lpstr>Danica Pensjonsforsikring</vt:lpstr>
      <vt:lpstr>DNB Bedriftspensjon</vt:lpstr>
      <vt:lpstr>DNB Livsforsikring</vt:lpstr>
      <vt:lpstr>Eika Forsikring AS</vt:lpstr>
      <vt:lpstr>Euro Accident</vt:lpstr>
      <vt:lpstr>Fremtind Livsforsikring</vt:lpstr>
      <vt:lpstr>Frende Livsforsikring</vt:lpstr>
      <vt:lpstr>Frende Skadeforsikring</vt:lpstr>
      <vt:lpstr>Gjensidige Forsikring</vt:lpstr>
      <vt:lpstr>Gjensidige Pensjon</vt:lpstr>
      <vt:lpstr>Handelsbanken Liv</vt:lpstr>
      <vt:lpstr>If Skadeforsikring NUF</vt:lpstr>
      <vt:lpstr>Insr</vt:lpstr>
      <vt:lpstr>KLP</vt:lpstr>
      <vt:lpstr>KLP Skadeforsikring AS</vt:lpstr>
      <vt:lpstr>Landkreditt Forsikring</vt:lpstr>
      <vt:lpstr>Nordea Liv </vt:lpstr>
      <vt:lpstr>Oslo Pensjonsforsikring</vt:lpstr>
      <vt:lpstr>Protector Forsikring</vt:lpstr>
      <vt:lpstr>SHB Liv</vt:lpstr>
      <vt:lpstr>Sparebank 1</vt:lpstr>
      <vt:lpstr>Storebrand Livsforsikring</vt:lpstr>
      <vt:lpstr>Telenor Forsikring</vt:lpstr>
      <vt:lpstr>Tryg Forsikring</vt:lpstr>
      <vt:lpstr>WaterCircle F</vt:lpstr>
      <vt:lpstr>Tabell 4</vt:lpstr>
      <vt:lpstr>Tabell 6</vt:lpstr>
      <vt:lpstr>Tabell 8</vt:lpstr>
      <vt:lpstr>Noter og kommentarer</vt:lpstr>
      <vt:lpstr>'Fremtind Livsforsikring'!Utskriftsområde</vt:lpstr>
      <vt:lpstr>Insr!Utskriftsområde</vt:lpstr>
      <vt:lpstr>'Noter og kommentarer'!Utskriftsområde</vt:lpstr>
      <vt:lpstr>'Skjema total MA'!Utskriftsområde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Anne-Kathrine Johansen</dc:creator>
  <cp:lastModifiedBy>Randi Mørk</cp:lastModifiedBy>
  <cp:lastPrinted>2021-05-25T14:03:38Z</cp:lastPrinted>
  <dcterms:created xsi:type="dcterms:W3CDTF">2010-12-15T10:21:26Z</dcterms:created>
  <dcterms:modified xsi:type="dcterms:W3CDTF">2021-09-02T09:43:57Z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0x0101000C511E5DF31BAD48807550FE88829D9D0038FF55C83469DE4F9B7DCA1B89E318DA</vt:lpwstr>
  </property>
  <property fmtid="{D5CDD505-2E9C-101B-9397-08002B2CF9AE}" pid="3" name="_dlc_DocIdItemGuid">
    <vt:lpwstr>6bf011a4-b9ee-43da-89fc-efd141ad11b3</vt:lpwstr>
  </property>
  <property fmtid="{D5CDD505-2E9C-101B-9397-08002B2CF9AE}" pid="4" name="Avtale">
    <vt:lpwstr/>
  </property>
  <property fmtid="{D5CDD505-2E9C-101B-9397-08002B2CF9AE}" pid="5" name="n5dc56bd60b9453d8a2d716a3ace2936">
    <vt:lpwstr/>
  </property>
  <property fmtid="{D5CDD505-2E9C-101B-9397-08002B2CF9AE}" pid="6" name="Korrespondanse_x002d_fnf">
    <vt:lpwstr/>
  </property>
  <property fmtid="{D5CDD505-2E9C-101B-9397-08002B2CF9AE}" pid="7" name="pb5e3c85e100497daa11dd5a916fed68">
    <vt:lpwstr/>
  </property>
  <property fmtid="{D5CDD505-2E9C-101B-9397-08002B2CF9AE}" pid="8" name="Korrespondanse">
    <vt:lpwstr/>
  </property>
  <property fmtid="{D5CDD505-2E9C-101B-9397-08002B2CF9AE}" pid="9" name="b42cd6bccb18471bb7f8fb6f2b7f8ea5">
    <vt:lpwstr/>
  </property>
  <property fmtid="{D5CDD505-2E9C-101B-9397-08002B2CF9AE}" pid="10" name="Statistikk">
    <vt:lpwstr/>
  </property>
  <property fmtid="{D5CDD505-2E9C-101B-9397-08002B2CF9AE}" pid="11" name="Korrespondanse-fnf">
    <vt:lpwstr/>
  </property>
</Properties>
</file>