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chart5.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worksheets/sheet12.xml" ContentType="application/vnd.openxmlformats-officedocument.spreadsheetml.worksheet+xml"/>
  <Override PartName="/xl/charts/chart6.xml" ContentType="application/vnd.openxmlformats-officedocument.drawingml.chart+xml"/>
  <Override PartName="/xl/drawings/drawing3.xml" ContentType="application/vnd.openxmlformats-officedocument.drawing+xml"/>
  <Override PartName="/xl/worksheets/sheet1.xml" ContentType="application/vnd.openxmlformats-officedocument.spreadsheetml.worksheet+xml"/>
  <Override PartName="/xl/connections.xml" ContentType="application/vnd.openxmlformats-officedocument.spreadsheetml.connection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O:\Statistikk og analyse\Livstatistikk\Faste statistikker\MA\2020\Q1-2020\Publisert\"/>
    </mc:Choice>
  </mc:AlternateContent>
  <xr:revisionPtr revIDLastSave="0" documentId="8_{C8674326-0B8E-4D9C-BED6-14843460F597}" xr6:coauthVersionLast="45" xr6:coauthVersionMax="45" xr10:uidLastSave="{00000000-0000-0000-0000-000000000000}"/>
  <bookViews>
    <workbookView xWindow="-28920" yWindow="1755" windowWidth="29040" windowHeight="15840" tabRatio="835" activeTab="1" xr2:uid="{00000000-000D-0000-FFFF-FFFF00000000}"/>
  </bookViews>
  <sheets>
    <sheet name="Forside" sheetId="6" r:id="rId1"/>
    <sheet name="Innhold" sheetId="7" r:id="rId2"/>
    <sheet name="Figurer" sheetId="8" r:id="rId3"/>
    <sheet name="Tabel 1.1" sheetId="9" r:id="rId4"/>
    <sheet name="Tabell 1.2" sheetId="10" r:id="rId5"/>
    <sheet name="Tabell 1.3" sheetId="58" r:id="rId6"/>
    <sheet name="Skjema total MA" sheetId="4" r:id="rId7"/>
    <sheet name="Danica Pensjonsforsikring" sheetId="18" r:id="rId8"/>
    <sheet name="DNB Livsforsikring" sheetId="13" r:id="rId9"/>
    <sheet name="Eika Forsikring AS" sheetId="19" r:id="rId10"/>
    <sheet name="Fremtind Livsforsikring" sheetId="16" r:id="rId11"/>
    <sheet name="Frende Livsforsikring" sheetId="20" r:id="rId12"/>
    <sheet name="Frende Skadeforsikring" sheetId="21" r:id="rId13"/>
    <sheet name="Gjensidige Forsikring" sheetId="22" r:id="rId14"/>
    <sheet name="Gjensidige Pensjon" sheetId="23" r:id="rId15"/>
    <sheet name="Handelsbanken Liv" sheetId="24" r:id="rId16"/>
    <sheet name="If Skadeforsikring NUF" sheetId="25" r:id="rId17"/>
    <sheet name="Inrs" sheetId="41" r:id="rId18"/>
    <sheet name="KLP" sheetId="26" r:id="rId19"/>
    <sheet name="KLP Bedriftspensjon AS" sheetId="27" r:id="rId20"/>
    <sheet name="KLP Skadeforsikring AS" sheetId="51" r:id="rId21"/>
    <sheet name="Landkreditt Forsikring" sheetId="40" r:id="rId22"/>
    <sheet name="Nordea Liv " sheetId="29" r:id="rId23"/>
    <sheet name="Oslo Pensjonsforsikring" sheetId="34" r:id="rId24"/>
    <sheet name="Protector Forsikring" sheetId="72" r:id="rId25"/>
    <sheet name="SHB Liv" sheetId="35" r:id="rId26"/>
    <sheet name="Sparebank 1" sheetId="33" r:id="rId27"/>
    <sheet name="Storebrand Livsforsikring" sheetId="37" r:id="rId28"/>
    <sheet name="Telenor Forsikring" sheetId="38" r:id="rId29"/>
    <sheet name="Tryg Forsikring" sheetId="39" r:id="rId30"/>
    <sheet name="WaterCircles F" sheetId="74" r:id="rId31"/>
    <sheet name="Tabell 4" sheetId="65" r:id="rId32"/>
    <sheet name="Tabell 6" sheetId="62" r:id="rId33"/>
    <sheet name="Tabell 8" sheetId="75" r:id="rId34"/>
    <sheet name="Noter og kommentarer" sheetId="3" r:id="rId35"/>
  </sheets>
  <externalReferences>
    <externalReference r:id="rId36"/>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10">'Fremtind Livsforsikring'!$A$1:$M$137</definedName>
    <definedName name="_xlnm.Print_Area" localSheetId="17">Inrs!$A$1:$M$137</definedName>
    <definedName name="_xlnm.Print_Area" localSheetId="34">'Noter og kommentarer'!$A$1:$L$43</definedName>
    <definedName name="_xlnm.Print_Area" localSheetId="6">'Skjema total MA'!$A$1:$J$138</definedName>
    <definedName name="år">#REF!</definedName>
    <definedName name="ÅrFratre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0" l="1"/>
  <c r="D28" i="20"/>
  <c r="D23" i="20"/>
  <c r="N81" i="8" l="1"/>
  <c r="M81" i="8"/>
  <c r="N80" i="8"/>
  <c r="M80" i="8"/>
  <c r="N79" i="8"/>
  <c r="M79" i="8"/>
  <c r="N76" i="8"/>
  <c r="M76" i="8"/>
  <c r="N73" i="8"/>
  <c r="M73" i="8"/>
  <c r="N69" i="8"/>
  <c r="M69" i="8"/>
  <c r="N64" i="8"/>
  <c r="M64" i="8"/>
  <c r="H32" i="9"/>
  <c r="G32" i="9"/>
  <c r="B32" i="9"/>
  <c r="D32" i="9" s="1"/>
  <c r="C32" i="9"/>
  <c r="C7" i="4" l="1"/>
  <c r="C13" i="9"/>
  <c r="J10" i="25"/>
  <c r="L10" i="25" s="1"/>
  <c r="J11" i="25"/>
  <c r="L11" i="25" s="1"/>
  <c r="J12" i="25"/>
  <c r="L12" i="25" s="1"/>
  <c r="D16" i="75"/>
  <c r="D12" i="75"/>
  <c r="D11" i="75"/>
  <c r="G18" i="75"/>
  <c r="G16" i="75"/>
  <c r="G12" i="75"/>
  <c r="G11" i="75"/>
  <c r="J14" i="75"/>
  <c r="J12" i="75"/>
  <c r="J11" i="75"/>
  <c r="M14" i="75"/>
  <c r="P18" i="75"/>
  <c r="P16" i="75"/>
  <c r="P14" i="75"/>
  <c r="P12" i="75"/>
  <c r="P11" i="75"/>
  <c r="S18" i="75"/>
  <c r="S16" i="75"/>
  <c r="S14" i="75"/>
  <c r="S12" i="75"/>
  <c r="S11" i="75"/>
  <c r="V18" i="75"/>
  <c r="V16" i="75"/>
  <c r="V14" i="75"/>
  <c r="V12" i="75"/>
  <c r="V11" i="75"/>
  <c r="Y18" i="75"/>
  <c r="Y16" i="75"/>
  <c r="Y14" i="75"/>
  <c r="Y12" i="75"/>
  <c r="Y11" i="75"/>
  <c r="AB16" i="75"/>
  <c r="AE16" i="75" s="1"/>
  <c r="AB12" i="75"/>
  <c r="AB11" i="75"/>
  <c r="AE11" i="75" s="1"/>
  <c r="AE12" i="75"/>
  <c r="AH18" i="75"/>
  <c r="AH16" i="75"/>
  <c r="AH12" i="75"/>
  <c r="AH11" i="75"/>
  <c r="AH37" i="65"/>
  <c r="AE13" i="65"/>
  <c r="AE20" i="65"/>
  <c r="AE27" i="65"/>
  <c r="AE33" i="65"/>
  <c r="Y31" i="65"/>
  <c r="S23" i="65"/>
  <c r="P26" i="65"/>
  <c r="P17" i="65"/>
  <c r="M30" i="65"/>
  <c r="M25" i="65"/>
  <c r="J33" i="65"/>
  <c r="J25" i="65"/>
  <c r="AN46" i="62"/>
  <c r="AN78" i="62"/>
  <c r="AK24" i="62"/>
  <c r="AH28" i="62"/>
  <c r="AE78" i="62"/>
  <c r="AE77" i="62"/>
  <c r="AE76" i="62"/>
  <c r="AH89" i="62"/>
  <c r="AB58" i="62"/>
  <c r="AB56" i="62"/>
  <c r="Y19" i="62"/>
  <c r="Y78" i="62"/>
  <c r="V82" i="62"/>
  <c r="V78" i="62"/>
  <c r="V52" i="62"/>
  <c r="V84" i="62"/>
  <c r="S28" i="62"/>
  <c r="P14" i="62"/>
  <c r="P19" i="62"/>
  <c r="P34" i="62"/>
  <c r="P46" i="62"/>
  <c r="P49" i="62"/>
  <c r="P71" i="62"/>
  <c r="P78" i="62"/>
  <c r="M75" i="62"/>
  <c r="M70" i="62"/>
  <c r="J88" i="62"/>
  <c r="J87" i="62"/>
  <c r="M36" i="62"/>
  <c r="M17" i="62"/>
  <c r="J71" i="62"/>
  <c r="G46" i="62"/>
  <c r="G38" i="62"/>
  <c r="G19" i="62"/>
  <c r="G18" i="62"/>
  <c r="G17" i="62"/>
  <c r="D70" i="62"/>
  <c r="G39" i="65"/>
  <c r="J39" i="65"/>
  <c r="P39" i="65"/>
  <c r="V39" i="65"/>
  <c r="Y39" i="65"/>
  <c r="AB39" i="65"/>
  <c r="AE39" i="65"/>
  <c r="AK39" i="65"/>
  <c r="AN39" i="65"/>
  <c r="AO39" i="65"/>
  <c r="AP39" i="65"/>
  <c r="H33" i="37"/>
  <c r="H32" i="37"/>
  <c r="H31" i="37"/>
  <c r="H30" i="37"/>
  <c r="D31" i="37"/>
  <c r="D30" i="37"/>
  <c r="H26" i="37"/>
  <c r="H25" i="37"/>
  <c r="H24" i="37"/>
  <c r="H23" i="37"/>
  <c r="D24" i="37"/>
  <c r="D23" i="37"/>
  <c r="H33" i="33"/>
  <c r="H32" i="33"/>
  <c r="H31" i="33"/>
  <c r="H30" i="33"/>
  <c r="D31" i="33"/>
  <c r="D30" i="33"/>
  <c r="D24" i="33"/>
  <c r="D23" i="33"/>
  <c r="H26" i="33"/>
  <c r="H25" i="33"/>
  <c r="H24" i="33"/>
  <c r="H23" i="33"/>
  <c r="H33" i="35"/>
  <c r="H31" i="35"/>
  <c r="H30" i="35"/>
  <c r="H26" i="35"/>
  <c r="H23" i="35"/>
  <c r="D32" i="29"/>
  <c r="D31" i="29"/>
  <c r="D30" i="29"/>
  <c r="H33" i="29"/>
  <c r="H32" i="29"/>
  <c r="H31" i="29"/>
  <c r="H30" i="29"/>
  <c r="H26" i="29"/>
  <c r="H25" i="29"/>
  <c r="H23" i="29"/>
  <c r="D24" i="29"/>
  <c r="D23" i="29"/>
  <c r="D31" i="24"/>
  <c r="D24" i="24"/>
  <c r="L33" i="23"/>
  <c r="L32" i="23"/>
  <c r="L31" i="23"/>
  <c r="L30" i="23"/>
  <c r="H33" i="23"/>
  <c r="H32" i="23"/>
  <c r="H31" i="23"/>
  <c r="H30" i="23"/>
  <c r="H26" i="23"/>
  <c r="H25" i="23"/>
  <c r="H24" i="23"/>
  <c r="H23" i="23"/>
  <c r="D33" i="20"/>
  <c r="D32" i="20"/>
  <c r="H33" i="20"/>
  <c r="H32" i="20"/>
  <c r="H26" i="20"/>
  <c r="H25" i="20"/>
  <c r="D25" i="20"/>
  <c r="H32" i="13"/>
  <c r="H31" i="13"/>
  <c r="H30" i="13"/>
  <c r="D32" i="13"/>
  <c r="D31" i="13"/>
  <c r="D30" i="13"/>
  <c r="D25" i="13"/>
  <c r="D24" i="13"/>
  <c r="D23" i="13"/>
  <c r="H25" i="13"/>
  <c r="H24" i="13"/>
  <c r="H23" i="13"/>
  <c r="H23" i="18"/>
  <c r="H26" i="18"/>
  <c r="H25" i="18"/>
  <c r="H33" i="18"/>
  <c r="H32" i="18"/>
  <c r="H31" i="18"/>
  <c r="H30" i="18"/>
  <c r="AQ39" i="65" l="1"/>
  <c r="H13" i="9"/>
  <c r="H54" i="9" s="1"/>
  <c r="G13" i="9"/>
  <c r="G54" i="9" s="1"/>
  <c r="C54" i="9"/>
  <c r="B13" i="9"/>
  <c r="B54" i="9" s="1"/>
  <c r="B12" i="9"/>
  <c r="X85" i="62" l="1"/>
  <c r="W85" i="62"/>
  <c r="X79" i="62"/>
  <c r="W79" i="62"/>
  <c r="X54" i="62"/>
  <c r="W54" i="62"/>
  <c r="X60" i="62"/>
  <c r="X39" i="62"/>
  <c r="W39" i="62"/>
  <c r="X35" i="62"/>
  <c r="W35" i="62"/>
  <c r="W45" i="62" s="1"/>
  <c r="X20" i="62"/>
  <c r="W20" i="62"/>
  <c r="X16" i="62"/>
  <c r="W16" i="62"/>
  <c r="Y16" i="62" s="1"/>
  <c r="X40" i="65"/>
  <c r="W40" i="65"/>
  <c r="X29" i="65"/>
  <c r="W29" i="65"/>
  <c r="X21" i="65"/>
  <c r="W21" i="65"/>
  <c r="X14" i="65"/>
  <c r="W14" i="65"/>
  <c r="W27" i="62" l="1"/>
  <c r="W29" i="62" s="1"/>
  <c r="X27" i="62"/>
  <c r="X29" i="62" s="1"/>
  <c r="X34" i="65"/>
  <c r="X41" i="65" s="1"/>
  <c r="X43" i="65" s="1"/>
  <c r="X45" i="65" s="1"/>
  <c r="W34" i="65"/>
  <c r="W41" i="65"/>
  <c r="W43" i="65" s="1"/>
  <c r="W45" i="65" s="1"/>
  <c r="X45" i="62"/>
  <c r="X62" i="62" s="1"/>
  <c r="X64" i="62" s="1"/>
  <c r="W60" i="62"/>
  <c r="W62" i="62" s="1"/>
  <c r="X91" i="62"/>
  <c r="AG85" i="62"/>
  <c r="AF85" i="62"/>
  <c r="AG54" i="62"/>
  <c r="AG60" i="62" s="1"/>
  <c r="AF54" i="62"/>
  <c r="AF29" i="62"/>
  <c r="R79" i="62"/>
  <c r="Q79" i="62"/>
  <c r="AG40" i="65"/>
  <c r="AF40" i="65"/>
  <c r="AH40" i="65" s="1"/>
  <c r="AG21" i="65"/>
  <c r="AF21" i="65"/>
  <c r="AG14" i="65"/>
  <c r="AF14" i="65"/>
  <c r="R40" i="65"/>
  <c r="Q40" i="65"/>
  <c r="R29" i="65"/>
  <c r="Q29" i="65"/>
  <c r="R21" i="65"/>
  <c r="Q21" i="65"/>
  <c r="R14" i="65"/>
  <c r="Q14" i="65"/>
  <c r="W64" i="62" l="1"/>
  <c r="S29" i="65"/>
  <c r="AG62" i="62"/>
  <c r="R34" i="65"/>
  <c r="AF34" i="65"/>
  <c r="Q34" i="65"/>
  <c r="R29" i="62"/>
  <c r="AG29" i="62"/>
  <c r="AF60" i="62"/>
  <c r="AG34" i="65"/>
  <c r="R91" i="62"/>
  <c r="Q29" i="62"/>
  <c r="AG91" i="62"/>
  <c r="F14" i="75"/>
  <c r="G14" i="75" s="1"/>
  <c r="F85" i="62"/>
  <c r="E85" i="62"/>
  <c r="F79" i="62"/>
  <c r="E79" i="62"/>
  <c r="F54" i="62"/>
  <c r="E54" i="62"/>
  <c r="E60" i="62"/>
  <c r="F39" i="62"/>
  <c r="E39" i="62"/>
  <c r="F35" i="62"/>
  <c r="E35" i="62"/>
  <c r="E28" i="62"/>
  <c r="F20" i="62"/>
  <c r="E20" i="62"/>
  <c r="F16" i="62"/>
  <c r="F27" i="62" s="1"/>
  <c r="F29" i="62" s="1"/>
  <c r="E16" i="62"/>
  <c r="G16" i="62" s="1"/>
  <c r="E15" i="62"/>
  <c r="F40" i="65"/>
  <c r="E40" i="65"/>
  <c r="F29" i="65"/>
  <c r="E29" i="65"/>
  <c r="F21" i="65"/>
  <c r="E21" i="65"/>
  <c r="F14" i="65"/>
  <c r="E14" i="65"/>
  <c r="E45" i="62" l="1"/>
  <c r="AF62" i="62"/>
  <c r="AG64" i="62"/>
  <c r="R64" i="62"/>
  <c r="Q41" i="65"/>
  <c r="Q43" i="65" s="1"/>
  <c r="Q45" i="65" s="1"/>
  <c r="AF41" i="65"/>
  <c r="AF43" i="65" s="1"/>
  <c r="AF45" i="65" s="1"/>
  <c r="AG41" i="65"/>
  <c r="AG43" i="65" s="1"/>
  <c r="AG45" i="65" s="1"/>
  <c r="R41" i="65"/>
  <c r="R43" i="65" s="1"/>
  <c r="R45" i="65" s="1"/>
  <c r="F60" i="62"/>
  <c r="F91" i="62"/>
  <c r="E34" i="65"/>
  <c r="E27" i="62"/>
  <c r="E29" i="62" s="1"/>
  <c r="F34" i="65"/>
  <c r="F45" i="62"/>
  <c r="E62" i="62"/>
  <c r="L85" i="62"/>
  <c r="K85" i="62"/>
  <c r="L79" i="62"/>
  <c r="K79" i="62"/>
  <c r="L55" i="62"/>
  <c r="L54" i="62" s="1"/>
  <c r="K55" i="62"/>
  <c r="K54" i="62" s="1"/>
  <c r="L39" i="62"/>
  <c r="K39" i="62"/>
  <c r="L35" i="62"/>
  <c r="K35" i="62"/>
  <c r="L20" i="62"/>
  <c r="K20" i="62"/>
  <c r="L16" i="62"/>
  <c r="K16" i="62"/>
  <c r="M16" i="62" s="1"/>
  <c r="L40" i="65"/>
  <c r="K40" i="65"/>
  <c r="L29" i="65"/>
  <c r="K29" i="65"/>
  <c r="L21" i="65"/>
  <c r="K21" i="65"/>
  <c r="L14" i="65"/>
  <c r="K14" i="65"/>
  <c r="L91" i="62" l="1"/>
  <c r="M35" i="62"/>
  <c r="F62" i="62"/>
  <c r="F64" i="62" s="1"/>
  <c r="E41" i="65"/>
  <c r="E43" i="65" s="1"/>
  <c r="E45" i="65" s="1"/>
  <c r="F41" i="65"/>
  <c r="F43" i="65" s="1"/>
  <c r="F45" i="65" s="1"/>
  <c r="K34" i="65"/>
  <c r="L34" i="65"/>
  <c r="K45" i="62"/>
  <c r="L45" i="62"/>
  <c r="K27" i="62"/>
  <c r="K29" i="62" s="1"/>
  <c r="K60" i="62"/>
  <c r="L27" i="62"/>
  <c r="L29" i="62" s="1"/>
  <c r="L60" i="62"/>
  <c r="AA18" i="75"/>
  <c r="AB18" i="75" s="1"/>
  <c r="AA14" i="75"/>
  <c r="Z14" i="75"/>
  <c r="AB14" i="75" s="1"/>
  <c r="AD79" i="62"/>
  <c r="AD91" i="62" s="1"/>
  <c r="AC79" i="62"/>
  <c r="AD39" i="62"/>
  <c r="AC39" i="62"/>
  <c r="AD35" i="62"/>
  <c r="AC35" i="62"/>
  <c r="AD34" i="62"/>
  <c r="AC28" i="62"/>
  <c r="AD20" i="62"/>
  <c r="AC20" i="62"/>
  <c r="AD16" i="62"/>
  <c r="AC16" i="62"/>
  <c r="AC15" i="62"/>
  <c r="AD40" i="65"/>
  <c r="AC40" i="65"/>
  <c r="AD29" i="65"/>
  <c r="AC29" i="65"/>
  <c r="AD21" i="65"/>
  <c r="AC21" i="65"/>
  <c r="AD14" i="65"/>
  <c r="AC14" i="65"/>
  <c r="K62" i="62" l="1"/>
  <c r="L62" i="62"/>
  <c r="K41" i="65"/>
  <c r="K43" i="65" s="1"/>
  <c r="K45" i="65" s="1"/>
  <c r="L41" i="65"/>
  <c r="L43" i="65" s="1"/>
  <c r="L45" i="65" s="1"/>
  <c r="L64" i="62"/>
  <c r="AC27" i="62"/>
  <c r="AC29" i="62" s="1"/>
  <c r="AC34" i="65"/>
  <c r="AD27" i="62"/>
  <c r="AD29" i="62" s="1"/>
  <c r="AD34" i="65"/>
  <c r="AC45" i="62"/>
  <c r="AC62" i="62" s="1"/>
  <c r="AD45" i="62"/>
  <c r="T85" i="62"/>
  <c r="T79" i="62"/>
  <c r="T54" i="62"/>
  <c r="T50" i="62"/>
  <c r="T39" i="62"/>
  <c r="T35" i="62"/>
  <c r="T20" i="62"/>
  <c r="T16" i="62"/>
  <c r="T40" i="65"/>
  <c r="T29" i="65"/>
  <c r="T21" i="65"/>
  <c r="T14" i="65"/>
  <c r="AC41" i="65" l="1"/>
  <c r="AC43" i="65" s="1"/>
  <c r="AC45" i="65" s="1"/>
  <c r="AD41" i="65"/>
  <c r="AD43" i="65" s="1"/>
  <c r="AD45" i="65" s="1"/>
  <c r="AD62" i="62"/>
  <c r="AD64" i="62" s="1"/>
  <c r="T34" i="65"/>
  <c r="T60" i="62"/>
  <c r="T27" i="62"/>
  <c r="T29" i="62" s="1"/>
  <c r="T45" i="62"/>
  <c r="T62" i="62" s="1"/>
  <c r="C85" i="62"/>
  <c r="B85" i="62"/>
  <c r="C79" i="62"/>
  <c r="B79" i="62"/>
  <c r="C59" i="62"/>
  <c r="C54" i="62" s="1"/>
  <c r="B59" i="62"/>
  <c r="B54" i="62" s="1"/>
  <c r="C39" i="62"/>
  <c r="B39" i="62"/>
  <c r="C28" i="62"/>
  <c r="B28" i="62"/>
  <c r="C20" i="62"/>
  <c r="B20" i="62"/>
  <c r="C27" i="62"/>
  <c r="C40" i="65"/>
  <c r="B40" i="65"/>
  <c r="C23" i="65"/>
  <c r="C29" i="65" s="1"/>
  <c r="B23" i="65"/>
  <c r="B29" i="65" s="1"/>
  <c r="C19" i="65"/>
  <c r="C21" i="65" s="1"/>
  <c r="B19" i="65"/>
  <c r="B21" i="65" s="1"/>
  <c r="B14" i="65"/>
  <c r="C11" i="65"/>
  <c r="C14" i="65" s="1"/>
  <c r="B27" i="62" l="1"/>
  <c r="B29" i="62" s="1"/>
  <c r="T41" i="65"/>
  <c r="T43" i="65" s="1"/>
  <c r="T45" i="65" s="1"/>
  <c r="B60" i="62"/>
  <c r="C60" i="62"/>
  <c r="C29" i="62"/>
  <c r="C45" i="62"/>
  <c r="B45" i="62"/>
  <c r="B34" i="65"/>
  <c r="C91" i="62"/>
  <c r="C34" i="65"/>
  <c r="AA85" i="62"/>
  <c r="Z85" i="62"/>
  <c r="AA79" i="62"/>
  <c r="Z79" i="62"/>
  <c r="AA54" i="62"/>
  <c r="Z54" i="62"/>
  <c r="AA39" i="62"/>
  <c r="Z39" i="62"/>
  <c r="AA35" i="62"/>
  <c r="Z35" i="62"/>
  <c r="AA20" i="62"/>
  <c r="Z20" i="62"/>
  <c r="AA40" i="65"/>
  <c r="Z40" i="65"/>
  <c r="AA29" i="65"/>
  <c r="Z29" i="65"/>
  <c r="AA21" i="65"/>
  <c r="Z21" i="65"/>
  <c r="AA14" i="65"/>
  <c r="Z14" i="65"/>
  <c r="B62" i="62" l="1"/>
  <c r="C62" i="62"/>
  <c r="C64" i="62"/>
  <c r="AA60" i="62"/>
  <c r="C41" i="65"/>
  <c r="C43" i="65" s="1"/>
  <c r="C45" i="65" s="1"/>
  <c r="B41" i="65"/>
  <c r="B43" i="65" s="1"/>
  <c r="B45" i="65" s="1"/>
  <c r="Z34" i="65"/>
  <c r="Z27" i="62"/>
  <c r="Z29" i="62" s="1"/>
  <c r="AA27" i="62"/>
  <c r="AA29" i="62" s="1"/>
  <c r="AA34" i="65"/>
  <c r="Z45" i="62"/>
  <c r="AA45" i="62"/>
  <c r="AA91" i="62"/>
  <c r="Z91" i="62"/>
  <c r="Z60" i="62"/>
  <c r="AM85" i="62"/>
  <c r="AL85" i="62"/>
  <c r="AM79" i="62"/>
  <c r="AL79" i="62"/>
  <c r="AL56" i="62"/>
  <c r="AL54" i="62" s="1"/>
  <c r="AM54" i="62"/>
  <c r="AM53" i="62"/>
  <c r="AL50" i="62"/>
  <c r="AM39" i="62"/>
  <c r="AL39" i="62"/>
  <c r="AM38" i="62"/>
  <c r="AM35" i="62" s="1"/>
  <c r="AL38" i="62"/>
  <c r="AL35" i="62" s="1"/>
  <c r="AM28" i="62"/>
  <c r="AL28" i="62"/>
  <c r="AM20" i="62"/>
  <c r="AL20" i="62"/>
  <c r="AM19" i="62"/>
  <c r="AM16" i="62" s="1"/>
  <c r="AL19" i="62"/>
  <c r="AL16" i="62" s="1"/>
  <c r="AM40" i="65"/>
  <c r="AL40" i="65"/>
  <c r="AM29" i="65"/>
  <c r="AL29" i="65"/>
  <c r="AM21" i="65"/>
  <c r="AL19" i="65"/>
  <c r="AL21" i="65" s="1"/>
  <c r="AM14" i="65"/>
  <c r="AL14" i="65"/>
  <c r="AM50" i="62" l="1"/>
  <c r="AM60" i="62" s="1"/>
  <c r="AN53" i="62"/>
  <c r="AA62" i="62"/>
  <c r="AA64" i="62"/>
  <c r="Z41" i="65"/>
  <c r="Z43" i="65" s="1"/>
  <c r="Z45" i="65" s="1"/>
  <c r="AA41" i="65"/>
  <c r="AA43" i="65" s="1"/>
  <c r="AA45" i="65" s="1"/>
  <c r="AL45" i="62"/>
  <c r="Z62" i="62"/>
  <c r="Z64" i="62" s="1"/>
  <c r="AM45" i="62"/>
  <c r="AL27" i="62"/>
  <c r="AL29" i="62" s="1"/>
  <c r="AL34" i="65"/>
  <c r="AM62" i="62"/>
  <c r="AM27" i="62"/>
  <c r="AM29" i="62" s="1"/>
  <c r="AM34" i="65"/>
  <c r="AL60" i="62"/>
  <c r="AM91" i="62"/>
  <c r="AJ85" i="62"/>
  <c r="AI85" i="62"/>
  <c r="AJ79" i="62"/>
  <c r="AI79" i="62"/>
  <c r="AJ54" i="62"/>
  <c r="AI54" i="62"/>
  <c r="AJ39" i="62"/>
  <c r="AI39" i="62"/>
  <c r="AJ35" i="62"/>
  <c r="AI35" i="62"/>
  <c r="AJ20" i="62"/>
  <c r="AI20" i="62"/>
  <c r="AJ16" i="62"/>
  <c r="AI16" i="62"/>
  <c r="AJ40" i="65"/>
  <c r="AJ29" i="65"/>
  <c r="AJ21" i="65"/>
  <c r="AJ14" i="65"/>
  <c r="AL62" i="62" l="1"/>
  <c r="AN50" i="62"/>
  <c r="AM64" i="62"/>
  <c r="AM41" i="65"/>
  <c r="AM43" i="65" s="1"/>
  <c r="AM45" i="65" s="1"/>
  <c r="AL41" i="65"/>
  <c r="AL43" i="65" s="1"/>
  <c r="AL45" i="65" s="1"/>
  <c r="AI60" i="62"/>
  <c r="AJ34" i="65"/>
  <c r="AJ27" i="62"/>
  <c r="AJ29" i="62" s="1"/>
  <c r="AJ60" i="62"/>
  <c r="AI45" i="62"/>
  <c r="AJ45" i="62"/>
  <c r="AJ91" i="62"/>
  <c r="AI27" i="62"/>
  <c r="AI29" i="62" s="1"/>
  <c r="AJ18" i="75"/>
  <c r="AI18" i="75"/>
  <c r="AJ16" i="75"/>
  <c r="AI16" i="75"/>
  <c r="AH14" i="75"/>
  <c r="AE14" i="75"/>
  <c r="O85" i="62"/>
  <c r="N85" i="62"/>
  <c r="O79" i="62"/>
  <c r="N79" i="62"/>
  <c r="O59" i="62"/>
  <c r="O54" i="62" s="1"/>
  <c r="N59" i="62"/>
  <c r="N54" i="62" s="1"/>
  <c r="O39" i="62"/>
  <c r="N39" i="62"/>
  <c r="O35" i="62"/>
  <c r="N35" i="62"/>
  <c r="O28" i="62"/>
  <c r="N28" i="62"/>
  <c r="O20" i="62"/>
  <c r="N20" i="62"/>
  <c r="O16" i="62"/>
  <c r="N16" i="62"/>
  <c r="P16" i="62" s="1"/>
  <c r="O40" i="65"/>
  <c r="N40" i="65"/>
  <c r="O23" i="65"/>
  <c r="O29" i="65" s="1"/>
  <c r="N23" i="65"/>
  <c r="N29" i="65" s="1"/>
  <c r="O19" i="65"/>
  <c r="O21" i="65" s="1"/>
  <c r="N19" i="65"/>
  <c r="N21" i="65" s="1"/>
  <c r="O14" i="65"/>
  <c r="N14" i="65"/>
  <c r="AK16" i="75" l="1"/>
  <c r="AI62" i="62"/>
  <c r="AJ41" i="65"/>
  <c r="AJ43" i="65" s="1"/>
  <c r="AJ45" i="65" s="1"/>
  <c r="AJ62" i="62"/>
  <c r="AJ64" i="62" s="1"/>
  <c r="AK18" i="75"/>
  <c r="O60" i="62"/>
  <c r="N45" i="62"/>
  <c r="O34" i="65"/>
  <c r="O45" i="62"/>
  <c r="N27" i="62"/>
  <c r="N29" i="62" s="1"/>
  <c r="O91" i="62"/>
  <c r="O27" i="62"/>
  <c r="O29" i="62" s="1"/>
  <c r="N60" i="62"/>
  <c r="N34" i="65"/>
  <c r="F9" i="4"/>
  <c r="F8" i="4"/>
  <c r="N62" i="8"/>
  <c r="I13" i="9"/>
  <c r="N12" i="8"/>
  <c r="D13" i="9"/>
  <c r="AS89" i="62"/>
  <c r="AS88" i="62"/>
  <c r="AS87" i="62"/>
  <c r="AS84" i="62"/>
  <c r="AS83" i="62"/>
  <c r="AS82" i="62"/>
  <c r="AS81" i="62"/>
  <c r="AS78" i="62"/>
  <c r="AS76" i="62"/>
  <c r="AS75" i="62"/>
  <c r="AS74" i="62"/>
  <c r="AS73" i="62"/>
  <c r="AS71" i="62"/>
  <c r="AS70" i="62"/>
  <c r="AS68" i="62"/>
  <c r="AS61" i="62"/>
  <c r="AS58" i="62"/>
  <c r="AS57" i="62"/>
  <c r="AS56" i="62"/>
  <c r="AS53" i="62"/>
  <c r="AS52" i="62"/>
  <c r="AS51" i="62"/>
  <c r="AS49" i="62"/>
  <c r="AS48" i="62"/>
  <c r="AS46" i="62"/>
  <c r="AS43" i="62"/>
  <c r="AS42" i="62"/>
  <c r="AS41" i="62"/>
  <c r="AS40" i="62"/>
  <c r="AS37" i="62"/>
  <c r="AS36" i="62"/>
  <c r="AS34" i="62"/>
  <c r="AS33" i="62"/>
  <c r="AS26" i="62"/>
  <c r="AS25" i="62"/>
  <c r="AS24" i="62"/>
  <c r="AS23" i="62"/>
  <c r="AS22" i="62"/>
  <c r="AS21" i="62"/>
  <c r="AS18" i="62"/>
  <c r="AS17" i="62"/>
  <c r="AS15" i="62"/>
  <c r="AS14" i="62"/>
  <c r="AR89" i="62"/>
  <c r="AR88" i="62"/>
  <c r="AR87" i="62"/>
  <c r="AR86" i="62"/>
  <c r="AR84" i="62"/>
  <c r="AR83" i="62"/>
  <c r="AR82" i="62"/>
  <c r="AR81" i="62"/>
  <c r="AR78" i="62"/>
  <c r="AR77" i="62"/>
  <c r="AR76" i="62"/>
  <c r="AR75" i="62"/>
  <c r="AR74" i="62"/>
  <c r="AR73" i="62"/>
  <c r="AR71" i="62"/>
  <c r="AR70" i="62"/>
  <c r="AR69" i="62"/>
  <c r="AR68" i="62"/>
  <c r="AR61" i="62"/>
  <c r="AR58" i="62"/>
  <c r="AR57" i="62"/>
  <c r="AR56" i="62"/>
  <c r="AR53" i="62"/>
  <c r="AR52" i="62"/>
  <c r="AR51" i="62"/>
  <c r="AR49" i="62"/>
  <c r="AR48" i="62"/>
  <c r="AR46" i="62"/>
  <c r="AR44" i="62"/>
  <c r="AR43" i="62"/>
  <c r="AR42" i="62"/>
  <c r="AR41" i="62"/>
  <c r="AR40" i="62"/>
  <c r="AR37" i="62"/>
  <c r="AR36" i="62"/>
  <c r="AR33" i="62"/>
  <c r="AR26" i="62"/>
  <c r="AR25" i="62"/>
  <c r="AR24" i="62"/>
  <c r="AR23" i="62"/>
  <c r="AR22" i="62"/>
  <c r="AR21" i="62"/>
  <c r="AR18" i="62"/>
  <c r="AR17" i="62"/>
  <c r="AR15" i="62"/>
  <c r="AR14" i="62"/>
  <c r="AP89" i="62"/>
  <c r="AP88" i="62"/>
  <c r="AP87" i="62"/>
  <c r="AP84" i="62"/>
  <c r="AP83" i="62"/>
  <c r="AP82" i="62"/>
  <c r="AP81" i="62"/>
  <c r="AP78" i="62"/>
  <c r="AP76" i="62"/>
  <c r="AP75" i="62"/>
  <c r="AP74" i="62"/>
  <c r="AP73" i="62"/>
  <c r="AP71" i="62"/>
  <c r="AP70" i="62"/>
  <c r="AP68" i="62"/>
  <c r="AP61" i="62"/>
  <c r="AP58" i="62"/>
  <c r="AP57" i="62"/>
  <c r="AP56" i="62"/>
  <c r="AP53" i="62"/>
  <c r="AP52" i="62"/>
  <c r="AP51" i="62"/>
  <c r="AP49" i="62"/>
  <c r="AP48" i="62"/>
  <c r="AP46" i="62"/>
  <c r="AP43" i="62"/>
  <c r="AP42" i="62"/>
  <c r="AP41" i="62"/>
  <c r="AP40" i="62"/>
  <c r="AP37" i="62"/>
  <c r="AP36" i="62"/>
  <c r="AP34" i="62"/>
  <c r="AP33" i="62"/>
  <c r="AP26" i="62"/>
  <c r="AP25" i="62"/>
  <c r="AP24" i="62"/>
  <c r="AP23" i="62"/>
  <c r="AP22" i="62"/>
  <c r="AP21" i="62"/>
  <c r="AP18" i="62"/>
  <c r="AP17" i="62"/>
  <c r="AP15" i="62"/>
  <c r="AP14" i="62"/>
  <c r="AO89" i="62"/>
  <c r="AO88" i="62"/>
  <c r="AO87" i="62"/>
  <c r="AO86" i="62"/>
  <c r="AO84" i="62"/>
  <c r="AO83" i="62"/>
  <c r="AO82" i="62"/>
  <c r="AO81" i="62"/>
  <c r="AO78" i="62"/>
  <c r="AO77" i="62"/>
  <c r="AO76" i="62"/>
  <c r="AO75" i="62"/>
  <c r="AO74" i="62"/>
  <c r="AO73" i="62"/>
  <c r="AO71" i="62"/>
  <c r="AO70" i="62"/>
  <c r="AO69" i="62"/>
  <c r="AO68" i="62"/>
  <c r="AO61" i="62"/>
  <c r="AO58" i="62"/>
  <c r="AO57" i="62"/>
  <c r="AO56" i="62"/>
  <c r="AO53" i="62"/>
  <c r="AO52" i="62"/>
  <c r="AO51" i="62"/>
  <c r="AO49" i="62"/>
  <c r="AO48" i="62"/>
  <c r="AO46" i="62"/>
  <c r="AO44" i="62"/>
  <c r="AO43" i="62"/>
  <c r="AO42" i="62"/>
  <c r="AO41" i="62"/>
  <c r="AO40" i="62"/>
  <c r="AO37" i="62"/>
  <c r="AO36" i="62"/>
  <c r="AO33" i="62"/>
  <c r="AO26" i="62"/>
  <c r="AO25" i="62"/>
  <c r="AO24" i="62"/>
  <c r="AO23" i="62"/>
  <c r="AO22" i="62"/>
  <c r="AO21" i="62"/>
  <c r="AO18" i="62"/>
  <c r="AO17" i="62"/>
  <c r="AO15" i="62"/>
  <c r="AO14" i="62"/>
  <c r="J89" i="62"/>
  <c r="J86" i="62"/>
  <c r="J79" i="62"/>
  <c r="J73" i="62"/>
  <c r="J69" i="62"/>
  <c r="J68" i="62"/>
  <c r="J46" i="62"/>
  <c r="J44" i="62"/>
  <c r="J41" i="62"/>
  <c r="J39" i="62"/>
  <c r="J28" i="62"/>
  <c r="J25" i="62"/>
  <c r="J22" i="62"/>
  <c r="J20" i="62"/>
  <c r="AS20" i="65"/>
  <c r="AS17" i="65"/>
  <c r="AS16" i="65"/>
  <c r="AS15" i="65"/>
  <c r="AS13" i="65"/>
  <c r="AS12" i="65"/>
  <c r="AR20" i="65"/>
  <c r="AR17" i="65"/>
  <c r="AR16" i="65"/>
  <c r="AR15" i="65"/>
  <c r="AR13" i="65"/>
  <c r="AR12" i="65"/>
  <c r="AP44" i="65"/>
  <c r="AP42" i="65"/>
  <c r="AP38" i="65"/>
  <c r="AP37" i="65"/>
  <c r="AP33" i="65"/>
  <c r="AP32" i="65"/>
  <c r="AP31" i="65"/>
  <c r="AP30" i="65"/>
  <c r="AP28" i="65"/>
  <c r="AP27" i="65"/>
  <c r="AP26" i="65"/>
  <c r="AP25" i="65"/>
  <c r="AP24" i="65"/>
  <c r="AP20" i="65"/>
  <c r="AP17" i="65"/>
  <c r="AP16" i="65"/>
  <c r="AP15" i="65"/>
  <c r="AP13" i="65"/>
  <c r="AP12" i="65"/>
  <c r="AO44" i="65"/>
  <c r="AO42" i="65"/>
  <c r="AO38" i="65"/>
  <c r="AO37" i="65"/>
  <c r="AO33" i="65"/>
  <c r="AO32" i="65"/>
  <c r="AO31" i="65"/>
  <c r="AO30" i="65"/>
  <c r="AO28" i="65"/>
  <c r="AO27" i="65"/>
  <c r="AO26" i="65"/>
  <c r="AO25" i="65"/>
  <c r="AO24" i="65"/>
  <c r="AO20" i="65"/>
  <c r="AO17" i="65"/>
  <c r="AO16" i="65"/>
  <c r="AO15" i="65"/>
  <c r="AO13" i="65"/>
  <c r="AO12" i="65"/>
  <c r="J42" i="65"/>
  <c r="J40" i="65"/>
  <c r="J37" i="65"/>
  <c r="J32" i="65"/>
  <c r="J29" i="65"/>
  <c r="J23" i="65"/>
  <c r="J21" i="65"/>
  <c r="J19" i="65"/>
  <c r="J17" i="65"/>
  <c r="J15" i="65"/>
  <c r="J12" i="65"/>
  <c r="J11" i="65"/>
  <c r="K8" i="74"/>
  <c r="O62" i="62" l="1"/>
  <c r="O41" i="65"/>
  <c r="O43" i="65" s="1"/>
  <c r="O45" i="65" s="1"/>
  <c r="N41" i="65"/>
  <c r="N43" i="65" s="1"/>
  <c r="N45" i="65" s="1"/>
  <c r="O64" i="62"/>
  <c r="N62" i="62"/>
  <c r="D47" i="74"/>
  <c r="D8" i="74"/>
  <c r="M12" i="8"/>
  <c r="D54" i="9"/>
  <c r="I54" i="9"/>
  <c r="M62" i="8"/>
  <c r="J45" i="62"/>
  <c r="J91" i="62"/>
  <c r="J27" i="62"/>
  <c r="J14" i="65"/>
  <c r="K7" i="74"/>
  <c r="L7" i="74"/>
  <c r="D48" i="74"/>
  <c r="D7" i="74"/>
  <c r="J29" i="62" l="1"/>
  <c r="J62" i="62"/>
  <c r="J34" i="65"/>
  <c r="AS11" i="65" l="1"/>
  <c r="AP11" i="65"/>
  <c r="AS59" i="62"/>
  <c r="AP59" i="62"/>
  <c r="AR11" i="65"/>
  <c r="AO11" i="65"/>
  <c r="AO59" i="62"/>
  <c r="AR59" i="62"/>
  <c r="AO23" i="65"/>
  <c r="AP23" i="65"/>
  <c r="J64" i="62"/>
  <c r="J41" i="65"/>
  <c r="J43" i="65" l="1"/>
  <c r="AP77" i="62" l="1"/>
  <c r="AS77" i="62"/>
  <c r="AO34" i="62"/>
  <c r="AR34" i="62"/>
  <c r="AP86" i="62"/>
  <c r="AS86" i="62"/>
  <c r="J45" i="65"/>
  <c r="AR55" i="62" l="1"/>
  <c r="AO55" i="62"/>
  <c r="AP55" i="62"/>
  <c r="AS55" i="62"/>
  <c r="AR19" i="62" l="1"/>
  <c r="AO19" i="62"/>
  <c r="AP19" i="62"/>
  <c r="AS19" i="62"/>
  <c r="AO50" i="62"/>
  <c r="AR50" i="62"/>
  <c r="AO28" i="62"/>
  <c r="AR28" i="62"/>
  <c r="AR38" i="62"/>
  <c r="AO38" i="62"/>
  <c r="AP19" i="65"/>
  <c r="AS19" i="65"/>
  <c r="AP38" i="62"/>
  <c r="AS38" i="62"/>
  <c r="AP69" i="62" l="1"/>
  <c r="AS69" i="62"/>
  <c r="AO16" i="62" l="1"/>
  <c r="AR16" i="62"/>
  <c r="AP40" i="65" l="1"/>
  <c r="AO40" i="65"/>
  <c r="AP29" i="65"/>
  <c r="AO29" i="65"/>
  <c r="AS14" i="65" l="1"/>
  <c r="AP14" i="65"/>
  <c r="AR14" i="65"/>
  <c r="AO14" i="65"/>
  <c r="AS50" i="62"/>
  <c r="AP50" i="62"/>
  <c r="AO20" i="62"/>
  <c r="AR20" i="62"/>
  <c r="AR19" i="65"/>
  <c r="AO19" i="65"/>
  <c r="AR79" i="62"/>
  <c r="AO79" i="62"/>
  <c r="AR35" i="62"/>
  <c r="AO35" i="62"/>
  <c r="AP79" i="62"/>
  <c r="AS79" i="62"/>
  <c r="AS35" i="62"/>
  <c r="AP35" i="62"/>
  <c r="AO54" i="62"/>
  <c r="AR54" i="62"/>
  <c r="AS20" i="62"/>
  <c r="AP20" i="62"/>
  <c r="AS28" i="62"/>
  <c r="AP28" i="62"/>
  <c r="AR39" i="62"/>
  <c r="AO39" i="62"/>
  <c r="AS85" i="62"/>
  <c r="AP85" i="62"/>
  <c r="AP16" i="62"/>
  <c r="AS16" i="62"/>
  <c r="AS54" i="62"/>
  <c r="AP54" i="62"/>
  <c r="AS21" i="65"/>
  <c r="AP21" i="65"/>
  <c r="AO85" i="62"/>
  <c r="AR85" i="62"/>
  <c r="AP44" i="62"/>
  <c r="AS44" i="62"/>
  <c r="AP91" i="62" l="1"/>
  <c r="AS91" i="62"/>
  <c r="AO60" i="62"/>
  <c r="AR60" i="62"/>
  <c r="AO45" i="62"/>
  <c r="AR45" i="62"/>
  <c r="AO34" i="65"/>
  <c r="AP34" i="65"/>
  <c r="AS60" i="62"/>
  <c r="AP60" i="62"/>
  <c r="AO91" i="62"/>
  <c r="AR91" i="62"/>
  <c r="AO21" i="65"/>
  <c r="AR21" i="65"/>
  <c r="AS45" i="62"/>
  <c r="AP45" i="62"/>
  <c r="AR27" i="62"/>
  <c r="AO27" i="62"/>
  <c r="AP27" i="62"/>
  <c r="AS27" i="62"/>
  <c r="AP39" i="62"/>
  <c r="AS39" i="62"/>
  <c r="AS62" i="62" l="1"/>
  <c r="AP62" i="62"/>
  <c r="AO62" i="62"/>
  <c r="AR62" i="62"/>
  <c r="AP29" i="62"/>
  <c r="AS29" i="62"/>
  <c r="AO41" i="65"/>
  <c r="AO29" i="62"/>
  <c r="AR29" i="62"/>
  <c r="AP41" i="65"/>
  <c r="S73" i="62"/>
  <c r="AO64" i="62" l="1"/>
  <c r="AR64" i="62"/>
  <c r="AP45" i="65"/>
  <c r="AP43" i="65"/>
  <c r="AO45" i="65"/>
  <c r="AO43" i="65"/>
  <c r="AP64" i="62"/>
  <c r="AS64" i="62"/>
  <c r="F29" i="4" l="1"/>
  <c r="B29" i="4"/>
  <c r="B22" i="4"/>
  <c r="E29" i="4"/>
  <c r="E22" i="4"/>
  <c r="F22" i="4"/>
  <c r="C22" i="4"/>
  <c r="C29" i="4"/>
  <c r="G76" i="62" l="1"/>
  <c r="K32" i="13" l="1"/>
  <c r="K33" i="20"/>
  <c r="J33" i="35"/>
  <c r="J30" i="29"/>
  <c r="J30" i="18"/>
  <c r="F33" i="4"/>
  <c r="I33" i="18" s="1"/>
  <c r="E33" i="4"/>
  <c r="F32" i="4"/>
  <c r="E32" i="4"/>
  <c r="F31" i="4"/>
  <c r="E31" i="4"/>
  <c r="F30" i="4"/>
  <c r="F25" i="4"/>
  <c r="C27" i="4" l="1"/>
  <c r="E24" i="4"/>
  <c r="E30" i="4"/>
  <c r="F24" i="4"/>
  <c r="B26" i="4"/>
  <c r="F26" i="4"/>
  <c r="C24" i="4"/>
  <c r="E26" i="4"/>
  <c r="B30" i="4"/>
  <c r="C23" i="4"/>
  <c r="C31" i="4"/>
  <c r="F27" i="4"/>
  <c r="C25" i="4"/>
  <c r="B24" i="4"/>
  <c r="C26" i="4"/>
  <c r="E25" i="4"/>
  <c r="C30" i="4"/>
  <c r="B23" i="4"/>
  <c r="B27" i="4"/>
  <c r="B31" i="4"/>
  <c r="J32" i="16"/>
  <c r="B32" i="4"/>
  <c r="C32" i="4"/>
  <c r="B25" i="4"/>
  <c r="E23" i="4"/>
  <c r="B33" i="4"/>
  <c r="E27" i="4"/>
  <c r="F23" i="4"/>
  <c r="C33" i="4"/>
  <c r="K33" i="16"/>
  <c r="J33" i="20"/>
  <c r="L33" i="20" s="1"/>
  <c r="J33" i="33"/>
  <c r="J33" i="29"/>
  <c r="J31" i="16"/>
  <c r="J25" i="29"/>
  <c r="J25" i="23"/>
  <c r="L25" i="23" s="1"/>
  <c r="J25" i="20"/>
  <c r="J25" i="13"/>
  <c r="J32" i="18"/>
  <c r="J32" i="33"/>
  <c r="J32" i="29"/>
  <c r="J26" i="18"/>
  <c r="J26" i="37"/>
  <c r="J26" i="33"/>
  <c r="J26" i="35"/>
  <c r="J26" i="29"/>
  <c r="J26" i="23"/>
  <c r="J26" i="20"/>
  <c r="K23" i="33"/>
  <c r="J33" i="18"/>
  <c r="J33" i="37"/>
  <c r="K31" i="16"/>
  <c r="K31" i="23"/>
  <c r="K30" i="16"/>
  <c r="K25" i="18"/>
  <c r="K25" i="37"/>
  <c r="K25" i="33"/>
  <c r="K25" i="29"/>
  <c r="K25" i="23"/>
  <c r="K25" i="20"/>
  <c r="K25" i="13"/>
  <c r="K23" i="37"/>
  <c r="K32" i="18"/>
  <c r="K32" i="33"/>
  <c r="K32" i="29"/>
  <c r="K32" i="23"/>
  <c r="J30" i="16"/>
  <c r="K33" i="23"/>
  <c r="K32" i="20"/>
  <c r="K26" i="18"/>
  <c r="K26" i="33"/>
  <c r="K26" i="29"/>
  <c r="K26" i="20"/>
  <c r="K23" i="35"/>
  <c r="K23" i="13"/>
  <c r="K33" i="18"/>
  <c r="K33" i="33"/>
  <c r="K33" i="29"/>
  <c r="K26" i="35"/>
  <c r="J23" i="37"/>
  <c r="L23" i="37" s="1"/>
  <c r="K26" i="37"/>
  <c r="K26" i="23"/>
  <c r="K31" i="13"/>
  <c r="J23" i="18"/>
  <c r="L23" i="18" s="1"/>
  <c r="J23" i="29"/>
  <c r="J23" i="23"/>
  <c r="J25" i="18"/>
  <c r="L25" i="18" s="1"/>
  <c r="J25" i="37"/>
  <c r="L25" i="37" s="1"/>
  <c r="J25" i="33"/>
  <c r="J33" i="16"/>
  <c r="K24" i="24"/>
  <c r="K24" i="23"/>
  <c r="K24" i="13"/>
  <c r="K31" i="18"/>
  <c r="K31" i="33"/>
  <c r="K31" i="29"/>
  <c r="J23" i="16"/>
  <c r="J23" i="35"/>
  <c r="L23" i="35" s="1"/>
  <c r="J23" i="13"/>
  <c r="L23" i="13" s="1"/>
  <c r="K30" i="13"/>
  <c r="K24" i="33"/>
  <c r="K24" i="29"/>
  <c r="J31" i="37"/>
  <c r="J31" i="24"/>
  <c r="J31" i="35"/>
  <c r="J31" i="13"/>
  <c r="L31" i="13" s="1"/>
  <c r="J24" i="37"/>
  <c r="J24" i="33"/>
  <c r="J24" i="29"/>
  <c r="J24" i="24"/>
  <c r="L24" i="24" s="1"/>
  <c r="J24" i="23"/>
  <c r="L24" i="23" s="1"/>
  <c r="J24" i="13"/>
  <c r="K23" i="18"/>
  <c r="K23" i="29"/>
  <c r="K23" i="23"/>
  <c r="J31" i="18"/>
  <c r="J31" i="33"/>
  <c r="J31" i="29"/>
  <c r="K24" i="37"/>
  <c r="K30" i="37"/>
  <c r="J30" i="13"/>
  <c r="K32" i="16"/>
  <c r="K23" i="16"/>
  <c r="J23" i="33"/>
  <c r="L23" i="33" s="1"/>
  <c r="J30" i="33"/>
  <c r="J30" i="35"/>
  <c r="L30" i="35" s="1"/>
  <c r="J32" i="20"/>
  <c r="J32" i="13"/>
  <c r="L32" i="13" s="1"/>
  <c r="J30" i="37"/>
  <c r="K26" i="16"/>
  <c r="J32" i="37"/>
  <c r="J25" i="16"/>
  <c r="K30" i="18"/>
  <c r="L30" i="18" s="1"/>
  <c r="K30" i="33"/>
  <c r="K30" i="29"/>
  <c r="L30" i="29" s="1"/>
  <c r="K30" i="23"/>
  <c r="J27" i="16"/>
  <c r="K32" i="37"/>
  <c r="K30" i="35"/>
  <c r="J26" i="16"/>
  <c r="K25" i="16"/>
  <c r="J24" i="16"/>
  <c r="K24" i="16"/>
  <c r="K31" i="37"/>
  <c r="K33" i="37"/>
  <c r="K31" i="35"/>
  <c r="K33" i="35"/>
  <c r="L33" i="35" s="1"/>
  <c r="K31" i="24"/>
  <c r="K27" i="16"/>
  <c r="L30" i="33" l="1"/>
  <c r="L31" i="33"/>
  <c r="L24" i="29"/>
  <c r="L23" i="29"/>
  <c r="L26" i="35"/>
  <c r="L25" i="20"/>
  <c r="L31" i="29"/>
  <c r="L31" i="18"/>
  <c r="L26" i="18"/>
  <c r="L32" i="37"/>
  <c r="L24" i="37"/>
  <c r="L33" i="37"/>
  <c r="L26" i="37"/>
  <c r="L25" i="29"/>
  <c r="L33" i="18"/>
  <c r="L30" i="37"/>
  <c r="L30" i="13"/>
  <c r="L31" i="35"/>
  <c r="L32" i="29"/>
  <c r="L33" i="29"/>
  <c r="L24" i="13"/>
  <c r="L31" i="24"/>
  <c r="L26" i="20"/>
  <c r="L33" i="33"/>
  <c r="L24" i="33"/>
  <c r="L32" i="20"/>
  <c r="L31" i="37"/>
  <c r="L26" i="23"/>
  <c r="L32" i="18"/>
  <c r="L23" i="23"/>
  <c r="L26" i="29"/>
  <c r="L25" i="13"/>
  <c r="L32" i="33"/>
  <c r="L25" i="33"/>
  <c r="L26" i="33"/>
  <c r="E9" i="4"/>
  <c r="E8" i="4"/>
  <c r="J9" i="72"/>
  <c r="E31" i="13" l="1"/>
  <c r="E31" i="37"/>
  <c r="E31" i="33"/>
  <c r="E31" i="24"/>
  <c r="E31" i="29"/>
  <c r="E31" i="16"/>
  <c r="E23" i="13"/>
  <c r="E23" i="37"/>
  <c r="E23" i="33"/>
  <c r="E23" i="29"/>
  <c r="E23" i="16"/>
  <c r="E25" i="16"/>
  <c r="E25" i="20"/>
  <c r="E25" i="13"/>
  <c r="E27" i="16"/>
  <c r="E30" i="13"/>
  <c r="E30" i="37"/>
  <c r="E30" i="29"/>
  <c r="E30" i="16"/>
  <c r="E30" i="33"/>
  <c r="E32" i="20"/>
  <c r="E32" i="13"/>
  <c r="E32" i="29"/>
  <c r="E32" i="16"/>
  <c r="E24" i="24"/>
  <c r="E24" i="13"/>
  <c r="E24" i="29"/>
  <c r="E24" i="33"/>
  <c r="E24" i="16"/>
  <c r="E24" i="37"/>
  <c r="E33" i="16"/>
  <c r="E33" i="20"/>
  <c r="E26" i="20"/>
  <c r="E26" i="16"/>
  <c r="K7" i="72"/>
  <c r="K9" i="72"/>
  <c r="L9" i="72" s="1"/>
  <c r="J7" i="72"/>
  <c r="D48" i="72"/>
  <c r="D7" i="72"/>
  <c r="D9" i="72"/>
  <c r="AN44" i="65"/>
  <c r="AB44" i="65"/>
  <c r="Y44" i="65"/>
  <c r="V44" i="65"/>
  <c r="G44" i="65"/>
  <c r="AN42" i="65"/>
  <c r="AK42" i="65"/>
  <c r="AE42" i="65"/>
  <c r="AB42" i="65"/>
  <c r="S42" i="65"/>
  <c r="P42" i="65"/>
  <c r="M42" i="65"/>
  <c r="G42" i="65"/>
  <c r="D42" i="65"/>
  <c r="AN40" i="65"/>
  <c r="AK40" i="65"/>
  <c r="AE40" i="65"/>
  <c r="AB40" i="65"/>
  <c r="Y40" i="65"/>
  <c r="V40" i="65"/>
  <c r="S40" i="65"/>
  <c r="P40" i="65"/>
  <c r="M40" i="65"/>
  <c r="G40" i="65"/>
  <c r="D40" i="65"/>
  <c r="AN38" i="65"/>
  <c r="AK38" i="65"/>
  <c r="AE38" i="65"/>
  <c r="AB38" i="65"/>
  <c r="Y38" i="65"/>
  <c r="V38" i="65"/>
  <c r="M38" i="65"/>
  <c r="G38" i="65"/>
  <c r="AN37" i="65"/>
  <c r="AK37" i="65"/>
  <c r="AE37" i="65"/>
  <c r="AB37" i="65"/>
  <c r="Y37" i="65"/>
  <c r="V37" i="65"/>
  <c r="S37" i="65"/>
  <c r="P37" i="65"/>
  <c r="M37" i="65"/>
  <c r="G37" i="65"/>
  <c r="D37" i="65"/>
  <c r="AN33" i="65"/>
  <c r="AK33" i="65"/>
  <c r="AB33" i="65"/>
  <c r="Y33" i="65"/>
  <c r="V33" i="65"/>
  <c r="G33" i="65"/>
  <c r="AN32" i="65"/>
  <c r="AK32" i="65"/>
  <c r="AH32" i="65"/>
  <c r="AB32" i="65"/>
  <c r="Y32" i="65"/>
  <c r="V32" i="65"/>
  <c r="S32" i="65"/>
  <c r="P32" i="65"/>
  <c r="M32" i="65"/>
  <c r="G32" i="65"/>
  <c r="D32" i="65"/>
  <c r="AN31" i="65"/>
  <c r="AK31" i="65"/>
  <c r="AE31" i="65"/>
  <c r="AB31" i="65"/>
  <c r="V31" i="65"/>
  <c r="P31" i="65"/>
  <c r="G31" i="65"/>
  <c r="AN30" i="65"/>
  <c r="AK30" i="65"/>
  <c r="AH30" i="65"/>
  <c r="AB30" i="65"/>
  <c r="Y30" i="65"/>
  <c r="V30" i="65"/>
  <c r="P30" i="65"/>
  <c r="G30" i="65"/>
  <c r="D30" i="65"/>
  <c r="AB29" i="65"/>
  <c r="AN28" i="65"/>
  <c r="AB28" i="65"/>
  <c r="G28" i="65"/>
  <c r="AN27" i="65"/>
  <c r="M27" i="65"/>
  <c r="G27" i="65"/>
  <c r="D27" i="65"/>
  <c r="AK26" i="65"/>
  <c r="AE26" i="65"/>
  <c r="AB26" i="65"/>
  <c r="Y26" i="65"/>
  <c r="V26" i="65"/>
  <c r="G26" i="65"/>
  <c r="AN25" i="65"/>
  <c r="AK25" i="65"/>
  <c r="AE25" i="65"/>
  <c r="AB25" i="65"/>
  <c r="Y25" i="65"/>
  <c r="V25" i="65"/>
  <c r="P25" i="65"/>
  <c r="G25" i="65"/>
  <c r="D25" i="65"/>
  <c r="AN24" i="65"/>
  <c r="AK24" i="65"/>
  <c r="AB24" i="65"/>
  <c r="Y24" i="65"/>
  <c r="P24" i="65"/>
  <c r="G24" i="65"/>
  <c r="AN23" i="65"/>
  <c r="AK23" i="65"/>
  <c r="AE23" i="65"/>
  <c r="AB23" i="65"/>
  <c r="Y23" i="65"/>
  <c r="V23" i="65"/>
  <c r="P23" i="65"/>
  <c r="M23" i="65"/>
  <c r="G23" i="65"/>
  <c r="D23" i="65"/>
  <c r="AE21" i="65"/>
  <c r="AN20" i="65"/>
  <c r="AK20" i="65"/>
  <c r="AH20" i="65"/>
  <c r="AB20" i="65"/>
  <c r="Y20" i="65"/>
  <c r="V20" i="65"/>
  <c r="P20" i="65"/>
  <c r="M20" i="65"/>
  <c r="G20" i="65"/>
  <c r="D20" i="65"/>
  <c r="AN19" i="65"/>
  <c r="AK19" i="65"/>
  <c r="AH19" i="65"/>
  <c r="AE19" i="65"/>
  <c r="AB19" i="65"/>
  <c r="Y19" i="65"/>
  <c r="V19" i="65"/>
  <c r="S19" i="65"/>
  <c r="P19" i="65"/>
  <c r="M19" i="65"/>
  <c r="G19" i="65"/>
  <c r="D19" i="65"/>
  <c r="AN17" i="65"/>
  <c r="AK17" i="65"/>
  <c r="AE17" i="65"/>
  <c r="AB17" i="65"/>
  <c r="Y17" i="65"/>
  <c r="V17" i="65"/>
  <c r="M17" i="65"/>
  <c r="G17" i="65"/>
  <c r="AN16" i="65"/>
  <c r="AK16" i="65"/>
  <c r="AH16" i="65"/>
  <c r="AB16" i="65"/>
  <c r="Y16" i="65"/>
  <c r="V16" i="65"/>
  <c r="P16" i="65"/>
  <c r="M16" i="65"/>
  <c r="G16" i="65"/>
  <c r="D16" i="65"/>
  <c r="AN15" i="65"/>
  <c r="AK15" i="65"/>
  <c r="AE15" i="65"/>
  <c r="AB15" i="65"/>
  <c r="Y15" i="65"/>
  <c r="V15" i="65"/>
  <c r="P15" i="65"/>
  <c r="M15" i="65"/>
  <c r="G15" i="65"/>
  <c r="D15" i="65"/>
  <c r="AN14" i="65"/>
  <c r="AB14" i="65"/>
  <c r="AN13" i="65"/>
  <c r="AK13" i="65"/>
  <c r="AH13" i="65"/>
  <c r="AB13" i="65"/>
  <c r="Y13" i="65"/>
  <c r="V13" i="65"/>
  <c r="P13" i="65"/>
  <c r="M13" i="65"/>
  <c r="G13" i="65"/>
  <c r="D13" i="65"/>
  <c r="AN12" i="65"/>
  <c r="AK12" i="65"/>
  <c r="AB12" i="65"/>
  <c r="P12" i="65"/>
  <c r="M12" i="65"/>
  <c r="G12" i="65"/>
  <c r="D12" i="65"/>
  <c r="AN11" i="65"/>
  <c r="AK11" i="65"/>
  <c r="AH11" i="65"/>
  <c r="AE11" i="65"/>
  <c r="AB11" i="65"/>
  <c r="Y11" i="65"/>
  <c r="V11" i="65"/>
  <c r="S11" i="65"/>
  <c r="P11" i="65"/>
  <c r="M11" i="65"/>
  <c r="G11" i="65"/>
  <c r="D11" i="65"/>
  <c r="AN89" i="62"/>
  <c r="AK89" i="62"/>
  <c r="AE89" i="62"/>
  <c r="AB89" i="62"/>
  <c r="Y89" i="62"/>
  <c r="V89" i="62"/>
  <c r="S89" i="62"/>
  <c r="P89" i="62"/>
  <c r="M89" i="62"/>
  <c r="G89" i="62"/>
  <c r="D89" i="62"/>
  <c r="AN88" i="62"/>
  <c r="AK88" i="62"/>
  <c r="AH88" i="62"/>
  <c r="AE88" i="62"/>
  <c r="AB88" i="62"/>
  <c r="Y88" i="62"/>
  <c r="V88" i="62"/>
  <c r="S88" i="62"/>
  <c r="P88" i="62"/>
  <c r="G88" i="62"/>
  <c r="D88" i="62"/>
  <c r="AK87" i="62"/>
  <c r="AN86" i="62"/>
  <c r="AK86" i="62"/>
  <c r="AE86" i="62"/>
  <c r="AB86" i="62"/>
  <c r="Y86" i="62"/>
  <c r="V86" i="62"/>
  <c r="P86" i="62"/>
  <c r="M86" i="62"/>
  <c r="G86" i="62"/>
  <c r="D86" i="62"/>
  <c r="AK83" i="62"/>
  <c r="Y83" i="62"/>
  <c r="V83" i="62"/>
  <c r="P83" i="62"/>
  <c r="G83" i="62"/>
  <c r="D83" i="62"/>
  <c r="AN81" i="62"/>
  <c r="AK81" i="62"/>
  <c r="AH81" i="62"/>
  <c r="AB81" i="62"/>
  <c r="Y81" i="62"/>
  <c r="V81" i="62"/>
  <c r="P81" i="62"/>
  <c r="M81" i="62"/>
  <c r="G81" i="62"/>
  <c r="D81" i="62"/>
  <c r="AN77" i="62"/>
  <c r="M77" i="62"/>
  <c r="G77" i="62"/>
  <c r="D77" i="62"/>
  <c r="AN76" i="62"/>
  <c r="AK76" i="62"/>
  <c r="AB76" i="62"/>
  <c r="Y76" i="62"/>
  <c r="V76" i="62"/>
  <c r="D76" i="62"/>
  <c r="AN75" i="62"/>
  <c r="AK75" i="62"/>
  <c r="AE75" i="62"/>
  <c r="AB75" i="62"/>
  <c r="Y75" i="62"/>
  <c r="V75" i="62"/>
  <c r="P75" i="62"/>
  <c r="G75" i="62"/>
  <c r="D75" i="62"/>
  <c r="AN74" i="62"/>
  <c r="AK74" i="62"/>
  <c r="AE74" i="62"/>
  <c r="AB74" i="62"/>
  <c r="Y74" i="62"/>
  <c r="V74" i="62"/>
  <c r="P74" i="62"/>
  <c r="M74" i="62"/>
  <c r="G74" i="62"/>
  <c r="D74" i="62"/>
  <c r="AN73" i="62"/>
  <c r="AK73" i="62"/>
  <c r="AE73" i="62"/>
  <c r="AB73" i="62"/>
  <c r="Y73" i="62"/>
  <c r="V73" i="62"/>
  <c r="P73" i="62"/>
  <c r="M73" i="62"/>
  <c r="G73" i="62"/>
  <c r="D73" i="62"/>
  <c r="AN71" i="62"/>
  <c r="AK71" i="62"/>
  <c r="AE71" i="62"/>
  <c r="AB71" i="62"/>
  <c r="V71" i="62"/>
  <c r="G71" i="62"/>
  <c r="AN70" i="62"/>
  <c r="AK70" i="62"/>
  <c r="AB70" i="62"/>
  <c r="Y70" i="62"/>
  <c r="V70" i="62"/>
  <c r="P70" i="62"/>
  <c r="G70" i="62"/>
  <c r="AN69" i="62"/>
  <c r="AK69" i="62"/>
  <c r="AH69" i="62"/>
  <c r="AE69" i="62"/>
  <c r="AB69" i="62"/>
  <c r="Y69" i="62"/>
  <c r="V69" i="62"/>
  <c r="S69" i="62"/>
  <c r="P69" i="62"/>
  <c r="M69" i="62"/>
  <c r="G69" i="62"/>
  <c r="D69" i="62"/>
  <c r="AN68" i="62"/>
  <c r="AK68" i="62"/>
  <c r="AH68" i="62"/>
  <c r="AE68" i="62"/>
  <c r="AB68" i="62"/>
  <c r="Y68" i="62"/>
  <c r="V68" i="62"/>
  <c r="S68" i="62"/>
  <c r="P68" i="62"/>
  <c r="M68" i="62"/>
  <c r="G68" i="62"/>
  <c r="D68" i="62"/>
  <c r="AK59" i="62"/>
  <c r="AB59" i="62"/>
  <c r="V59" i="62"/>
  <c r="P59" i="62"/>
  <c r="M59" i="62"/>
  <c r="D59" i="62"/>
  <c r="AN58" i="62"/>
  <c r="V58" i="62"/>
  <c r="AN57" i="62"/>
  <c r="Y57" i="62"/>
  <c r="V57" i="62"/>
  <c r="G57" i="62"/>
  <c r="AN56" i="62"/>
  <c r="AK56" i="62"/>
  <c r="V56" i="62"/>
  <c r="P56" i="62"/>
  <c r="G56" i="62"/>
  <c r="D56" i="62"/>
  <c r="AN55" i="62"/>
  <c r="AK55" i="62"/>
  <c r="AH55" i="62"/>
  <c r="AB55" i="62"/>
  <c r="Y55" i="62"/>
  <c r="V55" i="62"/>
  <c r="P55" i="62"/>
  <c r="M55" i="62"/>
  <c r="G55" i="62"/>
  <c r="D55" i="62"/>
  <c r="V53" i="62"/>
  <c r="V51" i="62"/>
  <c r="AN49" i="62"/>
  <c r="V49" i="62"/>
  <c r="AT48" i="62"/>
  <c r="AQ48" i="62"/>
  <c r="AK46" i="62"/>
  <c r="AB46" i="62"/>
  <c r="M46" i="62"/>
  <c r="D46" i="62"/>
  <c r="AK44" i="62"/>
  <c r="AE44" i="62"/>
  <c r="AB44" i="62"/>
  <c r="V44" i="62"/>
  <c r="P44" i="62"/>
  <c r="M44" i="62"/>
  <c r="G44" i="62"/>
  <c r="D44" i="62"/>
  <c r="AN43" i="62"/>
  <c r="AK43" i="62"/>
  <c r="AE43" i="62"/>
  <c r="AB43" i="62"/>
  <c r="V43" i="62"/>
  <c r="G43" i="62"/>
  <c r="D43" i="62"/>
  <c r="AE42" i="62"/>
  <c r="Y42" i="62"/>
  <c r="V42" i="62"/>
  <c r="G42" i="62"/>
  <c r="AN41" i="62"/>
  <c r="AK41" i="62"/>
  <c r="AE41" i="62"/>
  <c r="AB41" i="62"/>
  <c r="Y41" i="62"/>
  <c r="V41" i="62"/>
  <c r="P41" i="62"/>
  <c r="M41" i="62"/>
  <c r="G41" i="62"/>
  <c r="D41" i="62"/>
  <c r="AN40" i="62"/>
  <c r="AK40" i="62"/>
  <c r="AE40" i="62"/>
  <c r="AB40" i="62"/>
  <c r="Y40" i="62"/>
  <c r="V40" i="62"/>
  <c r="M40" i="62"/>
  <c r="G40" i="62"/>
  <c r="D40" i="62"/>
  <c r="AN38" i="62"/>
  <c r="AK38" i="62"/>
  <c r="AE38" i="62"/>
  <c r="AB38" i="62"/>
  <c r="Y38" i="62"/>
  <c r="V38" i="62"/>
  <c r="P38" i="62"/>
  <c r="AN37" i="62"/>
  <c r="AK37" i="62"/>
  <c r="AB37" i="62"/>
  <c r="V37" i="62"/>
  <c r="G37" i="62"/>
  <c r="AN36" i="62"/>
  <c r="AK36" i="62"/>
  <c r="AE36" i="62"/>
  <c r="AB36" i="62"/>
  <c r="Y36" i="62"/>
  <c r="V36" i="62"/>
  <c r="G36" i="62"/>
  <c r="G35" i="62"/>
  <c r="AN34" i="62"/>
  <c r="AK34" i="62"/>
  <c r="AE34" i="62"/>
  <c r="AB34" i="62"/>
  <c r="Y34" i="62"/>
  <c r="V34" i="62"/>
  <c r="G34" i="62"/>
  <c r="G33" i="62"/>
  <c r="AN28" i="62"/>
  <c r="AK28" i="62"/>
  <c r="AE28" i="62"/>
  <c r="AB28" i="62"/>
  <c r="Y28" i="62"/>
  <c r="V28" i="62"/>
  <c r="P28" i="62"/>
  <c r="M28" i="62"/>
  <c r="G28" i="62"/>
  <c r="D28" i="62"/>
  <c r="AT26" i="62"/>
  <c r="AQ26" i="62"/>
  <c r="AK25" i="62"/>
  <c r="V25" i="62"/>
  <c r="M25" i="62"/>
  <c r="G25" i="62"/>
  <c r="AN24" i="62"/>
  <c r="AE24" i="62"/>
  <c r="V24" i="62"/>
  <c r="G24" i="62"/>
  <c r="Y23" i="62"/>
  <c r="V23" i="62"/>
  <c r="G23" i="62"/>
  <c r="AN22" i="62"/>
  <c r="AK22" i="62"/>
  <c r="AE22" i="62"/>
  <c r="AB22" i="62"/>
  <c r="Y22" i="62"/>
  <c r="V22" i="62"/>
  <c r="P22" i="62"/>
  <c r="M22" i="62"/>
  <c r="G22" i="62"/>
  <c r="D22" i="62"/>
  <c r="AN21" i="62"/>
  <c r="AK21" i="62"/>
  <c r="Y21" i="62"/>
  <c r="V21" i="62"/>
  <c r="P21" i="62"/>
  <c r="M21" i="62"/>
  <c r="G21" i="62"/>
  <c r="D21" i="62"/>
  <c r="AN20" i="62"/>
  <c r="AK20" i="62"/>
  <c r="AE20" i="62"/>
  <c r="AB20" i="62"/>
  <c r="Y20" i="62"/>
  <c r="V20" i="62"/>
  <c r="P20" i="62"/>
  <c r="M20" i="62"/>
  <c r="G20" i="62"/>
  <c r="AN19" i="62"/>
  <c r="AK19" i="62"/>
  <c r="AE19" i="62"/>
  <c r="V19" i="62"/>
  <c r="AK18" i="62"/>
  <c r="V18" i="62"/>
  <c r="AK17" i="62"/>
  <c r="AE17" i="62"/>
  <c r="V17" i="62"/>
  <c r="AN27" i="62"/>
  <c r="AN15" i="62"/>
  <c r="AK15" i="62"/>
  <c r="AE15" i="62"/>
  <c r="V15" i="62"/>
  <c r="G15" i="62"/>
  <c r="V14" i="62"/>
  <c r="L7" i="72" l="1"/>
  <c r="AT61" i="62"/>
  <c r="AQ61" i="62"/>
  <c r="AQ84" i="62"/>
  <c r="AT84" i="62"/>
  <c r="AQ18" i="62"/>
  <c r="AQ19" i="62"/>
  <c r="AQ21" i="62"/>
  <c r="AT22" i="62"/>
  <c r="AT14" i="62"/>
  <c r="AT37" i="62"/>
  <c r="AT41" i="62"/>
  <c r="AT52" i="62"/>
  <c r="AH54" i="62"/>
  <c r="AK54" i="62"/>
  <c r="AQ59" i="62"/>
  <c r="AQ69" i="62"/>
  <c r="AQ70" i="62"/>
  <c r="Y27" i="62"/>
  <c r="AT40" i="62"/>
  <c r="AT46" i="62"/>
  <c r="M14" i="65"/>
  <c r="AQ15" i="65"/>
  <c r="AT16" i="65"/>
  <c r="AQ19" i="65"/>
  <c r="AQ28" i="65"/>
  <c r="AT71" i="62"/>
  <c r="AQ74" i="62"/>
  <c r="AT75" i="62"/>
  <c r="AT81" i="62"/>
  <c r="AQ83" i="62"/>
  <c r="AQ86" i="62"/>
  <c r="AT87" i="62"/>
  <c r="AT89" i="62"/>
  <c r="H27" i="9"/>
  <c r="D47" i="72"/>
  <c r="G27" i="9"/>
  <c r="B27" i="9"/>
  <c r="AQ14" i="62"/>
  <c r="AQ15" i="62"/>
  <c r="AB27" i="62"/>
  <c r="AQ37" i="62"/>
  <c r="AQ38" i="62"/>
  <c r="AQ51" i="62"/>
  <c r="AQ52" i="62"/>
  <c r="AT55" i="62"/>
  <c r="AT57" i="62"/>
  <c r="AT68" i="62"/>
  <c r="AQ17" i="65"/>
  <c r="AQ20" i="65"/>
  <c r="V16" i="62"/>
  <c r="AT28" i="62"/>
  <c r="AQ33" i="62"/>
  <c r="AQ40" i="62"/>
  <c r="AT42" i="62"/>
  <c r="AQ46" i="62"/>
  <c r="AT69" i="62"/>
  <c r="AT76" i="62"/>
  <c r="AQ77" i="62"/>
  <c r="AQ78" i="62"/>
  <c r="AT82" i="62"/>
  <c r="AT12" i="65"/>
  <c r="AQ13" i="65"/>
  <c r="AQ27" i="65"/>
  <c r="AQ33" i="65"/>
  <c r="AQ44" i="65"/>
  <c r="AT15" i="62"/>
  <c r="AT17" i="62"/>
  <c r="AT19" i="62"/>
  <c r="AT21" i="62"/>
  <c r="AT23" i="62"/>
  <c r="AQ25" i="62"/>
  <c r="AT33" i="62"/>
  <c r="AQ41" i="62"/>
  <c r="AQ42" i="62"/>
  <c r="AQ43" i="62"/>
  <c r="AT53" i="62"/>
  <c r="AQ56" i="62"/>
  <c r="AQ68" i="62"/>
  <c r="AT86" i="62"/>
  <c r="AQ87" i="62"/>
  <c r="AQ88" i="62"/>
  <c r="AQ89" i="62"/>
  <c r="AT19" i="65"/>
  <c r="AK35" i="62"/>
  <c r="AB39" i="62"/>
  <c r="AQ58" i="62"/>
  <c r="AQ23" i="62"/>
  <c r="AQ24" i="62"/>
  <c r="AT38" i="62"/>
  <c r="V39" i="62"/>
  <c r="AT43" i="62"/>
  <c r="AQ44" i="62"/>
  <c r="AT49" i="62"/>
  <c r="AT51" i="62"/>
  <c r="AQ55" i="62"/>
  <c r="AT56" i="62"/>
  <c r="AT58" i="62"/>
  <c r="AT59" i="62"/>
  <c r="AT70" i="62"/>
  <c r="AT74" i="62"/>
  <c r="AQ75" i="62"/>
  <c r="AQ76" i="62"/>
  <c r="AT77" i="62"/>
  <c r="AT78" i="62"/>
  <c r="AQ82" i="62"/>
  <c r="AT15" i="65"/>
  <c r="AT20" i="65"/>
  <c r="G21" i="65"/>
  <c r="AK21" i="65"/>
  <c r="AQ38" i="65"/>
  <c r="M29" i="65"/>
  <c r="P54" i="62"/>
  <c r="AN79" i="62"/>
  <c r="AE16" i="62"/>
  <c r="G54" i="62"/>
  <c r="AE14" i="65"/>
  <c r="V29" i="65"/>
  <c r="AQ40" i="65"/>
  <c r="Y85" i="62"/>
  <c r="AK16" i="62"/>
  <c r="D14" i="65"/>
  <c r="AK29" i="65"/>
  <c r="AT18" i="62"/>
  <c r="AQ49" i="62"/>
  <c r="AQ71" i="62"/>
  <c r="AT88" i="62"/>
  <c r="AQ12" i="65"/>
  <c r="AQ26" i="65"/>
  <c r="P35" i="62"/>
  <c r="AN35" i="62"/>
  <c r="AQ36" i="62"/>
  <c r="Y39" i="62"/>
  <c r="AE39" i="62"/>
  <c r="AN54" i="62"/>
  <c r="AT73" i="62"/>
  <c r="AN16" i="62"/>
  <c r="AQ17" i="62"/>
  <c r="AQ20" i="62"/>
  <c r="AT24" i="62"/>
  <c r="AQ28" i="62"/>
  <c r="AT34" i="62"/>
  <c r="AT36" i="62"/>
  <c r="AT44" i="62"/>
  <c r="AQ53" i="62"/>
  <c r="D54" i="62"/>
  <c r="M54" i="62"/>
  <c r="AQ73" i="62"/>
  <c r="AK79" i="62"/>
  <c r="AQ81" i="62"/>
  <c r="AT83" i="62"/>
  <c r="V85" i="62"/>
  <c r="AB85" i="62"/>
  <c r="AQ11" i="65"/>
  <c r="AT13" i="65"/>
  <c r="S14" i="65"/>
  <c r="AQ16" i="65"/>
  <c r="AT17" i="65"/>
  <c r="P21" i="65"/>
  <c r="AQ23" i="65"/>
  <c r="AQ24" i="65"/>
  <c r="AQ25" i="65"/>
  <c r="G29" i="65"/>
  <c r="AQ32" i="65"/>
  <c r="AT25" i="62"/>
  <c r="AQ57" i="62"/>
  <c r="AQ22" i="62"/>
  <c r="AT11" i="65"/>
  <c r="Y14" i="65"/>
  <c r="AH34" i="65"/>
  <c r="V21" i="65"/>
  <c r="AN21" i="65"/>
  <c r="D29" i="65"/>
  <c r="P29" i="65"/>
  <c r="AQ37" i="65"/>
  <c r="G34" i="65"/>
  <c r="V14" i="65"/>
  <c r="M21" i="65"/>
  <c r="Y21" i="65"/>
  <c r="AH21" i="65"/>
  <c r="AN29" i="65"/>
  <c r="AE34" i="65"/>
  <c r="AE29" i="65"/>
  <c r="AQ30" i="65"/>
  <c r="Y29" i="65"/>
  <c r="G14" i="65"/>
  <c r="P14" i="65"/>
  <c r="AH14" i="65"/>
  <c r="D21" i="65"/>
  <c r="S21" i="65"/>
  <c r="AK14" i="65"/>
  <c r="AB21" i="65"/>
  <c r="AQ31" i="65"/>
  <c r="AQ42" i="65"/>
  <c r="V27" i="62"/>
  <c r="S29" i="62"/>
  <c r="G27" i="62"/>
  <c r="M27" i="62"/>
  <c r="D27" i="62"/>
  <c r="P27" i="62"/>
  <c r="AH29" i="62"/>
  <c r="Y35" i="62"/>
  <c r="AQ16" i="62"/>
  <c r="AQ34" i="62"/>
  <c r="V35" i="62"/>
  <c r="P39" i="62"/>
  <c r="AK39" i="62"/>
  <c r="AT16" i="62"/>
  <c r="D20" i="62"/>
  <c r="AT20" i="62"/>
  <c r="AB35" i="62"/>
  <c r="G39" i="62"/>
  <c r="AN39" i="62"/>
  <c r="D39" i="62"/>
  <c r="AE35" i="62"/>
  <c r="M39" i="62"/>
  <c r="Y54" i="62"/>
  <c r="G79" i="62"/>
  <c r="P79" i="62"/>
  <c r="V79" i="62"/>
  <c r="AB79" i="62"/>
  <c r="G85" i="62"/>
  <c r="P85" i="62"/>
  <c r="AN85" i="62"/>
  <c r="V91" i="62"/>
  <c r="V50" i="62"/>
  <c r="V54" i="62"/>
  <c r="AB54" i="62"/>
  <c r="D79" i="62"/>
  <c r="M79" i="62"/>
  <c r="S79" i="62"/>
  <c r="Y79" i="62"/>
  <c r="AE79" i="62"/>
  <c r="D85" i="62"/>
  <c r="M85" i="62"/>
  <c r="AH85" i="62"/>
  <c r="AK85" i="62"/>
  <c r="C27" i="9" l="1"/>
  <c r="C68" i="9" s="1"/>
  <c r="AT39" i="62"/>
  <c r="B68" i="9"/>
  <c r="M26" i="8"/>
  <c r="AK27" i="62"/>
  <c r="AQ27" i="62"/>
  <c r="AT27" i="62"/>
  <c r="AE27" i="62"/>
  <c r="AT14" i="65"/>
  <c r="AT21" i="65"/>
  <c r="AQ35" i="62"/>
  <c r="S91" i="62"/>
  <c r="AT79" i="62"/>
  <c r="AQ79" i="62"/>
  <c r="S34" i="65"/>
  <c r="M34" i="65"/>
  <c r="G41" i="65"/>
  <c r="AQ29" i="65"/>
  <c r="AQ14" i="65"/>
  <c r="AK34" i="65"/>
  <c r="AQ21" i="65"/>
  <c r="P34" i="65"/>
  <c r="AE41" i="65"/>
  <c r="AN34" i="65"/>
  <c r="Y34" i="65"/>
  <c r="D34" i="65"/>
  <c r="AB34" i="65"/>
  <c r="V34" i="65"/>
  <c r="Y60" i="62"/>
  <c r="AK29" i="62"/>
  <c r="AE29" i="62"/>
  <c r="AQ85" i="62"/>
  <c r="AN60" i="62"/>
  <c r="Y91" i="62"/>
  <c r="AT85" i="62"/>
  <c r="AT54" i="62"/>
  <c r="AB91" i="62"/>
  <c r="AT50" i="62"/>
  <c r="AE45" i="62"/>
  <c r="Y45" i="62"/>
  <c r="M29" i="62"/>
  <c r="AB29" i="62"/>
  <c r="M91" i="62"/>
  <c r="D91" i="62"/>
  <c r="D45" i="62"/>
  <c r="AH60" i="62"/>
  <c r="AH91" i="62"/>
  <c r="AN45" i="62"/>
  <c r="AN91" i="62"/>
  <c r="M60" i="62"/>
  <c r="AQ50" i="62"/>
  <c r="P45" i="62"/>
  <c r="AB45" i="62"/>
  <c r="AQ54" i="62"/>
  <c r="V45" i="62"/>
  <c r="AN29" i="62"/>
  <c r="P29" i="62"/>
  <c r="AQ29" i="62"/>
  <c r="D29" i="62"/>
  <c r="AT29" i="62"/>
  <c r="G29" i="62"/>
  <c r="V29" i="62"/>
  <c r="G60" i="62"/>
  <c r="AE91" i="62"/>
  <c r="V60" i="62"/>
  <c r="P60" i="62"/>
  <c r="P91" i="62"/>
  <c r="AB60" i="62"/>
  <c r="AK45" i="62"/>
  <c r="AK60" i="62"/>
  <c r="D60" i="62"/>
  <c r="AK91" i="62"/>
  <c r="G91" i="62"/>
  <c r="AT35" i="62"/>
  <c r="G45" i="62"/>
  <c r="AQ39" i="62"/>
  <c r="M45" i="62"/>
  <c r="Y29" i="62"/>
  <c r="D68" i="9" l="1"/>
  <c r="N26" i="8"/>
  <c r="AH41" i="65"/>
  <c r="AQ91" i="62"/>
  <c r="AQ34" i="65"/>
  <c r="Y41" i="65"/>
  <c r="AE43" i="65"/>
  <c r="P41" i="65"/>
  <c r="G43" i="65"/>
  <c r="M41" i="65"/>
  <c r="V41" i="65"/>
  <c r="AB41" i="65"/>
  <c r="D41" i="65"/>
  <c r="AQ41" i="65"/>
  <c r="AK41" i="65"/>
  <c r="S41" i="65"/>
  <c r="AN41" i="65"/>
  <c r="AH43" i="65"/>
  <c r="AK64" i="62"/>
  <c r="M64" i="62"/>
  <c r="D62" i="62"/>
  <c r="G62" i="62"/>
  <c r="AQ60" i="62"/>
  <c r="AN64" i="62"/>
  <c r="P62" i="62"/>
  <c r="AN62" i="62"/>
  <c r="AE62" i="62"/>
  <c r="Y64" i="62"/>
  <c r="AH62" i="62"/>
  <c r="AK62" i="62"/>
  <c r="AT91" i="62"/>
  <c r="AQ45" i="62"/>
  <c r="Y62" i="62"/>
  <c r="M62" i="62"/>
  <c r="AT60" i="62"/>
  <c r="V64" i="62"/>
  <c r="P64" i="62"/>
  <c r="V62" i="62"/>
  <c r="AB62" i="62"/>
  <c r="AT45" i="62"/>
  <c r="G33" i="4"/>
  <c r="D33" i="4"/>
  <c r="D33" i="16"/>
  <c r="D26" i="16"/>
  <c r="L26" i="16" l="1"/>
  <c r="I33" i="4"/>
  <c r="M33" i="18" s="1"/>
  <c r="H33" i="4"/>
  <c r="AN43" i="65"/>
  <c r="S43" i="65"/>
  <c r="AQ43" i="65"/>
  <c r="D43" i="65"/>
  <c r="V43" i="65"/>
  <c r="G45" i="65"/>
  <c r="P43" i="65"/>
  <c r="M43" i="65"/>
  <c r="AE45" i="65"/>
  <c r="Y43" i="65"/>
  <c r="AH45" i="65"/>
  <c r="AK43" i="65"/>
  <c r="AB43" i="65"/>
  <c r="D64" i="62"/>
  <c r="AB64" i="62"/>
  <c r="AH64" i="62"/>
  <c r="G64" i="62"/>
  <c r="AQ62" i="62"/>
  <c r="AE64" i="62"/>
  <c r="S64" i="62"/>
  <c r="AT62" i="62"/>
  <c r="L33" i="16"/>
  <c r="J33" i="4" l="1"/>
  <c r="AB45" i="65"/>
  <c r="P45" i="65"/>
  <c r="V45" i="65"/>
  <c r="S45" i="65"/>
  <c r="Y45" i="65"/>
  <c r="AK45" i="65"/>
  <c r="M45" i="65"/>
  <c r="D45" i="65"/>
  <c r="AN45" i="65"/>
  <c r="AT64" i="62"/>
  <c r="AQ64" i="62"/>
  <c r="K9" i="18"/>
  <c r="K8" i="18"/>
  <c r="AQ45" i="65" l="1"/>
  <c r="D22" i="18"/>
  <c r="D29" i="18"/>
  <c r="H124" i="18"/>
  <c r="H10" i="18"/>
  <c r="D7" i="18"/>
  <c r="D10" i="18"/>
  <c r="H117" i="18"/>
  <c r="H121" i="18"/>
  <c r="K7" i="18"/>
  <c r="J88" i="18"/>
  <c r="H109" i="18"/>
  <c r="H113" i="18"/>
  <c r="H125" i="18"/>
  <c r="K113" i="18"/>
  <c r="K99" i="18"/>
  <c r="H7" i="18"/>
  <c r="K11" i="18"/>
  <c r="J67" i="18"/>
  <c r="D99" i="18"/>
  <c r="J109" i="18"/>
  <c r="J112" i="18"/>
  <c r="J121" i="18"/>
  <c r="D28" i="18"/>
  <c r="H34" i="18"/>
  <c r="H35" i="18"/>
  <c r="K78" i="18"/>
  <c r="K108" i="18"/>
  <c r="J113" i="18"/>
  <c r="K120" i="18"/>
  <c r="H108" i="18"/>
  <c r="J35" i="18"/>
  <c r="H11" i="18"/>
  <c r="K109" i="18"/>
  <c r="J117" i="18"/>
  <c r="K12" i="18"/>
  <c r="K112" i="18"/>
  <c r="K117" i="18"/>
  <c r="H12" i="18"/>
  <c r="K35" i="18"/>
  <c r="J124" i="18"/>
  <c r="K10" i="18"/>
  <c r="J34" i="18"/>
  <c r="D67" i="18"/>
  <c r="D88" i="18"/>
  <c r="J99" i="18"/>
  <c r="J120" i="18"/>
  <c r="K121" i="18"/>
  <c r="K124" i="18"/>
  <c r="K28" i="18"/>
  <c r="K34" i="18"/>
  <c r="D48" i="18"/>
  <c r="K67" i="18"/>
  <c r="D120" i="18"/>
  <c r="J11" i="18"/>
  <c r="J108" i="18"/>
  <c r="D112" i="18"/>
  <c r="H22" i="18"/>
  <c r="D78" i="18"/>
  <c r="D108" i="18"/>
  <c r="J125" i="18"/>
  <c r="J9" i="18"/>
  <c r="L9" i="18" s="1"/>
  <c r="D9" i="18"/>
  <c r="J28" i="18"/>
  <c r="J12" i="18"/>
  <c r="J7" i="18"/>
  <c r="J10" i="18"/>
  <c r="J8" i="18"/>
  <c r="L8" i="18" s="1"/>
  <c r="D8" i="18"/>
  <c r="J78" i="18"/>
  <c r="K125" i="18"/>
  <c r="K88" i="18"/>
  <c r="B97" i="4" l="1"/>
  <c r="F97" i="4"/>
  <c r="E76" i="4"/>
  <c r="C76" i="4"/>
  <c r="F76" i="4"/>
  <c r="B76" i="4"/>
  <c r="E97" i="4"/>
  <c r="C97" i="4"/>
  <c r="D87" i="18"/>
  <c r="H29" i="18"/>
  <c r="D66" i="18"/>
  <c r="K29" i="18"/>
  <c r="K22" i="18"/>
  <c r="D47" i="18"/>
  <c r="J29" i="18"/>
  <c r="H119" i="18"/>
  <c r="K100" i="18"/>
  <c r="J22" i="18"/>
  <c r="K119" i="18"/>
  <c r="L113" i="18"/>
  <c r="L12" i="18"/>
  <c r="K98" i="18"/>
  <c r="L28" i="18"/>
  <c r="L88" i="18"/>
  <c r="L121" i="18"/>
  <c r="L109" i="18"/>
  <c r="L120" i="18"/>
  <c r="L99" i="18"/>
  <c r="L35" i="18"/>
  <c r="J111" i="18"/>
  <c r="H111" i="18"/>
  <c r="L117" i="18"/>
  <c r="L78" i="18"/>
  <c r="L7" i="18"/>
  <c r="L108" i="18"/>
  <c r="L11" i="18"/>
  <c r="L67" i="18"/>
  <c r="K111" i="18"/>
  <c r="L112" i="18"/>
  <c r="L124" i="18"/>
  <c r="D98" i="18"/>
  <c r="L10" i="18"/>
  <c r="J119" i="18"/>
  <c r="D119" i="18"/>
  <c r="L34" i="18"/>
  <c r="L125" i="18"/>
  <c r="D111" i="18"/>
  <c r="K97" i="37"/>
  <c r="J97" i="37"/>
  <c r="D97" i="29"/>
  <c r="K97" i="33"/>
  <c r="K97" i="29"/>
  <c r="J97" i="13"/>
  <c r="J97" i="33"/>
  <c r="J97" i="29"/>
  <c r="D97" i="37"/>
  <c r="D97" i="13"/>
  <c r="K97" i="13"/>
  <c r="D97" i="33"/>
  <c r="K76" i="37"/>
  <c r="D76" i="33"/>
  <c r="D76" i="37"/>
  <c r="K76" i="29"/>
  <c r="J76" i="13"/>
  <c r="J76" i="37"/>
  <c r="D76" i="29"/>
  <c r="K76" i="33"/>
  <c r="J76" i="33"/>
  <c r="J76" i="29"/>
  <c r="D76" i="13"/>
  <c r="K76" i="13"/>
  <c r="J8" i="37"/>
  <c r="L8" i="37" s="1"/>
  <c r="K8" i="37"/>
  <c r="J9" i="37"/>
  <c r="K9" i="37"/>
  <c r="J36" i="37"/>
  <c r="J37" i="37"/>
  <c r="L9" i="37" l="1"/>
  <c r="L76" i="33"/>
  <c r="L119" i="18"/>
  <c r="L97" i="33"/>
  <c r="L97" i="29"/>
  <c r="L76" i="29"/>
  <c r="D77" i="18"/>
  <c r="H68" i="18"/>
  <c r="J68" i="18"/>
  <c r="J66" i="18"/>
  <c r="L29" i="18"/>
  <c r="K79" i="18"/>
  <c r="K77" i="18"/>
  <c r="L22" i="18"/>
  <c r="L76" i="13"/>
  <c r="D97" i="4"/>
  <c r="D76" i="4"/>
  <c r="L97" i="37"/>
  <c r="K68" i="18"/>
  <c r="L76" i="37"/>
  <c r="K87" i="18"/>
  <c r="K89" i="18"/>
  <c r="L97" i="13"/>
  <c r="H100" i="18"/>
  <c r="J100" i="18"/>
  <c r="L100" i="18" s="1"/>
  <c r="J89" i="18"/>
  <c r="H89" i="18"/>
  <c r="H79" i="18"/>
  <c r="J79" i="18"/>
  <c r="I97" i="4"/>
  <c r="I76" i="4"/>
  <c r="L111" i="18"/>
  <c r="H34" i="37"/>
  <c r="H116" i="37"/>
  <c r="D114" i="37"/>
  <c r="D116" i="37"/>
  <c r="J124" i="37"/>
  <c r="H76" i="4"/>
  <c r="H97" i="4"/>
  <c r="K12" i="37"/>
  <c r="K7" i="37"/>
  <c r="H113" i="37"/>
  <c r="H117" i="37"/>
  <c r="J88" i="37"/>
  <c r="K75" i="37"/>
  <c r="K108" i="37"/>
  <c r="K96" i="37"/>
  <c r="K67" i="37"/>
  <c r="J35" i="37"/>
  <c r="J10" i="37"/>
  <c r="D7" i="37"/>
  <c r="K135" i="37"/>
  <c r="K134" i="37"/>
  <c r="K122" i="37"/>
  <c r="D122" i="37"/>
  <c r="H114" i="37"/>
  <c r="H112" i="37"/>
  <c r="J121" i="37"/>
  <c r="H121" i="37"/>
  <c r="K114" i="37"/>
  <c r="K107" i="37"/>
  <c r="K99" i="37"/>
  <c r="J125" i="37"/>
  <c r="K116" i="37"/>
  <c r="K78" i="37"/>
  <c r="D8" i="37"/>
  <c r="H108" i="37"/>
  <c r="D67" i="37"/>
  <c r="K110" i="37"/>
  <c r="J86" i="37"/>
  <c r="K28" i="37"/>
  <c r="H7" i="37"/>
  <c r="D135" i="37"/>
  <c r="H124" i="37"/>
  <c r="J110" i="37"/>
  <c r="D108" i="37"/>
  <c r="D28" i="37"/>
  <c r="D125" i="37"/>
  <c r="K113" i="37"/>
  <c r="J108" i="37"/>
  <c r="D34" i="37"/>
  <c r="K10" i="37"/>
  <c r="K125" i="37"/>
  <c r="J117" i="37"/>
  <c r="J113" i="37"/>
  <c r="D110" i="37"/>
  <c r="J134" i="37"/>
  <c r="H35" i="37"/>
  <c r="J28" i="37"/>
  <c r="K11" i="37"/>
  <c r="J122" i="37"/>
  <c r="J116" i="37"/>
  <c r="K109" i="37"/>
  <c r="D35" i="37"/>
  <c r="J12" i="37"/>
  <c r="J7" i="37"/>
  <c r="H75" i="37"/>
  <c r="D48" i="37"/>
  <c r="K121" i="37"/>
  <c r="J67" i="37"/>
  <c r="H125" i="37"/>
  <c r="D124" i="37"/>
  <c r="H96" i="37"/>
  <c r="K88" i="37"/>
  <c r="J34" i="37"/>
  <c r="D9" i="37"/>
  <c r="J107" i="37"/>
  <c r="D107" i="37"/>
  <c r="K124" i="37"/>
  <c r="D99" i="37"/>
  <c r="D134" i="37"/>
  <c r="D120" i="37"/>
  <c r="J78" i="37"/>
  <c r="D78" i="37"/>
  <c r="J75" i="37"/>
  <c r="D75" i="37"/>
  <c r="J112" i="37"/>
  <c r="D112" i="37"/>
  <c r="J109" i="37"/>
  <c r="J135" i="37"/>
  <c r="K120" i="37"/>
  <c r="J99" i="37"/>
  <c r="J96" i="37"/>
  <c r="D96" i="37"/>
  <c r="K86" i="37"/>
  <c r="J120" i="37"/>
  <c r="J114" i="37"/>
  <c r="H109" i="37"/>
  <c r="D86" i="37"/>
  <c r="K117" i="37"/>
  <c r="K112" i="37"/>
  <c r="D88" i="37"/>
  <c r="H11" i="37"/>
  <c r="D10" i="37"/>
  <c r="K35" i="37"/>
  <c r="D57" i="37"/>
  <c r="D54" i="37"/>
  <c r="K34" i="37"/>
  <c r="H12" i="37"/>
  <c r="K37" i="37"/>
  <c r="L37" i="37" s="1"/>
  <c r="D37" i="37"/>
  <c r="H10" i="37"/>
  <c r="K36" i="37"/>
  <c r="L36" i="37" s="1"/>
  <c r="D36" i="37"/>
  <c r="J11" i="37"/>
  <c r="H39" i="16"/>
  <c r="H38" i="16"/>
  <c r="H37" i="16"/>
  <c r="H36" i="16"/>
  <c r="L122" i="37" l="1"/>
  <c r="J76" i="4"/>
  <c r="L114" i="37"/>
  <c r="L79" i="18"/>
  <c r="D77" i="37"/>
  <c r="H29" i="37"/>
  <c r="J29" i="37"/>
  <c r="D100" i="37"/>
  <c r="L68" i="18"/>
  <c r="L89" i="18"/>
  <c r="K98" i="37"/>
  <c r="H66" i="18"/>
  <c r="K66" i="18"/>
  <c r="L66" i="18" s="1"/>
  <c r="K77" i="37"/>
  <c r="J79" i="37"/>
  <c r="L110" i="37"/>
  <c r="J97" i="4"/>
  <c r="J100" i="37"/>
  <c r="J66" i="37"/>
  <c r="H87" i="18"/>
  <c r="J87" i="18"/>
  <c r="L87" i="18" s="1"/>
  <c r="H77" i="18"/>
  <c r="J77" i="18"/>
  <c r="L77" i="18" s="1"/>
  <c r="J98" i="18"/>
  <c r="L98" i="18" s="1"/>
  <c r="H98" i="18"/>
  <c r="L116" i="37"/>
  <c r="D89" i="37"/>
  <c r="K22" i="37"/>
  <c r="D49" i="37"/>
  <c r="J22" i="37"/>
  <c r="H22" i="37"/>
  <c r="K29" i="37"/>
  <c r="D29" i="37"/>
  <c r="D22" i="37"/>
  <c r="D87" i="37"/>
  <c r="D56" i="37"/>
  <c r="L88" i="37"/>
  <c r="L124" i="37"/>
  <c r="L12" i="37"/>
  <c r="L78" i="37"/>
  <c r="K111" i="37"/>
  <c r="L7" i="37"/>
  <c r="L135" i="37"/>
  <c r="D53" i="37"/>
  <c r="L28" i="37"/>
  <c r="L96" i="37"/>
  <c r="L34" i="37"/>
  <c r="L109" i="37"/>
  <c r="L67" i="37"/>
  <c r="L99" i="37"/>
  <c r="L108" i="37"/>
  <c r="L134" i="37"/>
  <c r="L10" i="37"/>
  <c r="D47" i="37"/>
  <c r="L107" i="37"/>
  <c r="L75" i="37"/>
  <c r="K119" i="37"/>
  <c r="H111" i="37"/>
  <c r="L86" i="37"/>
  <c r="L121" i="37"/>
  <c r="H119"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G14" i="58" l="1"/>
  <c r="C14" i="58"/>
  <c r="B13" i="58"/>
  <c r="F13" i="58"/>
  <c r="F22" i="58"/>
  <c r="B22" i="58"/>
  <c r="G21" i="58"/>
  <c r="C21" i="58"/>
  <c r="F17" i="58"/>
  <c r="B17" i="58"/>
  <c r="F28" i="58"/>
  <c r="B28" i="58"/>
  <c r="C26" i="58"/>
  <c r="G26" i="58"/>
  <c r="F29" i="58"/>
  <c r="B29" i="58"/>
  <c r="F11" i="58"/>
  <c r="B11" i="58"/>
  <c r="C13" i="58"/>
  <c r="G13" i="58"/>
  <c r="F20" i="58"/>
  <c r="B20" i="58"/>
  <c r="G22" i="58"/>
  <c r="C22" i="58"/>
  <c r="G17" i="58"/>
  <c r="C17" i="58"/>
  <c r="G28" i="58"/>
  <c r="C28" i="58"/>
  <c r="G29" i="58"/>
  <c r="C29" i="58"/>
  <c r="G11" i="58"/>
  <c r="C11" i="58"/>
  <c r="B12" i="58"/>
  <c r="F12" i="58"/>
  <c r="B10" i="58"/>
  <c r="F10" i="58"/>
  <c r="F9" i="58"/>
  <c r="B9" i="58"/>
  <c r="F19" i="58"/>
  <c r="B19" i="58"/>
  <c r="G20" i="58"/>
  <c r="C20" i="58"/>
  <c r="F18" i="58"/>
  <c r="B18" i="58"/>
  <c r="F27" i="58"/>
  <c r="B27" i="58"/>
  <c r="F30" i="58"/>
  <c r="B30" i="58"/>
  <c r="F25" i="58"/>
  <c r="B25" i="58"/>
  <c r="C12" i="58"/>
  <c r="G12" i="58"/>
  <c r="F14" i="58"/>
  <c r="B14" i="58"/>
  <c r="G10" i="58"/>
  <c r="C10" i="58"/>
  <c r="C9" i="58"/>
  <c r="G9" i="58"/>
  <c r="G19" i="58"/>
  <c r="C19" i="58"/>
  <c r="G18" i="58"/>
  <c r="C18" i="58"/>
  <c r="F21" i="58"/>
  <c r="B21" i="58"/>
  <c r="G27" i="58"/>
  <c r="C27" i="58"/>
  <c r="G30" i="58"/>
  <c r="C30" i="58"/>
  <c r="F26" i="58"/>
  <c r="B26" i="58"/>
  <c r="G25" i="58"/>
  <c r="C25" i="58"/>
  <c r="C8" i="58" l="1"/>
  <c r="G31" i="4" l="1"/>
  <c r="G23" i="4" l="1"/>
  <c r="G24" i="4"/>
  <c r="G30" i="4"/>
  <c r="G25" i="4"/>
  <c r="G32" i="4"/>
  <c r="D32" i="4"/>
  <c r="D24" i="4"/>
  <c r="I23" i="37"/>
  <c r="I25" i="37"/>
  <c r="I25" i="18"/>
  <c r="I30" i="37"/>
  <c r="I30" i="18"/>
  <c r="I31" i="37"/>
  <c r="I31" i="18"/>
  <c r="G26" i="4"/>
  <c r="D25" i="4"/>
  <c r="I24" i="37"/>
  <c r="I32" i="37"/>
  <c r="I32" i="18"/>
  <c r="D30" i="4"/>
  <c r="D31" i="4"/>
  <c r="L23" i="16"/>
  <c r="D31" i="16"/>
  <c r="D30" i="16"/>
  <c r="D23" i="16"/>
  <c r="D25" i="16"/>
  <c r="D24" i="16"/>
  <c r="D27" i="16"/>
  <c r="D32" i="16"/>
  <c r="E29" i="18" l="1"/>
  <c r="E29" i="23"/>
  <c r="E29" i="29"/>
  <c r="E29" i="33"/>
  <c r="E29" i="16"/>
  <c r="E29" i="20"/>
  <c r="E29" i="24"/>
  <c r="E29" i="51"/>
  <c r="E29" i="37"/>
  <c r="E29" i="13"/>
  <c r="L32" i="16"/>
  <c r="I23" i="18"/>
  <c r="L30" i="16"/>
  <c r="D23" i="4"/>
  <c r="L25" i="16"/>
  <c r="I26" i="4"/>
  <c r="D26" i="4"/>
  <c r="H26" i="4"/>
  <c r="F26" i="10"/>
  <c r="F16" i="10"/>
  <c r="F34" i="10"/>
  <c r="I26" i="29"/>
  <c r="I26" i="20"/>
  <c r="I26" i="23"/>
  <c r="I26" i="33"/>
  <c r="I26" i="37"/>
  <c r="I26" i="35"/>
  <c r="I26" i="18"/>
  <c r="L27" i="16"/>
  <c r="L31" i="16"/>
  <c r="L24" i="16"/>
  <c r="G16" i="10"/>
  <c r="I36" i="16"/>
  <c r="G26" i="10"/>
  <c r="I37" i="16"/>
  <c r="I39" i="16"/>
  <c r="I38" i="16"/>
  <c r="G34" i="10"/>
  <c r="M26" i="29" l="1"/>
  <c r="J26" i="4"/>
  <c r="M26" i="20"/>
  <c r="M26" i="23"/>
  <c r="M26" i="16"/>
  <c r="M26" i="35"/>
  <c r="M26" i="37"/>
  <c r="M26" i="33"/>
  <c r="M26" i="18"/>
  <c r="H30" i="58"/>
  <c r="H29" i="58"/>
  <c r="D29" i="58"/>
  <c r="H28" i="58"/>
  <c r="D28" i="58"/>
  <c r="H27" i="58"/>
  <c r="D27" i="58"/>
  <c r="H25" i="58"/>
  <c r="C24" i="58"/>
  <c r="D25" i="58"/>
  <c r="D22" i="58"/>
  <c r="H21" i="58"/>
  <c r="D20" i="58"/>
  <c r="H19" i="58"/>
  <c r="D18" i="58"/>
  <c r="G16" i="58"/>
  <c r="F16" i="58"/>
  <c r="H13" i="58"/>
  <c r="H12" i="58"/>
  <c r="H11" i="58"/>
  <c r="H10" i="58"/>
  <c r="H9" i="58"/>
  <c r="C38" i="58"/>
  <c r="C35" i="58"/>
  <c r="C34" i="58"/>
  <c r="B36" i="58"/>
  <c r="D11" i="58"/>
  <c r="D9" i="58"/>
  <c r="D30" i="58"/>
  <c r="D26" i="58"/>
  <c r="H22" i="58"/>
  <c r="H20" i="58"/>
  <c r="H18" i="58"/>
  <c r="H14" i="58"/>
  <c r="D13" i="58"/>
  <c r="G8" i="58"/>
  <c r="B24" i="58" l="1"/>
  <c r="D24" i="58" s="1"/>
  <c r="B37" i="58"/>
  <c r="B34" i="58"/>
  <c r="D34" i="58" s="1"/>
  <c r="B38" i="58"/>
  <c r="D38" i="58" s="1"/>
  <c r="C37" i="58"/>
  <c r="B35" i="58"/>
  <c r="D35" i="58" s="1"/>
  <c r="C36" i="58"/>
  <c r="D36" i="58" s="1"/>
  <c r="H26" i="58"/>
  <c r="C33" i="58"/>
  <c r="C16" i="58"/>
  <c r="G24" i="58"/>
  <c r="H16" i="58"/>
  <c r="B8" i="58"/>
  <c r="D8" i="58" s="1"/>
  <c r="B33" i="58"/>
  <c r="H17" i="58"/>
  <c r="D10" i="58"/>
  <c r="D12" i="58"/>
  <c r="D14" i="58"/>
  <c r="B16" i="58"/>
  <c r="D17" i="58"/>
  <c r="D19" i="58"/>
  <c r="D21" i="58"/>
  <c r="F8" i="58"/>
  <c r="H8" i="58" s="1"/>
  <c r="F24" i="58"/>
  <c r="D16" i="58" l="1"/>
  <c r="C32" i="58"/>
  <c r="G33" i="58" s="1"/>
  <c r="D37" i="58"/>
  <c r="D33" i="58"/>
  <c r="H24" i="58"/>
  <c r="B32" i="58"/>
  <c r="G34" i="58" l="1"/>
  <c r="G37" i="58"/>
  <c r="G35" i="58"/>
  <c r="G36" i="58"/>
  <c r="D32" i="58"/>
  <c r="G38" i="58"/>
  <c r="F36" i="58"/>
  <c r="F35" i="58"/>
  <c r="F33" i="58"/>
  <c r="H33" i="58" s="1"/>
  <c r="F37" i="58"/>
  <c r="F38" i="58"/>
  <c r="F34" i="58"/>
  <c r="H37" i="58" l="1"/>
  <c r="H34" i="58"/>
  <c r="H36" i="58"/>
  <c r="G32" i="58"/>
  <c r="H38" i="58"/>
  <c r="H35" i="58"/>
  <c r="F32" i="58"/>
  <c r="H32" i="58" l="1"/>
  <c r="E51" i="16" l="1"/>
  <c r="E50" i="16"/>
  <c r="E52" i="16"/>
  <c r="D51" i="16"/>
  <c r="D50" i="16"/>
  <c r="D52" i="16"/>
  <c r="H45" i="10" l="1"/>
  <c r="G56" i="10"/>
  <c r="G60" i="10"/>
  <c r="F60" i="10" l="1"/>
  <c r="F56" i="10"/>
  <c r="K28" i="10" l="1"/>
  <c r="J28" i="10"/>
  <c r="K9" i="33" l="1"/>
  <c r="K9" i="29"/>
  <c r="K8" i="51"/>
  <c r="K8" i="29"/>
  <c r="K9" i="41"/>
  <c r="K8" i="33"/>
  <c r="K8" i="41"/>
  <c r="K9" i="51"/>
  <c r="K12" i="25"/>
  <c r="K11" i="25"/>
  <c r="K10" i="25"/>
  <c r="K8" i="25"/>
  <c r="K8" i="24"/>
  <c r="K9" i="25"/>
  <c r="K9" i="24"/>
  <c r="K8" i="22"/>
  <c r="K9" i="22"/>
  <c r="K9" i="20"/>
  <c r="K8" i="20"/>
  <c r="K8" i="19"/>
  <c r="J36" i="13"/>
  <c r="L36" i="13" s="1"/>
  <c r="K9" i="19"/>
  <c r="K37" i="13"/>
  <c r="J37" i="13"/>
  <c r="L37" i="13" s="1"/>
  <c r="K36" i="13"/>
  <c r="K8" i="13"/>
  <c r="K9" i="13"/>
  <c r="D22" i="16"/>
  <c r="F116" i="4" l="1"/>
  <c r="C28" i="4"/>
  <c r="E28" i="51" s="1"/>
  <c r="C99" i="4"/>
  <c r="B10" i="4"/>
  <c r="B20" i="10" s="1"/>
  <c r="F34" i="4"/>
  <c r="C34" i="4"/>
  <c r="C12" i="4"/>
  <c r="E10" i="4"/>
  <c r="F20" i="10" s="1"/>
  <c r="B86" i="4"/>
  <c r="E121" i="4"/>
  <c r="C88" i="4"/>
  <c r="B54" i="4"/>
  <c r="C49" i="4"/>
  <c r="F68" i="4"/>
  <c r="B110" i="4"/>
  <c r="F109" i="4"/>
  <c r="B126" i="4"/>
  <c r="B36" i="4"/>
  <c r="B16" i="10" s="1"/>
  <c r="C107" i="4"/>
  <c r="F137" i="4"/>
  <c r="E86" i="4"/>
  <c r="B89" i="4"/>
  <c r="B23" i="10" s="1"/>
  <c r="B75" i="4"/>
  <c r="C35" i="4"/>
  <c r="B137" i="4"/>
  <c r="C86" i="4"/>
  <c r="F7" i="4"/>
  <c r="C8" i="4"/>
  <c r="C68" i="4"/>
  <c r="F79" i="4"/>
  <c r="C118" i="4"/>
  <c r="C110" i="4"/>
  <c r="B116" i="4"/>
  <c r="E34" i="4"/>
  <c r="F31" i="10" s="1"/>
  <c r="E67" i="4"/>
  <c r="F86" i="4"/>
  <c r="F120" i="4"/>
  <c r="E11" i="4"/>
  <c r="F30" i="10" s="1"/>
  <c r="E12" i="4"/>
  <c r="F41" i="10" s="1"/>
  <c r="C112" i="4"/>
  <c r="E107" i="4"/>
  <c r="E134" i="4"/>
  <c r="F15" i="10" s="1"/>
  <c r="C96" i="4"/>
  <c r="E88" i="4"/>
  <c r="C89" i="4"/>
  <c r="E117" i="4"/>
  <c r="G117" i="4" s="1"/>
  <c r="C39" i="4"/>
  <c r="C75" i="4"/>
  <c r="E75" i="4"/>
  <c r="F96" i="4"/>
  <c r="C57" i="4"/>
  <c r="F78" i="4"/>
  <c r="B34" i="4"/>
  <c r="B58" i="4"/>
  <c r="C114" i="4"/>
  <c r="E137" i="4"/>
  <c r="B8" i="4"/>
  <c r="F107" i="4"/>
  <c r="F12" i="4"/>
  <c r="C11" i="4"/>
  <c r="E96" i="4"/>
  <c r="C79" i="4"/>
  <c r="B49" i="4"/>
  <c r="E100" i="4"/>
  <c r="B108" i="4"/>
  <c r="C124" i="4"/>
  <c r="F117" i="4"/>
  <c r="C116" i="4"/>
  <c r="C120" i="4"/>
  <c r="F100" i="4"/>
  <c r="B114" i="4"/>
  <c r="B39" i="4"/>
  <c r="B11" i="4"/>
  <c r="B30" i="10" s="1"/>
  <c r="B113" i="4"/>
  <c r="E108" i="4"/>
  <c r="E113" i="4"/>
  <c r="B107" i="4"/>
  <c r="B37" i="4"/>
  <c r="B26" i="10" s="1"/>
  <c r="C37" i="4"/>
  <c r="F114" i="4"/>
  <c r="C54" i="4"/>
  <c r="B79" i="4"/>
  <c r="E99" i="4"/>
  <c r="C58" i="4"/>
  <c r="B68" i="4"/>
  <c r="B13" i="10" s="1"/>
  <c r="C126" i="4"/>
  <c r="F122" i="4"/>
  <c r="F11" i="4"/>
  <c r="C134" i="4"/>
  <c r="E35" i="4"/>
  <c r="F42" i="10" s="1"/>
  <c r="B96" i="4"/>
  <c r="B120" i="4"/>
  <c r="C100" i="4"/>
  <c r="E110" i="4"/>
  <c r="B118" i="4"/>
  <c r="B109" i="4"/>
  <c r="B117" i="4"/>
  <c r="F108" i="4"/>
  <c r="E122" i="4"/>
  <c r="F136" i="4"/>
  <c r="C55" i="4"/>
  <c r="B112" i="4"/>
  <c r="B99" i="4"/>
  <c r="C122" i="4"/>
  <c r="F67" i="4"/>
  <c r="C135" i="4"/>
  <c r="B78" i="4"/>
  <c r="B38" i="4"/>
  <c r="F121" i="4"/>
  <c r="E112" i="4"/>
  <c r="G112" i="4" s="1"/>
  <c r="F35" i="4"/>
  <c r="B122" i="4"/>
  <c r="B67" i="4"/>
  <c r="E89" i="4"/>
  <c r="E126" i="4"/>
  <c r="B124" i="4"/>
  <c r="E118" i="4"/>
  <c r="C117" i="4"/>
  <c r="B28" i="4"/>
  <c r="B35" i="4"/>
  <c r="F112" i="4"/>
  <c r="F89" i="4"/>
  <c r="F125" i="4"/>
  <c r="C9" i="4"/>
  <c r="E136" i="4"/>
  <c r="B9" i="4"/>
  <c r="B121" i="4"/>
  <c r="F75" i="4"/>
  <c r="B88" i="4"/>
  <c r="E135" i="4"/>
  <c r="F25" i="10" s="1"/>
  <c r="B136" i="4"/>
  <c r="B33" i="10" s="1"/>
  <c r="F110" i="4"/>
  <c r="C109" i="4"/>
  <c r="E124" i="4"/>
  <c r="G124" i="4" s="1"/>
  <c r="F118" i="4"/>
  <c r="F113" i="4"/>
  <c r="F88" i="4"/>
  <c r="C121" i="4"/>
  <c r="C48" i="4"/>
  <c r="E109" i="4"/>
  <c r="B134" i="4"/>
  <c r="C113" i="4"/>
  <c r="C36" i="4"/>
  <c r="E120" i="4"/>
  <c r="C136" i="4"/>
  <c r="C137" i="4"/>
  <c r="C78" i="4"/>
  <c r="F134" i="4"/>
  <c r="C38" i="4"/>
  <c r="E68" i="4"/>
  <c r="B100" i="4"/>
  <c r="E125" i="4"/>
  <c r="B7" i="4"/>
  <c r="B9" i="10" s="1"/>
  <c r="C10" i="4"/>
  <c r="B55" i="4"/>
  <c r="B12" i="4"/>
  <c r="B41" i="10" s="1"/>
  <c r="B135" i="4"/>
  <c r="B25" i="10" s="1"/>
  <c r="B57" i="4"/>
  <c r="E7" i="4"/>
  <c r="F9" i="10" s="1"/>
  <c r="F99" i="4"/>
  <c r="F10" i="4"/>
  <c r="E114" i="4"/>
  <c r="F135" i="4"/>
  <c r="B48" i="4"/>
  <c r="E78" i="4"/>
  <c r="E79" i="4"/>
  <c r="C67" i="4"/>
  <c r="F126" i="4"/>
  <c r="C108" i="4"/>
  <c r="C125" i="4"/>
  <c r="E116" i="4"/>
  <c r="G116" i="4" s="1"/>
  <c r="F124" i="4"/>
  <c r="G16" i="9"/>
  <c r="H42" i="9"/>
  <c r="C39" i="9"/>
  <c r="B44" i="10"/>
  <c r="G22" i="9"/>
  <c r="G39" i="9"/>
  <c r="H19" i="9"/>
  <c r="G17" i="9"/>
  <c r="M66" i="8" s="1"/>
  <c r="H22" i="9"/>
  <c r="G14" i="9"/>
  <c r="G15" i="9"/>
  <c r="H20" i="9"/>
  <c r="C37" i="9"/>
  <c r="G18" i="9"/>
  <c r="M67" i="8" s="1"/>
  <c r="B43" i="9"/>
  <c r="B44" i="9"/>
  <c r="C44" i="9"/>
  <c r="C41" i="9"/>
  <c r="G23" i="9"/>
  <c r="M72" i="8" s="1"/>
  <c r="C42" i="9"/>
  <c r="H43" i="9"/>
  <c r="H31" i="9"/>
  <c r="H14" i="9"/>
  <c r="H38" i="9"/>
  <c r="G12" i="9"/>
  <c r="C38" i="9"/>
  <c r="G21" i="9"/>
  <c r="H21" i="9"/>
  <c r="G25" i="9"/>
  <c r="G31" i="9"/>
  <c r="H37" i="9"/>
  <c r="H11" i="9"/>
  <c r="H39" i="9"/>
  <c r="H41" i="9"/>
  <c r="C43" i="9"/>
  <c r="G11" i="9"/>
  <c r="H12" i="9"/>
  <c r="C40" i="9"/>
  <c r="G24" i="9"/>
  <c r="G26" i="9"/>
  <c r="H44" i="9"/>
  <c r="G28" i="9"/>
  <c r="G30" i="9"/>
  <c r="G37" i="9"/>
  <c r="H24" i="9"/>
  <c r="G20" i="9"/>
  <c r="B37" i="9"/>
  <c r="B42" i="9"/>
  <c r="B38" i="9"/>
  <c r="K36" i="16"/>
  <c r="J38" i="16"/>
  <c r="J39" i="16"/>
  <c r="J37" i="16"/>
  <c r="K37" i="16"/>
  <c r="K38" i="16"/>
  <c r="J36" i="16"/>
  <c r="K39" i="16"/>
  <c r="K135" i="26"/>
  <c r="K7" i="35"/>
  <c r="H29" i="29"/>
  <c r="K121" i="13"/>
  <c r="H121" i="33"/>
  <c r="H29" i="20"/>
  <c r="H125" i="33"/>
  <c r="H68" i="29"/>
  <c r="K113" i="33"/>
  <c r="H68" i="35"/>
  <c r="H29" i="13"/>
  <c r="K68" i="20"/>
  <c r="K12" i="29"/>
  <c r="J86" i="29"/>
  <c r="K108" i="33"/>
  <c r="H22" i="33"/>
  <c r="K68" i="33"/>
  <c r="H35" i="29"/>
  <c r="H34" i="13"/>
  <c r="D37" i="16"/>
  <c r="H121" i="27"/>
  <c r="D55" i="39"/>
  <c r="K89" i="27"/>
  <c r="K108" i="27"/>
  <c r="H121" i="35"/>
  <c r="K22" i="51"/>
  <c r="K135" i="34"/>
  <c r="K134" i="26"/>
  <c r="K113" i="29"/>
  <c r="H100" i="29"/>
  <c r="K137" i="26"/>
  <c r="J79" i="29"/>
  <c r="K28" i="51"/>
  <c r="H89" i="29"/>
  <c r="K12" i="33"/>
  <c r="K116" i="33"/>
  <c r="K29" i="51"/>
  <c r="H34" i="33"/>
  <c r="H12" i="33"/>
  <c r="H79" i="27"/>
  <c r="H125" i="29"/>
  <c r="K109" i="20"/>
  <c r="K108" i="23"/>
  <c r="K22" i="23"/>
  <c r="K100" i="27"/>
  <c r="K107" i="33"/>
  <c r="K100" i="33"/>
  <c r="K75" i="33"/>
  <c r="K122" i="33"/>
  <c r="H86" i="35"/>
  <c r="K114" i="33"/>
  <c r="H29" i="33"/>
  <c r="D58" i="22"/>
  <c r="H75" i="33"/>
  <c r="D36" i="16"/>
  <c r="D12" i="16"/>
  <c r="D11" i="16"/>
  <c r="D37" i="13"/>
  <c r="K89" i="20"/>
  <c r="H100" i="20"/>
  <c r="K89" i="23"/>
  <c r="K68" i="23"/>
  <c r="H135" i="26"/>
  <c r="H22" i="29"/>
  <c r="K113" i="35"/>
  <c r="K12" i="35"/>
  <c r="K109" i="35"/>
  <c r="H12" i="35"/>
  <c r="H96" i="33"/>
  <c r="H117" i="33"/>
  <c r="K100" i="20"/>
  <c r="K28" i="25"/>
  <c r="K96" i="33"/>
  <c r="H35" i="33"/>
  <c r="D49" i="33"/>
  <c r="K117" i="33"/>
  <c r="H100" i="27"/>
  <c r="H109" i="35"/>
  <c r="K28" i="23"/>
  <c r="H114" i="33"/>
  <c r="K113" i="20"/>
  <c r="K109" i="27"/>
  <c r="K89" i="33"/>
  <c r="K11" i="35"/>
  <c r="D58" i="33"/>
  <c r="H113" i="35"/>
  <c r="D57" i="16"/>
  <c r="D35" i="16"/>
  <c r="D28" i="16"/>
  <c r="D29" i="16"/>
  <c r="D9" i="16"/>
  <c r="D10" i="16"/>
  <c r="D39" i="16"/>
  <c r="D58" i="16"/>
  <c r="D54" i="16"/>
  <c r="D8" i="16"/>
  <c r="D49" i="16"/>
  <c r="D7" i="16"/>
  <c r="D55" i="16"/>
  <c r="D34" i="16"/>
  <c r="D38" i="16"/>
  <c r="D48" i="16"/>
  <c r="H100" i="23"/>
  <c r="B21" i="10"/>
  <c r="K109" i="23"/>
  <c r="H109" i="27"/>
  <c r="K10" i="35"/>
  <c r="K34" i="13"/>
  <c r="K107" i="13"/>
  <c r="K121" i="23"/>
  <c r="H109" i="23"/>
  <c r="H22" i="23"/>
  <c r="H89" i="35"/>
  <c r="H100" i="33"/>
  <c r="H68" i="33"/>
  <c r="K125" i="33"/>
  <c r="D49" i="39"/>
  <c r="K7" i="13"/>
  <c r="K7" i="19"/>
  <c r="K10" i="29"/>
  <c r="H7" i="23"/>
  <c r="H7" i="29"/>
  <c r="H7" i="33"/>
  <c r="K10" i="33"/>
  <c r="H10" i="13"/>
  <c r="K7" i="23"/>
  <c r="K11" i="33"/>
  <c r="K7" i="29"/>
  <c r="H10" i="35"/>
  <c r="H11" i="13"/>
  <c r="H89" i="20"/>
  <c r="K22" i="13"/>
  <c r="K29" i="13"/>
  <c r="H79" i="13"/>
  <c r="K100" i="13"/>
  <c r="K116" i="13"/>
  <c r="K10" i="13"/>
  <c r="H121" i="13"/>
  <c r="K7" i="20"/>
  <c r="K10" i="20"/>
  <c r="K22" i="24"/>
  <c r="D49" i="26"/>
  <c r="K11" i="29"/>
  <c r="H22" i="35"/>
  <c r="H113" i="29"/>
  <c r="H7" i="35"/>
  <c r="H11" i="35"/>
  <c r="K7" i="33"/>
  <c r="H89" i="33"/>
  <c r="H107" i="33"/>
  <c r="K121" i="33"/>
  <c r="K126" i="33"/>
  <c r="H89" i="13"/>
  <c r="K109" i="13"/>
  <c r="K67" i="13"/>
  <c r="K11" i="13"/>
  <c r="H22" i="20"/>
  <c r="H113" i="33"/>
  <c r="H107" i="35"/>
  <c r="H12" i="23"/>
  <c r="D49" i="25"/>
  <c r="H136" i="26"/>
  <c r="H89" i="27"/>
  <c r="K28" i="29"/>
  <c r="K34" i="29"/>
  <c r="H134" i="26"/>
  <c r="K117" i="29"/>
  <c r="H109" i="20"/>
  <c r="H35" i="35"/>
  <c r="H79" i="23"/>
  <c r="H89" i="23"/>
  <c r="H117" i="23"/>
  <c r="K35" i="29"/>
  <c r="H117" i="29"/>
  <c r="D49" i="13"/>
  <c r="H40" i="9"/>
  <c r="H45" i="9"/>
  <c r="H22" i="13"/>
  <c r="H113" i="20"/>
  <c r="H7" i="13"/>
  <c r="K35" i="13"/>
  <c r="K108" i="13"/>
  <c r="K12" i="13"/>
  <c r="H107" i="13"/>
  <c r="C45" i="9"/>
  <c r="D48" i="13"/>
  <c r="J10" i="13"/>
  <c r="D10" i="13"/>
  <c r="K28" i="13"/>
  <c r="K68" i="13"/>
  <c r="K112" i="13"/>
  <c r="H35" i="13"/>
  <c r="H109" i="13"/>
  <c r="J89" i="13"/>
  <c r="D89" i="13"/>
  <c r="D11" i="13"/>
  <c r="J11" i="13"/>
  <c r="J9" i="19"/>
  <c r="L9" i="19" s="1"/>
  <c r="D9" i="19"/>
  <c r="B36" i="9"/>
  <c r="K113" i="13"/>
  <c r="J9" i="13"/>
  <c r="L9" i="13" s="1"/>
  <c r="D9" i="13"/>
  <c r="H68" i="13"/>
  <c r="J88" i="13"/>
  <c r="D88" i="13"/>
  <c r="H100" i="13"/>
  <c r="H12" i="13"/>
  <c r="C36" i="9"/>
  <c r="H36" i="9"/>
  <c r="G36" i="9"/>
  <c r="D78" i="13"/>
  <c r="J78" i="13"/>
  <c r="J12" i="13"/>
  <c r="D12" i="13"/>
  <c r="K120" i="13"/>
  <c r="J109" i="20"/>
  <c r="K88" i="13"/>
  <c r="D35" i="13"/>
  <c r="J35" i="13"/>
  <c r="J68" i="13"/>
  <c r="K86" i="13"/>
  <c r="K89" i="13"/>
  <c r="J107" i="13"/>
  <c r="D107" i="13"/>
  <c r="D112" i="13"/>
  <c r="J112" i="13"/>
  <c r="D86" i="13"/>
  <c r="J86" i="13"/>
  <c r="G10" i="9"/>
  <c r="D8" i="20"/>
  <c r="J8" i="20"/>
  <c r="L8" i="20" s="1"/>
  <c r="J79" i="13"/>
  <c r="D99" i="13"/>
  <c r="J99" i="13"/>
  <c r="J124" i="13"/>
  <c r="D124" i="13"/>
  <c r="H108" i="13"/>
  <c r="H113" i="13"/>
  <c r="J68" i="20"/>
  <c r="D68" i="20"/>
  <c r="J100" i="20"/>
  <c r="D100" i="20"/>
  <c r="D36" i="13"/>
  <c r="D54" i="13"/>
  <c r="D108" i="13"/>
  <c r="J108" i="13"/>
  <c r="J113" i="13"/>
  <c r="K124" i="13"/>
  <c r="J7" i="20"/>
  <c r="D7" i="20"/>
  <c r="J7" i="13"/>
  <c r="D7" i="13"/>
  <c r="D22" i="13"/>
  <c r="J22" i="13"/>
  <c r="J29" i="13"/>
  <c r="D29" i="13"/>
  <c r="D57" i="13"/>
  <c r="K78" i="13"/>
  <c r="K99" i="13"/>
  <c r="D109" i="13"/>
  <c r="J109" i="13"/>
  <c r="J120" i="13"/>
  <c r="D120" i="13"/>
  <c r="J10" i="20"/>
  <c r="D10" i="20"/>
  <c r="J7" i="19"/>
  <c r="D7" i="19"/>
  <c r="K79" i="20"/>
  <c r="K121" i="20"/>
  <c r="H77" i="20"/>
  <c r="D54" i="22"/>
  <c r="D22" i="23"/>
  <c r="J22" i="23"/>
  <c r="D28" i="25"/>
  <c r="J28" i="25"/>
  <c r="J100" i="27"/>
  <c r="J112" i="23"/>
  <c r="J22" i="24"/>
  <c r="D22" i="24"/>
  <c r="J88" i="27"/>
  <c r="D88" i="27"/>
  <c r="D8" i="22"/>
  <c r="J8" i="22"/>
  <c r="L8" i="22" s="1"/>
  <c r="D29" i="23"/>
  <c r="J29" i="23"/>
  <c r="K112" i="23"/>
  <c r="D7" i="24"/>
  <c r="J7" i="24"/>
  <c r="J22" i="51"/>
  <c r="D22" i="51"/>
  <c r="K11" i="23"/>
  <c r="K35" i="23"/>
  <c r="J117" i="23"/>
  <c r="K29" i="24"/>
  <c r="D12" i="25"/>
  <c r="D48" i="25"/>
  <c r="D9" i="22"/>
  <c r="J9" i="22"/>
  <c r="L9" i="22" s="1"/>
  <c r="K12" i="23"/>
  <c r="K67" i="23"/>
  <c r="K78" i="23"/>
  <c r="J108" i="23"/>
  <c r="H113" i="23"/>
  <c r="C19" i="9"/>
  <c r="J68" i="27"/>
  <c r="K88" i="27"/>
  <c r="D67" i="29"/>
  <c r="K67" i="29"/>
  <c r="J75" i="33"/>
  <c r="D75" i="33"/>
  <c r="D48" i="26"/>
  <c r="K67" i="27"/>
  <c r="J79" i="27"/>
  <c r="J121" i="27"/>
  <c r="D48" i="51"/>
  <c r="D54" i="40"/>
  <c r="J28" i="29"/>
  <c r="D28" i="29"/>
  <c r="D136" i="26"/>
  <c r="J136" i="26"/>
  <c r="H68" i="27"/>
  <c r="H117" i="27"/>
  <c r="K10" i="41"/>
  <c r="D7" i="29"/>
  <c r="J7" i="29"/>
  <c r="J10" i="35"/>
  <c r="J8" i="41"/>
  <c r="L8" i="41" s="1"/>
  <c r="D8" i="41"/>
  <c r="J12" i="29"/>
  <c r="D9" i="41"/>
  <c r="J9" i="41"/>
  <c r="L9" i="41" s="1"/>
  <c r="H12" i="29"/>
  <c r="J109" i="29"/>
  <c r="D109" i="29"/>
  <c r="K120" i="29"/>
  <c r="D68" i="29"/>
  <c r="J68" i="29"/>
  <c r="D86" i="29"/>
  <c r="K86" i="29"/>
  <c r="K89" i="29"/>
  <c r="K107" i="29"/>
  <c r="H121" i="29"/>
  <c r="K112" i="34"/>
  <c r="J7" i="35"/>
  <c r="K22" i="35"/>
  <c r="K29" i="35"/>
  <c r="J10" i="33"/>
  <c r="D10" i="33"/>
  <c r="J68" i="33"/>
  <c r="D68" i="33"/>
  <c r="J125" i="35"/>
  <c r="D54" i="33"/>
  <c r="D126" i="33"/>
  <c r="J126" i="33"/>
  <c r="J86" i="35"/>
  <c r="J89" i="35"/>
  <c r="J107" i="35"/>
  <c r="D57" i="33"/>
  <c r="K78" i="33"/>
  <c r="K112" i="33"/>
  <c r="K121" i="35"/>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D113" i="20"/>
  <c r="J113" i="20"/>
  <c r="J8" i="19"/>
  <c r="L8" i="19" s="1"/>
  <c r="D8" i="19"/>
  <c r="D79" i="20"/>
  <c r="J79" i="20"/>
  <c r="J121" i="20"/>
  <c r="D121" i="20"/>
  <c r="D57" i="22"/>
  <c r="J9" i="20"/>
  <c r="L9" i="20" s="1"/>
  <c r="D9" i="20"/>
  <c r="H68" i="20"/>
  <c r="K22" i="20"/>
  <c r="K29" i="20"/>
  <c r="H79" i="20"/>
  <c r="H121" i="20"/>
  <c r="J113" i="23"/>
  <c r="J125" i="27"/>
  <c r="K7" i="22"/>
  <c r="J12" i="35"/>
  <c r="D49" i="22"/>
  <c r="J10" i="23"/>
  <c r="J34" i="23"/>
  <c r="K113" i="23"/>
  <c r="J125" i="23"/>
  <c r="J8" i="24"/>
  <c r="L8" i="24" s="1"/>
  <c r="D8" i="24"/>
  <c r="J7" i="25"/>
  <c r="D7" i="25"/>
  <c r="D10" i="25"/>
  <c r="D29" i="51"/>
  <c r="J29" i="51"/>
  <c r="L29" i="51" s="1"/>
  <c r="J12" i="23"/>
  <c r="J78" i="23"/>
  <c r="K7" i="24"/>
  <c r="D10" i="24"/>
  <c r="J10" i="24"/>
  <c r="H29" i="23"/>
  <c r="J68" i="23"/>
  <c r="K79" i="23"/>
  <c r="J88" i="23"/>
  <c r="K99" i="23"/>
  <c r="J109" i="23"/>
  <c r="K120" i="23"/>
  <c r="K10" i="24"/>
  <c r="D48" i="40"/>
  <c r="J29" i="29"/>
  <c r="D29" i="29"/>
  <c r="D112" i="27"/>
  <c r="J112" i="27"/>
  <c r="J117" i="27"/>
  <c r="D48" i="41"/>
  <c r="K68" i="27"/>
  <c r="K112" i="27"/>
  <c r="K117" i="27"/>
  <c r="D134" i="26"/>
  <c r="J134" i="26"/>
  <c r="D137" i="26"/>
  <c r="J137" i="26"/>
  <c r="H113" i="27"/>
  <c r="K7" i="51"/>
  <c r="K10" i="51"/>
  <c r="J78" i="29"/>
  <c r="D78" i="29"/>
  <c r="J22" i="29"/>
  <c r="D22" i="29"/>
  <c r="K68" i="29"/>
  <c r="J88" i="29"/>
  <c r="D88" i="29"/>
  <c r="J11" i="33"/>
  <c r="J121" i="29"/>
  <c r="J134" i="34"/>
  <c r="D134" i="34"/>
  <c r="H29" i="35"/>
  <c r="K108" i="29"/>
  <c r="D48" i="34"/>
  <c r="J22" i="35"/>
  <c r="J29" i="35"/>
  <c r="H77" i="29"/>
  <c r="H107" i="29"/>
  <c r="J117" i="29"/>
  <c r="J135" i="34"/>
  <c r="D135" i="34"/>
  <c r="K34" i="35"/>
  <c r="J117" i="35"/>
  <c r="J9" i="33"/>
  <c r="L9" i="33" s="1"/>
  <c r="D9" i="33"/>
  <c r="J78" i="33"/>
  <c r="D78" i="33"/>
  <c r="J22" i="33"/>
  <c r="D22" i="33"/>
  <c r="J29" i="33"/>
  <c r="D29" i="33"/>
  <c r="J67" i="33"/>
  <c r="K79" i="33"/>
  <c r="K86" i="35"/>
  <c r="K89" i="35"/>
  <c r="K107" i="35"/>
  <c r="H117" i="35"/>
  <c r="J99" i="33"/>
  <c r="D99" i="33"/>
  <c r="D109" i="33"/>
  <c r="J109" i="33"/>
  <c r="G45" i="9"/>
  <c r="J112" i="33"/>
  <c r="D112" i="33"/>
  <c r="J117" i="33"/>
  <c r="D48" i="39"/>
  <c r="D47" i="39"/>
  <c r="J89" i="20"/>
  <c r="D89" i="20"/>
  <c r="J28" i="23"/>
  <c r="D28" i="23"/>
  <c r="D48" i="21"/>
  <c r="D57" i="25"/>
  <c r="J11" i="23"/>
  <c r="J35" i="23"/>
  <c r="J8" i="25"/>
  <c r="D8" i="25"/>
  <c r="J9" i="51"/>
  <c r="L9" i="51" s="1"/>
  <c r="D9" i="51"/>
  <c r="K29" i="23"/>
  <c r="J67" i="23"/>
  <c r="J79" i="23"/>
  <c r="J99" i="23"/>
  <c r="J120" i="23"/>
  <c r="K125" i="23"/>
  <c r="K7" i="25"/>
  <c r="D48" i="22"/>
  <c r="H10" i="23"/>
  <c r="H34" i="23"/>
  <c r="J89" i="23"/>
  <c r="K100" i="23"/>
  <c r="K116" i="23"/>
  <c r="J121" i="23"/>
  <c r="H125" i="23"/>
  <c r="J9" i="24"/>
  <c r="L9" i="24" s="1"/>
  <c r="D9" i="24"/>
  <c r="D54" i="25"/>
  <c r="D99" i="27"/>
  <c r="J99" i="27"/>
  <c r="J113" i="27"/>
  <c r="D57" i="41"/>
  <c r="K113" i="27"/>
  <c r="J7" i="51"/>
  <c r="D7" i="51"/>
  <c r="D10" i="51"/>
  <c r="J10" i="51"/>
  <c r="J34" i="29"/>
  <c r="K78" i="27"/>
  <c r="K77" i="27"/>
  <c r="K120" i="27"/>
  <c r="H125" i="27"/>
  <c r="K7" i="41"/>
  <c r="D10" i="29"/>
  <c r="J10" i="29"/>
  <c r="J89" i="29"/>
  <c r="D89" i="29"/>
  <c r="J11" i="35"/>
  <c r="H10" i="29"/>
  <c r="K22" i="29"/>
  <c r="K29" i="29"/>
  <c r="J120" i="29"/>
  <c r="D120" i="29"/>
  <c r="J107" i="29"/>
  <c r="D107" i="29"/>
  <c r="H34" i="35"/>
  <c r="K78" i="29"/>
  <c r="K99" i="29"/>
  <c r="K109" i="29"/>
  <c r="J125" i="29"/>
  <c r="D112" i="34"/>
  <c r="J112" i="34"/>
  <c r="K134" i="34"/>
  <c r="J34" i="35"/>
  <c r="J68" i="35"/>
  <c r="H29" i="9"/>
  <c r="H79" i="29"/>
  <c r="J113" i="29"/>
  <c r="K125" i="29"/>
  <c r="D120" i="34"/>
  <c r="J120" i="34"/>
  <c r="L120" i="34" s="1"/>
  <c r="K35" i="35"/>
  <c r="K68" i="35"/>
  <c r="D48" i="33"/>
  <c r="K117" i="35"/>
  <c r="G68" i="9"/>
  <c r="I68" i="9" s="1"/>
  <c r="D67" i="33"/>
  <c r="K67" i="33"/>
  <c r="J79" i="33"/>
  <c r="D79" i="33"/>
  <c r="K125" i="35"/>
  <c r="J28" i="33"/>
  <c r="D28" i="33"/>
  <c r="J34" i="33"/>
  <c r="K86" i="33"/>
  <c r="D122" i="33"/>
  <c r="J122" i="33"/>
  <c r="J113" i="35"/>
  <c r="K22" i="33"/>
  <c r="K29" i="33"/>
  <c r="H79" i="33"/>
  <c r="J88" i="33"/>
  <c r="D88" i="33"/>
  <c r="J100" i="33"/>
  <c r="D100" i="33"/>
  <c r="K120" i="33"/>
  <c r="D113" i="33"/>
  <c r="J113" i="33"/>
  <c r="D57" i="39"/>
  <c r="J22" i="20"/>
  <c r="D22" i="20"/>
  <c r="J29" i="20"/>
  <c r="D29" i="20"/>
  <c r="D48" i="20"/>
  <c r="K77" i="20"/>
  <c r="J7" i="23"/>
  <c r="K88" i="23"/>
  <c r="J35" i="29"/>
  <c r="D7" i="22"/>
  <c r="J7" i="22"/>
  <c r="H121" i="23"/>
  <c r="J29" i="24"/>
  <c r="D29" i="24"/>
  <c r="J89" i="27"/>
  <c r="K10" i="23"/>
  <c r="K34" i="23"/>
  <c r="H68" i="23"/>
  <c r="J100" i="23"/>
  <c r="J116" i="23"/>
  <c r="D11" i="25"/>
  <c r="J108" i="27"/>
  <c r="D108" i="27"/>
  <c r="J28" i="51"/>
  <c r="D28" i="51"/>
  <c r="H11" i="23"/>
  <c r="H35" i="23"/>
  <c r="K117" i="23"/>
  <c r="J9" i="25"/>
  <c r="D9" i="25"/>
  <c r="H77" i="27"/>
  <c r="J109" i="27"/>
  <c r="D67" i="27"/>
  <c r="J67" i="27"/>
  <c r="K99" i="27"/>
  <c r="K125" i="27"/>
  <c r="K136" i="26"/>
  <c r="J78" i="27"/>
  <c r="D78" i="27"/>
  <c r="D120" i="27"/>
  <c r="J120" i="27"/>
  <c r="J8" i="51"/>
  <c r="L8" i="51" s="1"/>
  <c r="D8" i="51"/>
  <c r="G19" i="9"/>
  <c r="D135" i="26"/>
  <c r="J135" i="26"/>
  <c r="K79" i="27"/>
  <c r="K121" i="27"/>
  <c r="D57" i="40"/>
  <c r="K120" i="34"/>
  <c r="J7" i="41"/>
  <c r="D7" i="41"/>
  <c r="J10" i="41"/>
  <c r="L10" i="41" s="1"/>
  <c r="D10" i="41"/>
  <c r="J8" i="29"/>
  <c r="D8" i="29"/>
  <c r="J11" i="29"/>
  <c r="J99" i="29"/>
  <c r="D99" i="29"/>
  <c r="D120" i="33"/>
  <c r="J120" i="33"/>
  <c r="D9" i="29"/>
  <c r="J9" i="29"/>
  <c r="H11" i="29"/>
  <c r="H34" i="29"/>
  <c r="J100" i="29"/>
  <c r="D100" i="29"/>
  <c r="J108" i="29"/>
  <c r="D108" i="29"/>
  <c r="J12" i="33"/>
  <c r="D125" i="33"/>
  <c r="J125" i="33"/>
  <c r="J67" i="29"/>
  <c r="D79" i="29"/>
  <c r="K79" i="29"/>
  <c r="K88" i="29"/>
  <c r="K100" i="29"/>
  <c r="K121" i="29"/>
  <c r="J35" i="35"/>
  <c r="K99" i="33"/>
  <c r="K98" i="33"/>
  <c r="H86" i="29"/>
  <c r="H109" i="29"/>
  <c r="K88" i="33"/>
  <c r="J86" i="33"/>
  <c r="D121" i="33"/>
  <c r="J121" i="33"/>
  <c r="J121" i="35"/>
  <c r="J35" i="33"/>
  <c r="D35" i="33"/>
  <c r="J109" i="35"/>
  <c r="H125" i="35"/>
  <c r="J7" i="33"/>
  <c r="D7" i="33"/>
  <c r="H10" i="33"/>
  <c r="K28" i="33"/>
  <c r="K34" i="33"/>
  <c r="H86" i="33"/>
  <c r="J89" i="33"/>
  <c r="D89" i="33"/>
  <c r="J107" i="33"/>
  <c r="J110" i="33"/>
  <c r="D110" i="33"/>
  <c r="K109" i="33"/>
  <c r="H109" i="33"/>
  <c r="J114" i="33"/>
  <c r="D114" i="33"/>
  <c r="G29" i="9"/>
  <c r="B15" i="10"/>
  <c r="B10" i="10"/>
  <c r="F21" i="10"/>
  <c r="F10" i="10"/>
  <c r="K9" i="16"/>
  <c r="K8" i="16"/>
  <c r="K22" i="16"/>
  <c r="K11" i="16"/>
  <c r="K7" i="16"/>
  <c r="J8" i="16"/>
  <c r="J35" i="16"/>
  <c r="J9" i="16"/>
  <c r="J22" i="16"/>
  <c r="J28" i="16"/>
  <c r="J34" i="16"/>
  <c r="J29" i="16"/>
  <c r="K10" i="16"/>
  <c r="K29" i="16"/>
  <c r="K34" i="16"/>
  <c r="J11" i="16"/>
  <c r="K35" i="16"/>
  <c r="J12" i="16"/>
  <c r="J10" i="16"/>
  <c r="J7" i="16"/>
  <c r="K12" i="16"/>
  <c r="K28" i="16"/>
  <c r="L109" i="20" l="1"/>
  <c r="G109" i="4"/>
  <c r="G86" i="4"/>
  <c r="G100" i="4"/>
  <c r="G113" i="4"/>
  <c r="G121" i="4"/>
  <c r="G107" i="4"/>
  <c r="L126" i="33"/>
  <c r="F23" i="10"/>
  <c r="G89" i="4"/>
  <c r="H77" i="33"/>
  <c r="K77" i="33"/>
  <c r="F13" i="10"/>
  <c r="G68" i="4"/>
  <c r="G79" i="4"/>
  <c r="D126" i="4"/>
  <c r="E28" i="29"/>
  <c r="G108" i="4"/>
  <c r="G96" i="4"/>
  <c r="G125" i="4"/>
  <c r="G114" i="4"/>
  <c r="G75" i="4"/>
  <c r="L7" i="35"/>
  <c r="E28" i="25"/>
  <c r="L22" i="51"/>
  <c r="E28" i="16"/>
  <c r="D28" i="4"/>
  <c r="D34" i="4"/>
  <c r="E28" i="33"/>
  <c r="E28" i="23"/>
  <c r="L7" i="51"/>
  <c r="E34" i="37"/>
  <c r="E34" i="13"/>
  <c r="E34" i="16"/>
  <c r="L7" i="41"/>
  <c r="L112" i="34"/>
  <c r="L110" i="33"/>
  <c r="B111" i="4"/>
  <c r="B32" i="10" s="1"/>
  <c r="E111" i="4"/>
  <c r="F111" i="4"/>
  <c r="B66" i="4"/>
  <c r="E87" i="4"/>
  <c r="E77" i="4"/>
  <c r="C66" i="4"/>
  <c r="F87" i="4"/>
  <c r="F119" i="4"/>
  <c r="C119" i="4"/>
  <c r="B87" i="4"/>
  <c r="B22" i="10" s="1"/>
  <c r="C87" i="4"/>
  <c r="F66" i="4"/>
  <c r="B119" i="4"/>
  <c r="B43" i="10" s="1"/>
  <c r="B47" i="4"/>
  <c r="B11" i="10" s="1"/>
  <c r="F98" i="4"/>
  <c r="C53" i="4"/>
  <c r="C47" i="4"/>
  <c r="C77" i="4"/>
  <c r="E98" i="4"/>
  <c r="C56" i="4"/>
  <c r="E66" i="4"/>
  <c r="C98" i="4"/>
  <c r="C111" i="4"/>
  <c r="B77" i="4"/>
  <c r="B56" i="4"/>
  <c r="B49" i="10" s="1"/>
  <c r="B53" i="4"/>
  <c r="B38" i="10" s="1"/>
  <c r="E119" i="4"/>
  <c r="B98" i="4"/>
  <c r="F77" i="4"/>
  <c r="E8" i="74"/>
  <c r="E28" i="18"/>
  <c r="E7" i="72"/>
  <c r="E7" i="74"/>
  <c r="E48" i="72"/>
  <c r="E48" i="74"/>
  <c r="E28" i="37"/>
  <c r="E28" i="13"/>
  <c r="D35" i="4"/>
  <c r="C31" i="9"/>
  <c r="D53" i="40"/>
  <c r="L28" i="51"/>
  <c r="L125" i="35"/>
  <c r="L10" i="51"/>
  <c r="E35" i="16"/>
  <c r="E35" i="13"/>
  <c r="E35" i="37"/>
  <c r="E35" i="33"/>
  <c r="B34" i="10"/>
  <c r="H77" i="13"/>
  <c r="L38" i="16"/>
  <c r="L39" i="16"/>
  <c r="B42" i="10"/>
  <c r="E99" i="18"/>
  <c r="D29" i="4"/>
  <c r="E88" i="18"/>
  <c r="E9" i="18"/>
  <c r="E9" i="72"/>
  <c r="E67" i="18"/>
  <c r="E8" i="18"/>
  <c r="E112" i="18"/>
  <c r="E108" i="18"/>
  <c r="E120" i="18"/>
  <c r="E78" i="18"/>
  <c r="L36" i="16"/>
  <c r="L37" i="16"/>
  <c r="D37" i="4"/>
  <c r="D36" i="4"/>
  <c r="I33" i="37"/>
  <c r="I33" i="33"/>
  <c r="I33" i="35"/>
  <c r="I33" i="29"/>
  <c r="I33" i="23"/>
  <c r="I33" i="20"/>
  <c r="B31" i="10"/>
  <c r="H119" i="20"/>
  <c r="D110" i="4"/>
  <c r="L117" i="35"/>
  <c r="L122" i="33"/>
  <c r="L135" i="26"/>
  <c r="H111" i="35"/>
  <c r="L113" i="35"/>
  <c r="D122" i="4"/>
  <c r="H119" i="35"/>
  <c r="D47" i="34"/>
  <c r="L121" i="13"/>
  <c r="L108" i="33"/>
  <c r="L121" i="35"/>
  <c r="E48" i="37"/>
  <c r="E48" i="18"/>
  <c r="I11" i="37"/>
  <c r="I11" i="18"/>
  <c r="E54" i="37"/>
  <c r="I34" i="37"/>
  <c r="I34" i="18"/>
  <c r="I117" i="37"/>
  <c r="I117" i="18"/>
  <c r="E22" i="37"/>
  <c r="E22" i="18"/>
  <c r="I109" i="37"/>
  <c r="I109" i="18"/>
  <c r="E7" i="37"/>
  <c r="E7" i="18"/>
  <c r="E134" i="37"/>
  <c r="I89" i="37"/>
  <c r="I89" i="18"/>
  <c r="I10" i="37"/>
  <c r="I10" i="18"/>
  <c r="I125" i="37"/>
  <c r="I125" i="18"/>
  <c r="I124" i="37"/>
  <c r="I124" i="18"/>
  <c r="I113" i="37"/>
  <c r="I113" i="18"/>
  <c r="I68" i="37"/>
  <c r="I68" i="18"/>
  <c r="I114" i="37"/>
  <c r="I96" i="37"/>
  <c r="E75" i="37"/>
  <c r="E36" i="37"/>
  <c r="E49" i="37"/>
  <c r="I100" i="37"/>
  <c r="I100" i="18"/>
  <c r="E89" i="37"/>
  <c r="D114" i="4"/>
  <c r="I12" i="37"/>
  <c r="I12" i="18"/>
  <c r="E37" i="37"/>
  <c r="I22" i="37"/>
  <c r="I22" i="18"/>
  <c r="I121" i="37"/>
  <c r="I121" i="18"/>
  <c r="I29" i="37"/>
  <c r="I29" i="18"/>
  <c r="I79" i="37"/>
  <c r="I79" i="18"/>
  <c r="I116" i="37"/>
  <c r="I35" i="37"/>
  <c r="I35" i="18"/>
  <c r="I75" i="37"/>
  <c r="E135" i="37"/>
  <c r="I112" i="37"/>
  <c r="I108" i="37"/>
  <c r="I108" i="18"/>
  <c r="E10" i="37"/>
  <c r="E10" i="18"/>
  <c r="E57" i="37"/>
  <c r="I7" i="37"/>
  <c r="I7" i="18"/>
  <c r="E96" i="37"/>
  <c r="L114" i="33"/>
  <c r="H77" i="23"/>
  <c r="K77" i="23"/>
  <c r="D47" i="21"/>
  <c r="D47" i="20"/>
  <c r="L107" i="29"/>
  <c r="L134" i="26"/>
  <c r="L109" i="23"/>
  <c r="L113" i="33"/>
  <c r="L12" i="33"/>
  <c r="D56" i="22"/>
  <c r="K111" i="34"/>
  <c r="H111" i="20"/>
  <c r="D56" i="41"/>
  <c r="E100" i="37"/>
  <c r="E122" i="37"/>
  <c r="E78" i="37"/>
  <c r="E114" i="37"/>
  <c r="E9" i="37"/>
  <c r="E124" i="37"/>
  <c r="E8" i="37"/>
  <c r="E67" i="37"/>
  <c r="E116" i="37"/>
  <c r="E125" i="37"/>
  <c r="E99" i="37"/>
  <c r="E112" i="37"/>
  <c r="E110" i="37"/>
  <c r="E107" i="37"/>
  <c r="E88" i="37"/>
  <c r="E86" i="37"/>
  <c r="E108" i="37"/>
  <c r="E120" i="37"/>
  <c r="H66" i="27"/>
  <c r="L96" i="33"/>
  <c r="L113" i="29"/>
  <c r="L89" i="23"/>
  <c r="L75" i="33"/>
  <c r="L68" i="20"/>
  <c r="H98" i="20"/>
  <c r="L68" i="33"/>
  <c r="L68" i="23"/>
  <c r="H98" i="29"/>
  <c r="K98" i="29"/>
  <c r="L89" i="20"/>
  <c r="L22" i="23"/>
  <c r="K98" i="20"/>
  <c r="L120" i="33"/>
  <c r="K87" i="29"/>
  <c r="L137" i="26"/>
  <c r="D47" i="40"/>
  <c r="L89" i="27"/>
  <c r="K66" i="27"/>
  <c r="L113" i="20"/>
  <c r="L28" i="23"/>
  <c r="L12" i="29"/>
  <c r="D53" i="13"/>
  <c r="K87" i="33"/>
  <c r="K87" i="23"/>
  <c r="L89" i="33"/>
  <c r="H87" i="29"/>
  <c r="L135" i="34"/>
  <c r="L109" i="27"/>
  <c r="L10" i="29"/>
  <c r="L7" i="33"/>
  <c r="H98" i="27"/>
  <c r="H66" i="23"/>
  <c r="L35" i="29"/>
  <c r="D56" i="39"/>
  <c r="L11" i="35"/>
  <c r="H87" i="35"/>
  <c r="L11" i="29"/>
  <c r="D47" i="41"/>
  <c r="H111" i="13"/>
  <c r="L108" i="27"/>
  <c r="L35" i="23"/>
  <c r="N138" i="8"/>
  <c r="C12" i="9"/>
  <c r="N114" i="8"/>
  <c r="C25" i="9"/>
  <c r="C14" i="9"/>
  <c r="C24" i="9"/>
  <c r="C28" i="9"/>
  <c r="K119" i="20"/>
  <c r="K111" i="13"/>
  <c r="L107" i="33"/>
  <c r="L100" i="33"/>
  <c r="L100" i="20"/>
  <c r="N141" i="8"/>
  <c r="M114" i="8"/>
  <c r="L108" i="13"/>
  <c r="D56" i="40"/>
  <c r="N142" i="8"/>
  <c r="L109" i="35"/>
  <c r="H119" i="23"/>
  <c r="L116" i="33"/>
  <c r="L100" i="27"/>
  <c r="C21" i="9"/>
  <c r="D53" i="22"/>
  <c r="L35" i="33"/>
  <c r="L8" i="16"/>
  <c r="L67" i="29"/>
  <c r="L29" i="20"/>
  <c r="L116" i="23"/>
  <c r="L12" i="35"/>
  <c r="H87" i="27"/>
  <c r="L108" i="23"/>
  <c r="L28" i="25"/>
  <c r="L9" i="16"/>
  <c r="H98" i="13"/>
  <c r="K111" i="29"/>
  <c r="L7" i="16"/>
  <c r="D53" i="16"/>
  <c r="D47" i="33"/>
  <c r="D56" i="25"/>
  <c r="L117" i="33"/>
  <c r="L10" i="35"/>
  <c r="L12" i="13"/>
  <c r="K66" i="35"/>
  <c r="D56" i="16"/>
  <c r="N136" i="8"/>
  <c r="L99" i="23"/>
  <c r="L7" i="20"/>
  <c r="K119" i="13"/>
  <c r="M116" i="8"/>
  <c r="K66" i="23"/>
  <c r="K87" i="35"/>
  <c r="M111" i="8"/>
  <c r="L11" i="33"/>
  <c r="H119" i="13"/>
  <c r="L22" i="16"/>
  <c r="L29" i="16"/>
  <c r="C15" i="9"/>
  <c r="L35" i="16"/>
  <c r="L10" i="16"/>
  <c r="D47" i="16"/>
  <c r="L28" i="16"/>
  <c r="L12" i="16"/>
  <c r="L11" i="16"/>
  <c r="L34" i="16"/>
  <c r="N140" i="8"/>
  <c r="L7" i="13"/>
  <c r="M139" i="8"/>
  <c r="N135" i="8"/>
  <c r="B29" i="9"/>
  <c r="M117" i="8"/>
  <c r="M140" i="8"/>
  <c r="N113" i="8"/>
  <c r="N137" i="8"/>
  <c r="N143" i="8"/>
  <c r="C29" i="9"/>
  <c r="C23" i="9"/>
  <c r="C18" i="9"/>
  <c r="M113" i="8"/>
  <c r="B11" i="9"/>
  <c r="B16" i="9"/>
  <c r="M118" i="8"/>
  <c r="H119" i="33"/>
  <c r="L125" i="33"/>
  <c r="L121" i="23"/>
  <c r="M115" i="8"/>
  <c r="M138" i="8"/>
  <c r="L116" i="13"/>
  <c r="N117" i="8"/>
  <c r="L10" i="33"/>
  <c r="B19" i="9"/>
  <c r="L22" i="13"/>
  <c r="L107" i="13"/>
  <c r="B10" i="9"/>
  <c r="L10" i="13"/>
  <c r="L121" i="33"/>
  <c r="C26" i="9"/>
  <c r="K98" i="27"/>
  <c r="H87" i="23"/>
  <c r="L29" i="24"/>
  <c r="L7" i="23"/>
  <c r="H87" i="33"/>
  <c r="L120" i="29"/>
  <c r="D47" i="22"/>
  <c r="L11" i="23"/>
  <c r="L117" i="29"/>
  <c r="B20" i="9"/>
  <c r="N115" i="8"/>
  <c r="K119" i="23"/>
  <c r="L34" i="13"/>
  <c r="M142" i="8"/>
  <c r="B23" i="9"/>
  <c r="B21" i="9"/>
  <c r="N139" i="8"/>
  <c r="L22" i="24"/>
  <c r="L7" i="19"/>
  <c r="N111" i="8"/>
  <c r="M112" i="8"/>
  <c r="C10" i="9"/>
  <c r="L11" i="13"/>
  <c r="C11" i="9"/>
  <c r="M135" i="8"/>
  <c r="C30" i="9"/>
  <c r="F14" i="10"/>
  <c r="E48" i="39"/>
  <c r="E48" i="16"/>
  <c r="I89" i="20"/>
  <c r="I89" i="13"/>
  <c r="I89" i="29"/>
  <c r="I89" i="35"/>
  <c r="I89" i="33"/>
  <c r="I89" i="27"/>
  <c r="I89" i="23"/>
  <c r="G23" i="10"/>
  <c r="I35" i="23"/>
  <c r="I35" i="29"/>
  <c r="I35" i="35"/>
  <c r="I35" i="33"/>
  <c r="I35" i="13"/>
  <c r="G42" i="10"/>
  <c r="I134" i="26"/>
  <c r="G15" i="10"/>
  <c r="I10" i="23"/>
  <c r="I10" i="35"/>
  <c r="I10" i="29"/>
  <c r="I10" i="33"/>
  <c r="I10" i="13"/>
  <c r="G20" i="10"/>
  <c r="E49" i="39"/>
  <c r="E49" i="16"/>
  <c r="I23" i="33"/>
  <c r="I23" i="13"/>
  <c r="I23" i="23"/>
  <c r="I23" i="29"/>
  <c r="I23" i="35"/>
  <c r="E54" i="39"/>
  <c r="E54" i="16"/>
  <c r="I114" i="33"/>
  <c r="C25" i="10"/>
  <c r="C31" i="10"/>
  <c r="C9" i="10"/>
  <c r="C23" i="10"/>
  <c r="G44" i="10"/>
  <c r="C41" i="10"/>
  <c r="I86" i="29"/>
  <c r="I86" i="33"/>
  <c r="I86" i="35"/>
  <c r="C21" i="10"/>
  <c r="C33" i="10"/>
  <c r="C16" i="10"/>
  <c r="H17" i="9"/>
  <c r="N66" i="8" s="1"/>
  <c r="B15" i="9"/>
  <c r="M143" i="8"/>
  <c r="H68" i="9"/>
  <c r="H18" i="9"/>
  <c r="N67" i="8" s="1"/>
  <c r="M137" i="8"/>
  <c r="N112" i="8"/>
  <c r="G41" i="9"/>
  <c r="I29" i="33"/>
  <c r="I29" i="20"/>
  <c r="I29" i="23"/>
  <c r="I29" i="29"/>
  <c r="I29" i="13"/>
  <c r="I29" i="35"/>
  <c r="G21" i="10"/>
  <c r="I25" i="20"/>
  <c r="I25" i="23"/>
  <c r="I25" i="29"/>
  <c r="I25" i="33"/>
  <c r="I25" i="13"/>
  <c r="I30" i="23"/>
  <c r="I30" i="29"/>
  <c r="I30" i="35"/>
  <c r="I30" i="33"/>
  <c r="I30" i="13"/>
  <c r="C30" i="10"/>
  <c r="I107" i="13"/>
  <c r="I107" i="29"/>
  <c r="I107" i="35"/>
  <c r="I107" i="33"/>
  <c r="C44" i="10"/>
  <c r="I75" i="33"/>
  <c r="G14" i="10"/>
  <c r="I32" i="13"/>
  <c r="I32" i="20"/>
  <c r="I32" i="23"/>
  <c r="I32" i="29"/>
  <c r="I32" i="33"/>
  <c r="I100" i="13"/>
  <c r="I100" i="20"/>
  <c r="I100" i="23"/>
  <c r="I100" i="27"/>
  <c r="I100" i="29"/>
  <c r="I100" i="33"/>
  <c r="I22" i="23"/>
  <c r="I22" i="29"/>
  <c r="I22" i="35"/>
  <c r="I22" i="33"/>
  <c r="I22" i="20"/>
  <c r="I22" i="13"/>
  <c r="G10" i="10"/>
  <c r="C34" i="10"/>
  <c r="I121" i="20"/>
  <c r="I121" i="13"/>
  <c r="I121" i="23"/>
  <c r="I121" i="35"/>
  <c r="I121" i="27"/>
  <c r="I121" i="33"/>
  <c r="I121" i="29"/>
  <c r="I113" i="20"/>
  <c r="I113" i="23"/>
  <c r="I113" i="13"/>
  <c r="I113" i="27"/>
  <c r="I113" i="35"/>
  <c r="I113" i="33"/>
  <c r="I113" i="29"/>
  <c r="I108" i="13"/>
  <c r="M141" i="8"/>
  <c r="N116" i="8"/>
  <c r="B40" i="9"/>
  <c r="B14" i="9"/>
  <c r="B31" i="9"/>
  <c r="G44" i="9"/>
  <c r="B41" i="9"/>
  <c r="H23" i="9"/>
  <c r="N72" i="8" s="1"/>
  <c r="C16" i="9"/>
  <c r="B30" i="9"/>
  <c r="H28" i="9"/>
  <c r="B39" i="9"/>
  <c r="B18" i="9"/>
  <c r="I136" i="26"/>
  <c r="G33" i="10"/>
  <c r="I7" i="29"/>
  <c r="I7" i="33"/>
  <c r="I7" i="23"/>
  <c r="I7" i="35"/>
  <c r="I7" i="13"/>
  <c r="G9" i="10"/>
  <c r="B45" i="10"/>
  <c r="I31" i="35"/>
  <c r="I31" i="13"/>
  <c r="I31" i="33"/>
  <c r="I31" i="23"/>
  <c r="I31" i="29"/>
  <c r="C45" i="10"/>
  <c r="C42" i="10"/>
  <c r="I24" i="13"/>
  <c r="I24" i="33"/>
  <c r="I24" i="23"/>
  <c r="C15" i="10"/>
  <c r="B28" i="9"/>
  <c r="B22" i="9"/>
  <c r="H16" i="9"/>
  <c r="M136" i="8"/>
  <c r="B45" i="9"/>
  <c r="G43" i="9"/>
  <c r="C20" i="9"/>
  <c r="H10" i="9"/>
  <c r="N118" i="8"/>
  <c r="C17" i="9"/>
  <c r="H30" i="9"/>
  <c r="C13" i="10"/>
  <c r="F44" i="10"/>
  <c r="I135" i="26"/>
  <c r="G25" i="10"/>
  <c r="E58" i="16"/>
  <c r="I96" i="33"/>
  <c r="G24" i="10"/>
  <c r="E55" i="39"/>
  <c r="E55" i="16"/>
  <c r="C14" i="10"/>
  <c r="I68" i="20"/>
  <c r="I68" i="23"/>
  <c r="I68" i="27"/>
  <c r="I68" i="29"/>
  <c r="I68" i="35"/>
  <c r="I68" i="33"/>
  <c r="I68" i="13"/>
  <c r="G13" i="10"/>
  <c r="G136" i="4"/>
  <c r="F33" i="10"/>
  <c r="I79" i="13"/>
  <c r="I79" i="20"/>
  <c r="I79" i="23"/>
  <c r="I79" i="33"/>
  <c r="I79" i="27"/>
  <c r="I79" i="29"/>
  <c r="I109" i="20"/>
  <c r="I109" i="13"/>
  <c r="I109" i="27"/>
  <c r="I109" i="35"/>
  <c r="I109" i="29"/>
  <c r="I109" i="23"/>
  <c r="I109" i="33"/>
  <c r="I12" i="29"/>
  <c r="I12" i="33"/>
  <c r="I12" i="35"/>
  <c r="I12" i="23"/>
  <c r="I12" i="13"/>
  <c r="G41" i="10"/>
  <c r="I11" i="13"/>
  <c r="I11" i="23"/>
  <c r="I11" i="35"/>
  <c r="I11" i="33"/>
  <c r="G30" i="10"/>
  <c r="I11" i="29"/>
  <c r="F24" i="10"/>
  <c r="I125" i="27"/>
  <c r="I125" i="23"/>
  <c r="I125" i="35"/>
  <c r="I125" i="29"/>
  <c r="I125" i="33"/>
  <c r="C26" i="10"/>
  <c r="I34" i="13"/>
  <c r="I34" i="35"/>
  <c r="I34" i="23"/>
  <c r="I34" i="29"/>
  <c r="I34" i="33"/>
  <c r="G31" i="10"/>
  <c r="D96" i="4"/>
  <c r="B24" i="10"/>
  <c r="C24" i="10"/>
  <c r="I117" i="23"/>
  <c r="I117" i="35"/>
  <c r="I117" i="29"/>
  <c r="I117" i="33"/>
  <c r="I117" i="27"/>
  <c r="C10" i="10"/>
  <c r="C20" i="10"/>
  <c r="D75" i="4"/>
  <c r="B14" i="10"/>
  <c r="E57" i="39"/>
  <c r="E57" i="16"/>
  <c r="L120" i="27"/>
  <c r="K119" i="27"/>
  <c r="L120" i="23"/>
  <c r="L67" i="23"/>
  <c r="H98" i="33"/>
  <c r="L22" i="35"/>
  <c r="H87" i="20"/>
  <c r="L100" i="13"/>
  <c r="D53" i="39"/>
  <c r="D56" i="33"/>
  <c r="L109" i="29"/>
  <c r="L7" i="29"/>
  <c r="L28" i="29"/>
  <c r="L117" i="23"/>
  <c r="H98" i="23"/>
  <c r="L10" i="20"/>
  <c r="K98" i="13"/>
  <c r="L29" i="13"/>
  <c r="G40" i="9"/>
  <c r="B17" i="9"/>
  <c r="G42" i="9"/>
  <c r="B24" i="9"/>
  <c r="H15" i="9"/>
  <c r="B26" i="9"/>
  <c r="C22" i="9"/>
  <c r="G38" i="9"/>
  <c r="H26" i="9"/>
  <c r="B25" i="9"/>
  <c r="H25" i="9"/>
  <c r="L22" i="20"/>
  <c r="L109" i="33"/>
  <c r="L99" i="33"/>
  <c r="H111" i="29"/>
  <c r="L10" i="23"/>
  <c r="L28" i="13"/>
  <c r="L89" i="35"/>
  <c r="D56" i="13"/>
  <c r="L35" i="35"/>
  <c r="L99" i="29"/>
  <c r="K119" i="33"/>
  <c r="L88" i="33"/>
  <c r="L28" i="33"/>
  <c r="L79" i="33"/>
  <c r="L34" i="29"/>
  <c r="H66" i="33"/>
  <c r="L78" i="33"/>
  <c r="L67" i="13"/>
  <c r="H66" i="35"/>
  <c r="K87" i="27"/>
  <c r="L109" i="13"/>
  <c r="L112" i="13"/>
  <c r="L35" i="13"/>
  <c r="L79" i="29"/>
  <c r="L86" i="29"/>
  <c r="L7" i="22"/>
  <c r="L78" i="27"/>
  <c r="K66" i="33"/>
  <c r="L89" i="29"/>
  <c r="L112" i="27"/>
  <c r="L12" i="23"/>
  <c r="H87" i="13"/>
  <c r="L120" i="13"/>
  <c r="L68" i="13"/>
  <c r="K119" i="34"/>
  <c r="L7" i="25"/>
  <c r="K66" i="20"/>
  <c r="L134" i="34"/>
  <c r="L125" i="27"/>
  <c r="L108" i="29"/>
  <c r="L67" i="27"/>
  <c r="L34" i="35"/>
  <c r="D53" i="25"/>
  <c r="L112" i="33"/>
  <c r="L29" i="33"/>
  <c r="L121" i="29"/>
  <c r="L29" i="29"/>
  <c r="H111" i="23"/>
  <c r="L86" i="35"/>
  <c r="D53" i="33"/>
  <c r="L68" i="29"/>
  <c r="L136" i="26"/>
  <c r="L79" i="27"/>
  <c r="D47" i="25"/>
  <c r="L88" i="27"/>
  <c r="L112" i="23"/>
  <c r="H66" i="20"/>
  <c r="L113" i="13"/>
  <c r="K87" i="20"/>
  <c r="L68" i="35"/>
  <c r="L86" i="33"/>
  <c r="H119" i="29"/>
  <c r="L100" i="29"/>
  <c r="L34" i="33"/>
  <c r="L125" i="29"/>
  <c r="L99" i="27"/>
  <c r="L29" i="35"/>
  <c r="L88" i="29"/>
  <c r="L78" i="29"/>
  <c r="K111" i="27"/>
  <c r="L88" i="23"/>
  <c r="L125" i="23"/>
  <c r="L113" i="23"/>
  <c r="L79" i="20"/>
  <c r="H111" i="33"/>
  <c r="L107" i="35"/>
  <c r="D47" i="51"/>
  <c r="D47" i="26"/>
  <c r="L7" i="24"/>
  <c r="L29" i="23"/>
  <c r="L121" i="27"/>
  <c r="K119" i="35"/>
  <c r="L100" i="23"/>
  <c r="L113" i="27"/>
  <c r="L79" i="23"/>
  <c r="L67" i="33"/>
  <c r="L22" i="33"/>
  <c r="L22" i="29"/>
  <c r="J77" i="29"/>
  <c r="L117" i="27"/>
  <c r="K98" i="23"/>
  <c r="L10" i="24"/>
  <c r="L78" i="23"/>
  <c r="L34" i="23"/>
  <c r="L121" i="20"/>
  <c r="H111" i="27"/>
  <c r="L68" i="27"/>
  <c r="K111" i="20"/>
  <c r="L124" i="13"/>
  <c r="L79" i="13"/>
  <c r="L89" i="13"/>
  <c r="L99" i="13"/>
  <c r="L78" i="13"/>
  <c r="K66" i="13"/>
  <c r="L86" i="13"/>
  <c r="K87" i="13"/>
  <c r="J77" i="13"/>
  <c r="L88" i="13"/>
  <c r="H66" i="13"/>
  <c r="D47" i="13"/>
  <c r="J87" i="35"/>
  <c r="D66" i="33"/>
  <c r="J66" i="33"/>
  <c r="D77" i="27"/>
  <c r="J77" i="27"/>
  <c r="L77" i="27" s="1"/>
  <c r="D111" i="34"/>
  <c r="J111" i="34"/>
  <c r="J98" i="23"/>
  <c r="D111" i="33"/>
  <c r="J111" i="33"/>
  <c r="J111" i="35"/>
  <c r="D87" i="20"/>
  <c r="J87" i="20"/>
  <c r="D66" i="13"/>
  <c r="J66" i="13"/>
  <c r="K111" i="33"/>
  <c r="K111" i="35"/>
  <c r="J111" i="29"/>
  <c r="J111" i="23"/>
  <c r="J77" i="20"/>
  <c r="L77" i="20" s="1"/>
  <c r="D77" i="20"/>
  <c r="J87" i="13"/>
  <c r="D87" i="13"/>
  <c r="J119" i="33"/>
  <c r="D119" i="33"/>
  <c r="J119" i="27"/>
  <c r="D119" i="27"/>
  <c r="J66" i="27"/>
  <c r="D66" i="27"/>
  <c r="D77" i="29"/>
  <c r="K77" i="29"/>
  <c r="D98" i="27"/>
  <c r="J98" i="27"/>
  <c r="J66" i="35"/>
  <c r="D77" i="13"/>
  <c r="K77" i="13"/>
  <c r="D98" i="20"/>
  <c r="J98" i="20"/>
  <c r="J66" i="29"/>
  <c r="J87" i="33"/>
  <c r="D87" i="33"/>
  <c r="D119" i="34"/>
  <c r="J119" i="34"/>
  <c r="L119" i="34" s="1"/>
  <c r="D119" i="29"/>
  <c r="J119" i="29"/>
  <c r="D98" i="33"/>
  <c r="J98" i="33"/>
  <c r="L98" i="33" s="1"/>
  <c r="J87" i="29"/>
  <c r="D87" i="29"/>
  <c r="J111" i="27"/>
  <c r="D111" i="27"/>
  <c r="J87" i="23"/>
  <c r="K119" i="29"/>
  <c r="H119" i="27"/>
  <c r="K111" i="23"/>
  <c r="D119" i="13"/>
  <c r="J119" i="13"/>
  <c r="D98" i="13"/>
  <c r="J98" i="13"/>
  <c r="D111" i="13"/>
  <c r="J111" i="13"/>
  <c r="J98" i="29"/>
  <c r="D98" i="29"/>
  <c r="J119" i="35"/>
  <c r="H66" i="29"/>
  <c r="J119" i="23"/>
  <c r="J66" i="23"/>
  <c r="D77" i="33"/>
  <c r="J77" i="33"/>
  <c r="L77" i="33" s="1"/>
  <c r="J77" i="23"/>
  <c r="D66" i="29"/>
  <c r="K66" i="29"/>
  <c r="D87" i="27"/>
  <c r="J87" i="27"/>
  <c r="D119" i="20"/>
  <c r="J119" i="20"/>
  <c r="J111" i="20"/>
  <c r="D111" i="20"/>
  <c r="D66" i="20"/>
  <c r="J66" i="20"/>
  <c r="E88" i="33"/>
  <c r="E108" i="33"/>
  <c r="E22" i="33"/>
  <c r="E57" i="33"/>
  <c r="E99" i="33"/>
  <c r="E9" i="33"/>
  <c r="E48" i="33"/>
  <c r="E110" i="33"/>
  <c r="E122" i="33"/>
  <c r="E75" i="33"/>
  <c r="E126" i="33"/>
  <c r="E116" i="33"/>
  <c r="E10" i="33"/>
  <c r="E79" i="33"/>
  <c r="E58" i="33"/>
  <c r="E49" i="33"/>
  <c r="E54" i="33"/>
  <c r="E7" i="33"/>
  <c r="E89" i="33"/>
  <c r="E100" i="33"/>
  <c r="E125" i="33"/>
  <c r="E68" i="33"/>
  <c r="E96" i="33"/>
  <c r="E8" i="33"/>
  <c r="E78" i="33"/>
  <c r="E67" i="33"/>
  <c r="E112" i="33"/>
  <c r="E109" i="33"/>
  <c r="E114" i="33"/>
  <c r="E121" i="33"/>
  <c r="E120" i="33"/>
  <c r="E113" i="33"/>
  <c r="E99" i="29"/>
  <c r="E9" i="29"/>
  <c r="E48" i="34"/>
  <c r="E86" i="29"/>
  <c r="E134" i="34"/>
  <c r="E68" i="29"/>
  <c r="E88" i="29"/>
  <c r="E108" i="29"/>
  <c r="E22" i="29"/>
  <c r="E10" i="29"/>
  <c r="E79" i="29"/>
  <c r="E135" i="34"/>
  <c r="E7" i="29"/>
  <c r="E89" i="29"/>
  <c r="E100" i="29"/>
  <c r="E107" i="29"/>
  <c r="E8" i="29"/>
  <c r="E78" i="29"/>
  <c r="E67" i="29"/>
  <c r="E112" i="34"/>
  <c r="E109" i="29"/>
  <c r="E120" i="29"/>
  <c r="E120" i="34"/>
  <c r="E9" i="41"/>
  <c r="E48" i="40"/>
  <c r="E48" i="41"/>
  <c r="E10" i="41"/>
  <c r="E57" i="40"/>
  <c r="E57" i="41"/>
  <c r="E54" i="40"/>
  <c r="E7" i="41"/>
  <c r="E8" i="41"/>
  <c r="E99" i="27"/>
  <c r="E9" i="51"/>
  <c r="E48" i="51"/>
  <c r="E88" i="27"/>
  <c r="E108" i="27"/>
  <c r="E22" i="51"/>
  <c r="E10" i="51"/>
  <c r="E7" i="51"/>
  <c r="E8" i="51"/>
  <c r="E78" i="27"/>
  <c r="E67" i="27"/>
  <c r="E112" i="27"/>
  <c r="E120" i="27"/>
  <c r="E9" i="25"/>
  <c r="E10" i="25"/>
  <c r="E57" i="25"/>
  <c r="E48" i="25"/>
  <c r="E48" i="26"/>
  <c r="E11" i="25"/>
  <c r="E137" i="26"/>
  <c r="E49" i="25"/>
  <c r="E49" i="26"/>
  <c r="E54" i="25"/>
  <c r="E135" i="26"/>
  <c r="E7" i="25"/>
  <c r="E12" i="25"/>
  <c r="E136" i="26"/>
  <c r="E134" i="26"/>
  <c r="E8" i="25"/>
  <c r="E99" i="23"/>
  <c r="E9" i="24"/>
  <c r="E88" i="23"/>
  <c r="E108" i="23"/>
  <c r="E116" i="23"/>
  <c r="E22" i="23"/>
  <c r="E22" i="24"/>
  <c r="E10" i="24"/>
  <c r="E7" i="24"/>
  <c r="E8" i="24"/>
  <c r="E78" i="23"/>
  <c r="E67" i="23"/>
  <c r="E112" i="23"/>
  <c r="E120" i="23"/>
  <c r="E9" i="22"/>
  <c r="E48" i="21"/>
  <c r="E48" i="22"/>
  <c r="E57" i="22"/>
  <c r="E58" i="22"/>
  <c r="E49" i="22"/>
  <c r="E54" i="22"/>
  <c r="E7" i="22"/>
  <c r="E8" i="22"/>
  <c r="E68" i="20"/>
  <c r="E22" i="20"/>
  <c r="E10" i="20"/>
  <c r="E79" i="20"/>
  <c r="E7" i="19"/>
  <c r="E7" i="20"/>
  <c r="E89" i="20"/>
  <c r="E100" i="20"/>
  <c r="E9" i="19"/>
  <c r="E9" i="20"/>
  <c r="E48" i="20"/>
  <c r="E8" i="19"/>
  <c r="E8" i="20"/>
  <c r="E121" i="20"/>
  <c r="E113" i="20"/>
  <c r="E99" i="13"/>
  <c r="E9" i="13"/>
  <c r="E48" i="13"/>
  <c r="E86" i="13"/>
  <c r="E88" i="13"/>
  <c r="E124" i="13"/>
  <c r="E37" i="13"/>
  <c r="E108" i="13"/>
  <c r="E116" i="13"/>
  <c r="E22" i="13"/>
  <c r="E10" i="13"/>
  <c r="E57" i="13"/>
  <c r="E11" i="13"/>
  <c r="E49" i="13"/>
  <c r="E54" i="13"/>
  <c r="E7" i="13"/>
  <c r="E89" i="13"/>
  <c r="E100" i="13"/>
  <c r="E107" i="13"/>
  <c r="E12" i="13"/>
  <c r="E36" i="13"/>
  <c r="E8" i="13"/>
  <c r="E78" i="13"/>
  <c r="E67" i="13"/>
  <c r="E112" i="13"/>
  <c r="E109" i="13"/>
  <c r="E120" i="13"/>
  <c r="D116" i="4"/>
  <c r="D108" i="4"/>
  <c r="D124" i="4"/>
  <c r="D125" i="4"/>
  <c r="D109" i="4"/>
  <c r="E22" i="16"/>
  <c r="E9" i="16"/>
  <c r="D22" i="4"/>
  <c r="D136" i="4"/>
  <c r="D57" i="4"/>
  <c r="E12" i="16"/>
  <c r="E10" i="16"/>
  <c r="E11" i="16"/>
  <c r="G22" i="4"/>
  <c r="D113" i="4"/>
  <c r="D137" i="4"/>
  <c r="D10" i="4"/>
  <c r="D112" i="4"/>
  <c r="D55" i="4"/>
  <c r="D120" i="4"/>
  <c r="D7" i="4"/>
  <c r="E7" i="16"/>
  <c r="D68" i="4"/>
  <c r="D8" i="4"/>
  <c r="E8" i="16"/>
  <c r="D134" i="4"/>
  <c r="G7" i="4"/>
  <c r="D48" i="4"/>
  <c r="D54" i="4"/>
  <c r="D49" i="4"/>
  <c r="D12" i="4"/>
  <c r="D11" i="4"/>
  <c r="G12" i="4"/>
  <c r="G34" i="4"/>
  <c r="D121" i="4"/>
  <c r="G11" i="4"/>
  <c r="H22" i="4"/>
  <c r="G29" i="4"/>
  <c r="D67" i="4"/>
  <c r="D100" i="4"/>
  <c r="D58" i="4"/>
  <c r="G10" i="4"/>
  <c r="D89" i="4"/>
  <c r="G35" i="4"/>
  <c r="D99" i="4"/>
  <c r="D86" i="4"/>
  <c r="D107" i="4"/>
  <c r="D135" i="4"/>
  <c r="G135" i="4"/>
  <c r="G134" i="4"/>
  <c r="D78" i="4"/>
  <c r="D88" i="4"/>
  <c r="D79" i="4"/>
  <c r="D9" i="4"/>
  <c r="L98" i="13" l="1"/>
  <c r="G87" i="4"/>
  <c r="G98" i="4"/>
  <c r="G77" i="4"/>
  <c r="F43" i="10"/>
  <c r="G119" i="4"/>
  <c r="F32" i="10"/>
  <c r="G111" i="4"/>
  <c r="L111" i="34"/>
  <c r="E47" i="72"/>
  <c r="E47" i="74"/>
  <c r="L119" i="35"/>
  <c r="E87" i="18"/>
  <c r="E66" i="18"/>
  <c r="L77" i="23"/>
  <c r="I77" i="27"/>
  <c r="I77" i="29"/>
  <c r="I77" i="20"/>
  <c r="I77" i="23"/>
  <c r="I77" i="13"/>
  <c r="I77" i="33"/>
  <c r="L111" i="35"/>
  <c r="E56" i="37"/>
  <c r="I111" i="37"/>
  <c r="I111" i="18"/>
  <c r="I98" i="18"/>
  <c r="E77" i="18"/>
  <c r="I77" i="18"/>
  <c r="E119" i="37"/>
  <c r="E119" i="18"/>
  <c r="I119" i="37"/>
  <c r="I119" i="18"/>
  <c r="E47" i="37"/>
  <c r="E47" i="18"/>
  <c r="E98" i="18"/>
  <c r="I87" i="37"/>
  <c r="I87" i="18"/>
  <c r="E111" i="37"/>
  <c r="E111" i="18"/>
  <c r="E53" i="37"/>
  <c r="I66" i="37"/>
  <c r="I66" i="18"/>
  <c r="I77" i="37"/>
  <c r="L98" i="27"/>
  <c r="L87" i="29"/>
  <c r="E97" i="33"/>
  <c r="E97" i="29"/>
  <c r="E97" i="37"/>
  <c r="E97" i="13"/>
  <c r="I98" i="37"/>
  <c r="L119" i="13"/>
  <c r="E76" i="33"/>
  <c r="E76" i="29"/>
  <c r="E76" i="37"/>
  <c r="E76" i="13"/>
  <c r="E66" i="37"/>
  <c r="E87" i="33"/>
  <c r="E87" i="37"/>
  <c r="E98" i="37"/>
  <c r="E77" i="37"/>
  <c r="L98" i="20"/>
  <c r="L111" i="29"/>
  <c r="L66" i="27"/>
  <c r="L111" i="13"/>
  <c r="L87" i="33"/>
  <c r="L98" i="29"/>
  <c r="L87" i="20"/>
  <c r="L119" i="23"/>
  <c r="L87" i="23"/>
  <c r="L98" i="23"/>
  <c r="L119" i="20"/>
  <c r="L111" i="27"/>
  <c r="E66" i="20"/>
  <c r="E87" i="13"/>
  <c r="E87" i="23"/>
  <c r="D98" i="4"/>
  <c r="L66" i="35"/>
  <c r="E98" i="29"/>
  <c r="E98" i="33"/>
  <c r="L87" i="27"/>
  <c r="L119" i="33"/>
  <c r="L66" i="33"/>
  <c r="L87" i="35"/>
  <c r="L66" i="23"/>
  <c r="L66" i="13"/>
  <c r="E66" i="23"/>
  <c r="E66" i="13"/>
  <c r="E66" i="27"/>
  <c r="E66" i="29"/>
  <c r="E66" i="33"/>
  <c r="L111" i="33"/>
  <c r="D87" i="4"/>
  <c r="E98" i="20"/>
  <c r="E98" i="23"/>
  <c r="E87" i="27"/>
  <c r="E98" i="27"/>
  <c r="E87" i="29"/>
  <c r="L119" i="27"/>
  <c r="C43" i="10"/>
  <c r="I119" i="13"/>
  <c r="I119" i="20"/>
  <c r="I119" i="23"/>
  <c r="I119" i="27"/>
  <c r="I119" i="29"/>
  <c r="I119" i="35"/>
  <c r="I119" i="33"/>
  <c r="G43" i="10"/>
  <c r="F22" i="10"/>
  <c r="I98" i="20"/>
  <c r="I98" i="13"/>
  <c r="I98" i="23"/>
  <c r="I98" i="29"/>
  <c r="I98" i="27"/>
  <c r="I98" i="33"/>
  <c r="D66" i="4"/>
  <c r="B12" i="10"/>
  <c r="I66" i="13"/>
  <c r="I66" i="20"/>
  <c r="I66" i="27"/>
  <c r="I66" i="29"/>
  <c r="I66" i="35"/>
  <c r="I66" i="33"/>
  <c r="G12" i="10"/>
  <c r="I66" i="23"/>
  <c r="G66" i="4"/>
  <c r="F12" i="10"/>
  <c r="E53" i="39"/>
  <c r="C38" i="10"/>
  <c r="E53" i="16"/>
  <c r="I111" i="13"/>
  <c r="I111" i="20"/>
  <c r="I111" i="23"/>
  <c r="I111" i="27"/>
  <c r="I111" i="29"/>
  <c r="I111" i="35"/>
  <c r="I111" i="33"/>
  <c r="G32" i="10"/>
  <c r="E56" i="39"/>
  <c r="E56" i="16"/>
  <c r="C49" i="10"/>
  <c r="C32" i="10"/>
  <c r="C22" i="10"/>
  <c r="E47" i="39"/>
  <c r="C11" i="10"/>
  <c r="E47" i="16"/>
  <c r="C12" i="10"/>
  <c r="I87" i="13"/>
  <c r="I87" i="20"/>
  <c r="I87" i="27"/>
  <c r="I87" i="29"/>
  <c r="I87" i="23"/>
  <c r="I87" i="33"/>
  <c r="I87" i="35"/>
  <c r="G22" i="10"/>
  <c r="L66" i="20"/>
  <c r="L111" i="20"/>
  <c r="L87" i="13"/>
  <c r="L119" i="29"/>
  <c r="L66" i="29"/>
  <c r="L77" i="29"/>
  <c r="L111" i="23"/>
  <c r="E98" i="13"/>
  <c r="E87" i="20"/>
  <c r="L77" i="13"/>
  <c r="E77" i="33"/>
  <c r="E111" i="33"/>
  <c r="E47" i="33"/>
  <c r="E119" i="33"/>
  <c r="E53" i="33"/>
  <c r="E56" i="33"/>
  <c r="E47" i="34"/>
  <c r="E119" i="29"/>
  <c r="E119" i="34"/>
  <c r="E77" i="29"/>
  <c r="E111" i="34"/>
  <c r="E53" i="40"/>
  <c r="E56" i="40"/>
  <c r="E56" i="41"/>
  <c r="E47" i="40"/>
  <c r="E47" i="41"/>
  <c r="E77" i="27"/>
  <c r="E111" i="27"/>
  <c r="E47" i="51"/>
  <c r="E119" i="27"/>
  <c r="E53" i="25"/>
  <c r="E47" i="25"/>
  <c r="E47" i="26"/>
  <c r="E56" i="25"/>
  <c r="E119" i="23"/>
  <c r="E77" i="23"/>
  <c r="E111" i="23"/>
  <c r="E56" i="22"/>
  <c r="E47" i="21"/>
  <c r="E47" i="22"/>
  <c r="E53" i="22"/>
  <c r="E119" i="20"/>
  <c r="E47" i="20"/>
  <c r="E77" i="20"/>
  <c r="E111" i="20"/>
  <c r="E53" i="13"/>
  <c r="E77" i="13"/>
  <c r="E56" i="13"/>
  <c r="E111" i="13"/>
  <c r="E47" i="13"/>
  <c r="E119" i="13"/>
  <c r="D111" i="4"/>
  <c r="D77" i="4"/>
  <c r="D119" i="4"/>
  <c r="D53" i="4"/>
  <c r="D56" i="4"/>
  <c r="D47" i="4"/>
  <c r="C60" i="10" l="1"/>
  <c r="H107" i="4"/>
  <c r="H114" i="4"/>
  <c r="H116" i="4"/>
  <c r="H28" i="4"/>
  <c r="H98" i="4" l="1"/>
  <c r="H117" i="4"/>
  <c r="H99" i="4"/>
  <c r="H24" i="4"/>
  <c r="H118" i="4"/>
  <c r="H27" i="4"/>
  <c r="H78" i="4"/>
  <c r="D9" i="10"/>
  <c r="H124" i="4"/>
  <c r="H112" i="4"/>
  <c r="H88" i="4"/>
  <c r="H9" i="4"/>
  <c r="H8" i="4"/>
  <c r="H79" i="4"/>
  <c r="H122" i="4"/>
  <c r="H14" i="10"/>
  <c r="H37" i="4"/>
  <c r="H121" i="4"/>
  <c r="I121" i="4"/>
  <c r="I112" i="4"/>
  <c r="I9" i="4"/>
  <c r="I109" i="4"/>
  <c r="K49" i="10"/>
  <c r="H113" i="4"/>
  <c r="I108" i="4"/>
  <c r="H11" i="4"/>
  <c r="I122" i="4"/>
  <c r="I79" i="4"/>
  <c r="I100" i="4"/>
  <c r="H110" i="4"/>
  <c r="H25" i="4"/>
  <c r="H125" i="4"/>
  <c r="H86" i="4"/>
  <c r="H42" i="10"/>
  <c r="H21" i="10"/>
  <c r="I120" i="4"/>
  <c r="I28" i="4"/>
  <c r="H109" i="4"/>
  <c r="I32" i="4"/>
  <c r="I67" i="4"/>
  <c r="K11" i="10"/>
  <c r="I23" i="4"/>
  <c r="H22" i="10"/>
  <c r="H108" i="4"/>
  <c r="H10" i="4"/>
  <c r="I126" i="4"/>
  <c r="I77" i="4"/>
  <c r="I88" i="4"/>
  <c r="I117" i="4"/>
  <c r="H67" i="4"/>
  <c r="H12" i="10"/>
  <c r="I116" i="4"/>
  <c r="I118" i="4"/>
  <c r="H120" i="4"/>
  <c r="I110" i="4"/>
  <c r="I113" i="4"/>
  <c r="I78" i="4"/>
  <c r="K26" i="10"/>
  <c r="I98" i="4"/>
  <c r="I99" i="4"/>
  <c r="K9" i="10"/>
  <c r="H77" i="4"/>
  <c r="H24" i="10"/>
  <c r="I31" i="4"/>
  <c r="I24" i="4"/>
  <c r="H126" i="4"/>
  <c r="K16" i="10"/>
  <c r="I30" i="4"/>
  <c r="H36" i="4"/>
  <c r="K45" i="10"/>
  <c r="I107" i="4"/>
  <c r="I8" i="4"/>
  <c r="I114" i="4"/>
  <c r="I86" i="4"/>
  <c r="H10" i="10"/>
  <c r="I124" i="4"/>
  <c r="H100" i="4"/>
  <c r="H7" i="4"/>
  <c r="H23" i="4"/>
  <c r="H15" i="10"/>
  <c r="I125" i="4"/>
  <c r="J126" i="4" l="1"/>
  <c r="M9" i="72"/>
  <c r="M8" i="74"/>
  <c r="J23" i="4"/>
  <c r="J24" i="4"/>
  <c r="J110" i="4"/>
  <c r="M67" i="37"/>
  <c r="M67" i="18"/>
  <c r="M107" i="37"/>
  <c r="M32" i="37"/>
  <c r="M32" i="18"/>
  <c r="M79" i="37"/>
  <c r="M79" i="18"/>
  <c r="M124" i="37"/>
  <c r="M124" i="18"/>
  <c r="M88" i="37"/>
  <c r="M88" i="18"/>
  <c r="M78" i="37"/>
  <c r="M78" i="18"/>
  <c r="M100" i="37"/>
  <c r="M100" i="18"/>
  <c r="M86" i="37"/>
  <c r="M122" i="37"/>
  <c r="M109" i="37"/>
  <c r="M109" i="18"/>
  <c r="M99" i="37"/>
  <c r="M99" i="18"/>
  <c r="M113" i="37"/>
  <c r="M113" i="18"/>
  <c r="M117" i="37"/>
  <c r="M117" i="18"/>
  <c r="M28" i="37"/>
  <c r="M28" i="18"/>
  <c r="M114" i="37"/>
  <c r="M98" i="18"/>
  <c r="M110" i="37"/>
  <c r="M9" i="37"/>
  <c r="M9" i="18"/>
  <c r="M31" i="37"/>
  <c r="M31" i="18"/>
  <c r="M8" i="37"/>
  <c r="M8" i="18"/>
  <c r="M24" i="37"/>
  <c r="M108" i="37"/>
  <c r="M108" i="18"/>
  <c r="M112" i="37"/>
  <c r="M112" i="18"/>
  <c r="J122" i="4"/>
  <c r="M23" i="37"/>
  <c r="M23" i="18"/>
  <c r="M121" i="37"/>
  <c r="M121" i="18"/>
  <c r="M125" i="37"/>
  <c r="M125" i="18"/>
  <c r="M30" i="37"/>
  <c r="M30" i="18"/>
  <c r="M116" i="37"/>
  <c r="M77" i="18"/>
  <c r="M120" i="37"/>
  <c r="M120" i="18"/>
  <c r="J114" i="4"/>
  <c r="M98" i="37"/>
  <c r="M97" i="37"/>
  <c r="M97" i="13"/>
  <c r="M97" i="29"/>
  <c r="M97" i="33"/>
  <c r="M77" i="37"/>
  <c r="M76" i="37"/>
  <c r="M76" i="33"/>
  <c r="M76" i="29"/>
  <c r="M76" i="13"/>
  <c r="M24" i="13"/>
  <c r="M24" i="24"/>
  <c r="M24" i="23"/>
  <c r="M24" i="33"/>
  <c r="M24" i="29"/>
  <c r="M24" i="16"/>
  <c r="M88" i="13"/>
  <c r="M88" i="27"/>
  <c r="M88" i="29"/>
  <c r="M88" i="23"/>
  <c r="M88" i="33"/>
  <c r="J28" i="4"/>
  <c r="M28" i="25"/>
  <c r="M28" i="23"/>
  <c r="M28" i="51"/>
  <c r="M28" i="29"/>
  <c r="M28" i="16"/>
  <c r="M28" i="13"/>
  <c r="M28" i="33"/>
  <c r="M121" i="23"/>
  <c r="M121" i="13"/>
  <c r="M121" i="27"/>
  <c r="M121" i="29"/>
  <c r="M121" i="33"/>
  <c r="M121" i="20"/>
  <c r="M121" i="35"/>
  <c r="M125" i="23"/>
  <c r="M125" i="27"/>
  <c r="M125" i="29"/>
  <c r="M125" i="33"/>
  <c r="M125" i="35"/>
  <c r="M124" i="13"/>
  <c r="M114" i="33"/>
  <c r="M31" i="23"/>
  <c r="M31" i="13"/>
  <c r="M31" i="24"/>
  <c r="M31" i="35"/>
  <c r="M31" i="16"/>
  <c r="M31" i="29"/>
  <c r="M31" i="33"/>
  <c r="M78" i="23"/>
  <c r="M78" i="27"/>
  <c r="M78" i="13"/>
  <c r="M78" i="29"/>
  <c r="M78" i="33"/>
  <c r="M113" i="23"/>
  <c r="M113" i="13"/>
  <c r="M113" i="27"/>
  <c r="M113" i="20"/>
  <c r="M113" i="29"/>
  <c r="M113" i="33"/>
  <c r="M113" i="35"/>
  <c r="J116" i="4"/>
  <c r="M116" i="13"/>
  <c r="M116" i="23"/>
  <c r="M116" i="33"/>
  <c r="M117" i="23"/>
  <c r="M117" i="27"/>
  <c r="M117" i="29"/>
  <c r="M117" i="33"/>
  <c r="M117" i="35"/>
  <c r="M23" i="23"/>
  <c r="M23" i="13"/>
  <c r="M23" i="35"/>
  <c r="M23" i="16"/>
  <c r="M23" i="29"/>
  <c r="M23" i="33"/>
  <c r="M32" i="13"/>
  <c r="M32" i="20"/>
  <c r="M32" i="33"/>
  <c r="M32" i="23"/>
  <c r="M32" i="29"/>
  <c r="M32" i="16"/>
  <c r="M79" i="13"/>
  <c r="M79" i="20"/>
  <c r="M79" i="23"/>
  <c r="M79" i="33"/>
  <c r="M79" i="29"/>
  <c r="M79" i="27"/>
  <c r="M8" i="20"/>
  <c r="M8" i="13"/>
  <c r="M8" i="22"/>
  <c r="M8" i="24"/>
  <c r="M8" i="51"/>
  <c r="M8" i="25"/>
  <c r="M8" i="41"/>
  <c r="M8" i="29"/>
  <c r="M8" i="33"/>
  <c r="M8" i="19"/>
  <c r="M8" i="16"/>
  <c r="M30" i="13"/>
  <c r="M30" i="23"/>
  <c r="M30" i="33"/>
  <c r="M30" i="29"/>
  <c r="M30" i="35"/>
  <c r="M30" i="16"/>
  <c r="M99" i="23"/>
  <c r="M99" i="27"/>
  <c r="M99" i="29"/>
  <c r="M99" i="13"/>
  <c r="M99" i="33"/>
  <c r="M110" i="33"/>
  <c r="M120" i="13"/>
  <c r="M120" i="23"/>
  <c r="M120" i="27"/>
  <c r="M120" i="34"/>
  <c r="M120" i="29"/>
  <c r="M120" i="33"/>
  <c r="M100" i="13"/>
  <c r="M100" i="20"/>
  <c r="M100" i="29"/>
  <c r="M100" i="33"/>
  <c r="M100" i="27"/>
  <c r="M100" i="23"/>
  <c r="M122" i="33"/>
  <c r="M108" i="13"/>
  <c r="M108" i="23"/>
  <c r="M108" i="33"/>
  <c r="M108" i="29"/>
  <c r="M108" i="27"/>
  <c r="M9" i="19"/>
  <c r="M9" i="25"/>
  <c r="M9" i="20"/>
  <c r="M9" i="22"/>
  <c r="M9" i="51"/>
  <c r="M9" i="13"/>
  <c r="M9" i="16"/>
  <c r="M9" i="29"/>
  <c r="M9" i="24"/>
  <c r="M9" i="41"/>
  <c r="M9" i="33"/>
  <c r="M86" i="35"/>
  <c r="M86" i="29"/>
  <c r="M86" i="13"/>
  <c r="M86" i="33"/>
  <c r="J107" i="4"/>
  <c r="M107" i="13"/>
  <c r="M107" i="35"/>
  <c r="M107" i="29"/>
  <c r="M107" i="33"/>
  <c r="M98" i="20"/>
  <c r="M98" i="13"/>
  <c r="M98" i="23"/>
  <c r="M98" i="27"/>
  <c r="M98" i="29"/>
  <c r="M98" i="33"/>
  <c r="M77" i="20"/>
  <c r="M77" i="13"/>
  <c r="M77" i="27"/>
  <c r="M77" i="23"/>
  <c r="M77" i="29"/>
  <c r="M77" i="33"/>
  <c r="M126" i="33"/>
  <c r="M67" i="13"/>
  <c r="M67" i="23"/>
  <c r="M67" i="27"/>
  <c r="M67" i="29"/>
  <c r="M67" i="33"/>
  <c r="M109" i="27"/>
  <c r="M109" i="13"/>
  <c r="M109" i="23"/>
  <c r="M109" i="20"/>
  <c r="M109" i="29"/>
  <c r="M109" i="35"/>
  <c r="M109" i="33"/>
  <c r="M112" i="13"/>
  <c r="M112" i="23"/>
  <c r="M112" i="27"/>
  <c r="M112" i="34"/>
  <c r="M112" i="33"/>
  <c r="J108" i="4"/>
  <c r="M44" i="8"/>
  <c r="D42" i="9"/>
  <c r="N75" i="8"/>
  <c r="H67" i="9"/>
  <c r="B69" i="9"/>
  <c r="M45" i="8"/>
  <c r="D43" i="9"/>
  <c r="M40" i="8"/>
  <c r="D38" i="9"/>
  <c r="C55" i="9"/>
  <c r="N13" i="8"/>
  <c r="H53" i="9"/>
  <c r="N61" i="8"/>
  <c r="N47" i="8"/>
  <c r="G57" i="9"/>
  <c r="G50" i="9"/>
  <c r="G33" i="9"/>
  <c r="M30" i="8"/>
  <c r="B73" i="9"/>
  <c r="D31" i="9"/>
  <c r="D15" i="9"/>
  <c r="B56" i="9"/>
  <c r="M14" i="8"/>
  <c r="M23" i="8"/>
  <c r="D24" i="9"/>
  <c r="B65" i="9"/>
  <c r="M38" i="8"/>
  <c r="B46" i="9"/>
  <c r="D36" i="9"/>
  <c r="G53" i="9"/>
  <c r="I12" i="9"/>
  <c r="M61" i="8"/>
  <c r="G51" i="9"/>
  <c r="M59" i="8"/>
  <c r="I10" i="9"/>
  <c r="M74" i="8"/>
  <c r="G66" i="9"/>
  <c r="I25" i="9"/>
  <c r="H56" i="9"/>
  <c r="N65" i="8"/>
  <c r="G61" i="9"/>
  <c r="I20" i="9"/>
  <c r="N9" i="8"/>
  <c r="C51" i="9"/>
  <c r="B72" i="9"/>
  <c r="M29" i="8"/>
  <c r="M90" i="8"/>
  <c r="I38" i="9"/>
  <c r="M71" i="8"/>
  <c r="G63" i="9"/>
  <c r="I22" i="9"/>
  <c r="N44" i="8"/>
  <c r="N11" i="8"/>
  <c r="C53" i="9"/>
  <c r="N23" i="8"/>
  <c r="C65" i="9"/>
  <c r="M20" i="8"/>
  <c r="B62" i="9"/>
  <c r="D21" i="9"/>
  <c r="H57" i="9"/>
  <c r="N42" i="8"/>
  <c r="D41" i="9"/>
  <c r="M43" i="8"/>
  <c r="N41" i="8"/>
  <c r="N28" i="8"/>
  <c r="C71" i="9"/>
  <c r="N63" i="8"/>
  <c r="H55" i="9"/>
  <c r="N46" i="8"/>
  <c r="M47" i="8"/>
  <c r="D45" i="9"/>
  <c r="B71" i="9"/>
  <c r="H33" i="9"/>
  <c r="H50" i="9"/>
  <c r="I21" i="9"/>
  <c r="M70" i="8"/>
  <c r="G62" i="9"/>
  <c r="N10" i="8"/>
  <c r="C52" i="9"/>
  <c r="M89" i="8"/>
  <c r="I37" i="9"/>
  <c r="G56" i="9"/>
  <c r="M65" i="8"/>
  <c r="H60" i="9"/>
  <c r="N68" i="8"/>
  <c r="D44" i="9"/>
  <c r="M46" i="8"/>
  <c r="H65" i="9"/>
  <c r="I23" i="9"/>
  <c r="G64" i="9"/>
  <c r="D14" i="9"/>
  <c r="M13" i="8"/>
  <c r="B55" i="9"/>
  <c r="N90" i="8"/>
  <c r="B67" i="9"/>
  <c r="M25" i="8"/>
  <c r="D26" i="9"/>
  <c r="N20" i="8"/>
  <c r="C62" i="9"/>
  <c r="H62" i="9"/>
  <c r="N70" i="8"/>
  <c r="M21" i="8"/>
  <c r="D22" i="9"/>
  <c r="B63" i="9"/>
  <c r="N21" i="8"/>
  <c r="C63" i="9"/>
  <c r="D11" i="9"/>
  <c r="M10" i="8"/>
  <c r="B52" i="9"/>
  <c r="M91" i="8"/>
  <c r="I39" i="9"/>
  <c r="H59" i="9"/>
  <c r="G65" i="9"/>
  <c r="I28" i="9"/>
  <c r="M77" i="8"/>
  <c r="G70" i="9"/>
  <c r="G73" i="9"/>
  <c r="N77" i="8"/>
  <c r="H70" i="9"/>
  <c r="N78" i="8"/>
  <c r="H71" i="9"/>
  <c r="N97" i="8"/>
  <c r="B51" i="9"/>
  <c r="D10" i="9"/>
  <c r="M9" i="8"/>
  <c r="N45" i="8"/>
  <c r="C69" i="9"/>
  <c r="H66" i="9"/>
  <c r="N74" i="8"/>
  <c r="N91" i="8"/>
  <c r="H52" i="9"/>
  <c r="N60" i="8"/>
  <c r="C57" i="9"/>
  <c r="N15" i="8"/>
  <c r="I42" i="9"/>
  <c r="M94" i="8"/>
  <c r="B59" i="9"/>
  <c r="M17" i="8"/>
  <c r="D18" i="9"/>
  <c r="C50" i="9"/>
  <c r="C33" i="9"/>
  <c r="E32" i="9" s="1"/>
  <c r="N94" i="8"/>
  <c r="C73" i="9"/>
  <c r="N30" i="8"/>
  <c r="G69" i="9"/>
  <c r="I43" i="9"/>
  <c r="M95" i="8"/>
  <c r="C70" i="9"/>
  <c r="N27" i="8"/>
  <c r="N93" i="8"/>
  <c r="D23" i="9"/>
  <c r="B64" i="9"/>
  <c r="M22" i="8"/>
  <c r="N16" i="8"/>
  <c r="C58" i="9"/>
  <c r="N96" i="8"/>
  <c r="C46" i="9"/>
  <c r="N38" i="8"/>
  <c r="M42" i="8"/>
  <c r="D40" i="9"/>
  <c r="M75" i="8"/>
  <c r="I26" i="9"/>
  <c r="G67" i="9"/>
  <c r="N40" i="8"/>
  <c r="B66" i="9"/>
  <c r="D25" i="9"/>
  <c r="M24" i="8"/>
  <c r="H63" i="9"/>
  <c r="N71" i="8"/>
  <c r="D37" i="9"/>
  <c r="M39" i="8"/>
  <c r="N92" i="8"/>
  <c r="D29" i="9"/>
  <c r="M28" i="8"/>
  <c r="M60" i="8"/>
  <c r="I11" i="9"/>
  <c r="G52" i="9"/>
  <c r="H46" i="9"/>
  <c r="N88" i="8"/>
  <c r="C67" i="9"/>
  <c r="N25" i="8"/>
  <c r="N39" i="8"/>
  <c r="B58" i="9"/>
  <c r="D17" i="9"/>
  <c r="M16" i="8"/>
  <c r="N22" i="8"/>
  <c r="C64" i="9"/>
  <c r="H73" i="9"/>
  <c r="N89" i="8"/>
  <c r="N19" i="8"/>
  <c r="C61" i="9"/>
  <c r="N29" i="8"/>
  <c r="C72" i="9"/>
  <c r="H51" i="9"/>
  <c r="N59" i="8"/>
  <c r="I40" i="9"/>
  <c r="M92" i="8"/>
  <c r="D12" i="9"/>
  <c r="M11" i="8"/>
  <c r="B53" i="9"/>
  <c r="C56" i="9"/>
  <c r="N14" i="8"/>
  <c r="I36" i="9"/>
  <c r="G46" i="9"/>
  <c r="F27" i="10" s="1"/>
  <c r="M88" i="8"/>
  <c r="N17" i="8"/>
  <c r="C59" i="9"/>
  <c r="H69" i="9"/>
  <c r="N95" i="8"/>
  <c r="M27" i="8"/>
  <c r="D28" i="9"/>
  <c r="B70" i="9"/>
  <c r="H58" i="9"/>
  <c r="M96" i="8"/>
  <c r="I44" i="9"/>
  <c r="H64" i="9"/>
  <c r="D19" i="9"/>
  <c r="M18" i="8"/>
  <c r="B60" i="9"/>
  <c r="H72" i="9"/>
  <c r="N18" i="8"/>
  <c r="C60" i="9"/>
  <c r="M97" i="8"/>
  <c r="I45" i="9"/>
  <c r="B33" i="9"/>
  <c r="B17" i="10" s="1"/>
  <c r="B50" i="9"/>
  <c r="N43" i="8"/>
  <c r="M68" i="8"/>
  <c r="G60" i="9"/>
  <c r="M41" i="8"/>
  <c r="D39" i="9"/>
  <c r="D27" i="9"/>
  <c r="B57" i="9"/>
  <c r="M15" i="8"/>
  <c r="D16" i="9"/>
  <c r="D20" i="9"/>
  <c r="M19" i="8"/>
  <c r="B61" i="9"/>
  <c r="G72" i="9"/>
  <c r="H61" i="9"/>
  <c r="I14" i="9"/>
  <c r="G55" i="9"/>
  <c r="M63" i="8"/>
  <c r="I29" i="9"/>
  <c r="M78" i="8"/>
  <c r="G71" i="9"/>
  <c r="G58" i="9"/>
  <c r="I17" i="9"/>
  <c r="N24" i="8"/>
  <c r="C66" i="9"/>
  <c r="G59" i="9"/>
  <c r="I18" i="9"/>
  <c r="M93" i="8"/>
  <c r="I41"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87" i="4"/>
  <c r="H44" i="10"/>
  <c r="H111" i="4"/>
  <c r="K44" i="10"/>
  <c r="K24" i="10"/>
  <c r="G46" i="10"/>
  <c r="H43" i="10"/>
  <c r="H31" i="4"/>
  <c r="J31" i="4" s="1"/>
  <c r="H32" i="4"/>
  <c r="J32" i="4" s="1"/>
  <c r="J10" i="10"/>
  <c r="D10" i="10"/>
  <c r="J24" i="10"/>
  <c r="D24" i="10"/>
  <c r="I25" i="4"/>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D45" i="10"/>
  <c r="J45" i="10"/>
  <c r="L45" i="10" s="1"/>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K34" i="10"/>
  <c r="I119" i="4"/>
  <c r="F35" i="10"/>
  <c r="F52" i="10"/>
  <c r="H30" i="10"/>
  <c r="I135" i="4"/>
  <c r="I29" i="4"/>
  <c r="H31" i="10"/>
  <c r="F53" i="10"/>
  <c r="I89" i="4"/>
  <c r="J32" i="10"/>
  <c r="D32" i="10"/>
  <c r="B54" i="10"/>
  <c r="I66" i="4"/>
  <c r="J20" i="10"/>
  <c r="D20" i="10"/>
  <c r="B56" i="10"/>
  <c r="D34" i="10"/>
  <c r="J34" i="10"/>
  <c r="H66" i="4"/>
  <c r="H32" i="10"/>
  <c r="F54" i="10"/>
  <c r="I22" i="4"/>
  <c r="K41" i="10"/>
  <c r="C46" i="10"/>
  <c r="H119" i="4"/>
  <c r="H137" i="4"/>
  <c r="I136" i="4"/>
  <c r="H68" i="4"/>
  <c r="I68" i="4"/>
  <c r="K43" i="10"/>
  <c r="I10" i="4"/>
  <c r="M10" i="25" s="1"/>
  <c r="H135" i="4"/>
  <c r="H12" i="4"/>
  <c r="J26" i="10"/>
  <c r="L26" i="10" s="1"/>
  <c r="D26" i="10"/>
  <c r="I34" i="4"/>
  <c r="H9" i="10"/>
  <c r="J9" i="10"/>
  <c r="L9" i="10" s="1"/>
  <c r="J49" i="10"/>
  <c r="L49" i="10" s="1"/>
  <c r="D49" i="10"/>
  <c r="D21" i="10"/>
  <c r="J21" i="10"/>
  <c r="I27" i="4"/>
  <c r="I36" i="4"/>
  <c r="B35" i="10"/>
  <c r="J30" i="10"/>
  <c r="B52" i="10"/>
  <c r="D30" i="10"/>
  <c r="I7" i="4"/>
  <c r="K60" i="10"/>
  <c r="K38" i="10"/>
  <c r="H13" i="10"/>
  <c r="G35" i="10"/>
  <c r="G52" i="10"/>
  <c r="I35" i="4"/>
  <c r="D12" i="10"/>
  <c r="J12" i="10"/>
  <c r="I12" i="4"/>
  <c r="M12" i="25" s="1"/>
  <c r="D43" i="10"/>
  <c r="J43" i="10"/>
  <c r="I134" i="4"/>
  <c r="I11" i="4"/>
  <c r="M11" i="25" s="1"/>
  <c r="K20" i="10"/>
  <c r="D25" i="10"/>
  <c r="J25" i="10"/>
  <c r="D41" i="10"/>
  <c r="J41" i="10"/>
  <c r="B46" i="10"/>
  <c r="K31" i="10"/>
  <c r="C53" i="10"/>
  <c r="N17" i="9"/>
  <c r="N20" i="9"/>
  <c r="L15" i="9"/>
  <c r="M28" i="9"/>
  <c r="M7" i="72" l="1"/>
  <c r="M7" i="74"/>
  <c r="J40" i="9"/>
  <c r="E36" i="9"/>
  <c r="J25" i="9"/>
  <c r="J13" i="9"/>
  <c r="E17" i="9"/>
  <c r="E13" i="9"/>
  <c r="L18" i="9"/>
  <c r="O36" i="9"/>
  <c r="M23" i="9"/>
  <c r="L36" i="9"/>
  <c r="L44" i="9"/>
  <c r="M10" i="9"/>
  <c r="M24" i="9"/>
  <c r="N29" i="9"/>
  <c r="N36" i="9"/>
  <c r="N35" i="9"/>
  <c r="N31" i="9"/>
  <c r="O43" i="9"/>
  <c r="N15" i="9"/>
  <c r="O10" i="9"/>
  <c r="M35" i="9"/>
  <c r="N41" i="9"/>
  <c r="M20" i="9"/>
  <c r="N22" i="9"/>
  <c r="M44" i="9"/>
  <c r="L37" i="9"/>
  <c r="O21" i="9"/>
  <c r="L40" i="9"/>
  <c r="O17" i="9"/>
  <c r="O22" i="9"/>
  <c r="M19" i="9"/>
  <c r="L25" i="9"/>
  <c r="L30" i="9"/>
  <c r="N23" i="9"/>
  <c r="L9" i="9"/>
  <c r="N14" i="9"/>
  <c r="O11" i="9"/>
  <c r="O15" i="9"/>
  <c r="O20" i="9"/>
  <c r="O23" i="9"/>
  <c r="O12" i="9"/>
  <c r="M27" i="9"/>
  <c r="M9" i="9"/>
  <c r="M43" i="9"/>
  <c r="L22" i="9"/>
  <c r="M42" i="9"/>
  <c r="L17" i="9"/>
  <c r="O38" i="9"/>
  <c r="N12" i="9"/>
  <c r="N44" i="9"/>
  <c r="N19" i="9"/>
  <c r="O30" i="9"/>
  <c r="N42" i="9"/>
  <c r="N24" i="9"/>
  <c r="M39" i="9"/>
  <c r="N21" i="9"/>
  <c r="L23" i="9"/>
  <c r="L27" i="9"/>
  <c r="O19" i="9"/>
  <c r="M15" i="9"/>
  <c r="M25" i="9"/>
  <c r="N16" i="9"/>
  <c r="M40" i="9"/>
  <c r="L38" i="9"/>
  <c r="L42" i="9"/>
  <c r="L43" i="9"/>
  <c r="O37" i="9"/>
  <c r="M29" i="9"/>
  <c r="L16" i="9"/>
  <c r="O35" i="9"/>
  <c r="L31" i="9"/>
  <c r="N27" i="9"/>
  <c r="L21" i="9"/>
  <c r="L20" i="9"/>
  <c r="N39" i="9"/>
  <c r="M17" i="9"/>
  <c r="M14" i="9"/>
  <c r="O39" i="9"/>
  <c r="O41" i="9"/>
  <c r="M36" i="9"/>
  <c r="O9" i="9"/>
  <c r="O27" i="9"/>
  <c r="N9" i="9"/>
  <c r="L19" i="9"/>
  <c r="L29" i="9"/>
  <c r="O40" i="9"/>
  <c r="L24" i="9"/>
  <c r="M22" i="9"/>
  <c r="L11" i="9"/>
  <c r="N28" i="9"/>
  <c r="L41" i="9"/>
  <c r="N37" i="9"/>
  <c r="M30" i="9"/>
  <c r="O28" i="9"/>
  <c r="O18" i="9"/>
  <c r="N40" i="9"/>
  <c r="O42" i="9"/>
  <c r="L28" i="9"/>
  <c r="M12" i="9"/>
  <c r="O24" i="9"/>
  <c r="N43" i="9"/>
  <c r="M21" i="9"/>
  <c r="N26" i="9"/>
  <c r="O44" i="9"/>
  <c r="N11" i="9"/>
  <c r="L10" i="9"/>
  <c r="L35" i="9"/>
  <c r="L26" i="9"/>
  <c r="N18" i="9"/>
  <c r="O29" i="9"/>
  <c r="O31" i="9"/>
  <c r="O14" i="9"/>
  <c r="L12" i="9"/>
  <c r="M16" i="9"/>
  <c r="O26" i="9"/>
  <c r="N25" i="9"/>
  <c r="M18" i="9"/>
  <c r="M38" i="9"/>
  <c r="M41" i="9"/>
  <c r="M37" i="9"/>
  <c r="N38" i="9"/>
  <c r="O25" i="9"/>
  <c r="N10" i="9"/>
  <c r="L14" i="9"/>
  <c r="L39" i="9"/>
  <c r="O16" i="9"/>
  <c r="N30" i="9"/>
  <c r="M11" i="9"/>
  <c r="M26" i="9"/>
  <c r="M31" i="9"/>
  <c r="J25" i="4" l="1"/>
  <c r="M33" i="16"/>
  <c r="M33" i="35"/>
  <c r="M33" i="23"/>
  <c r="M33" i="33"/>
  <c r="M33" i="20"/>
  <c r="M33" i="37"/>
  <c r="M33" i="29"/>
  <c r="M35" i="37"/>
  <c r="M35" i="18"/>
  <c r="M22" i="37"/>
  <c r="M22" i="18"/>
  <c r="M29" i="37"/>
  <c r="M29" i="18"/>
  <c r="M135" i="37"/>
  <c r="M37" i="37"/>
  <c r="M66" i="37"/>
  <c r="M66" i="18"/>
  <c r="M111" i="37"/>
  <c r="M111" i="18"/>
  <c r="M10" i="37"/>
  <c r="M10" i="18"/>
  <c r="M75" i="37"/>
  <c r="M134" i="37"/>
  <c r="M36" i="37"/>
  <c r="M12" i="37"/>
  <c r="M12" i="18"/>
  <c r="M89" i="37"/>
  <c r="M89" i="18"/>
  <c r="M87" i="37"/>
  <c r="M87" i="18"/>
  <c r="M25" i="37"/>
  <c r="M25" i="18"/>
  <c r="M11" i="37"/>
  <c r="M11" i="18"/>
  <c r="M7" i="37"/>
  <c r="M7" i="18"/>
  <c r="M34" i="37"/>
  <c r="M34" i="18"/>
  <c r="M119" i="37"/>
  <c r="M119" i="18"/>
  <c r="M68" i="37"/>
  <c r="M68" i="18"/>
  <c r="M96" i="37"/>
  <c r="L24" i="10"/>
  <c r="L14" i="10"/>
  <c r="J75" i="4"/>
  <c r="J96" i="4"/>
  <c r="L15" i="10"/>
  <c r="L51" i="9"/>
  <c r="L72" i="9"/>
  <c r="N59" i="9"/>
  <c r="M45" i="9"/>
  <c r="M70" i="9"/>
  <c r="O69" i="9"/>
  <c r="L55" i="9"/>
  <c r="M51" i="9"/>
  <c r="M57" i="9"/>
  <c r="O57" i="9"/>
  <c r="N63" i="9"/>
  <c r="O72" i="9"/>
  <c r="O56" i="9"/>
  <c r="M63" i="9"/>
  <c r="N57" i="9"/>
  <c r="N54" i="9"/>
  <c r="O71" i="9"/>
  <c r="M69" i="9"/>
  <c r="L57" i="9"/>
  <c r="L66" i="9"/>
  <c r="L59" i="9"/>
  <c r="L65" i="9"/>
  <c r="M62" i="9"/>
  <c r="L71" i="9"/>
  <c r="M49" i="9"/>
  <c r="M32" i="9"/>
  <c r="O55" i="9"/>
  <c r="L45" i="9"/>
  <c r="L54" i="9"/>
  <c r="O68" i="9"/>
  <c r="L50" i="9"/>
  <c r="N60" i="9"/>
  <c r="M72" i="9"/>
  <c r="N49" i="9"/>
  <c r="N32" i="9"/>
  <c r="M64" i="9"/>
  <c r="O45" i="9"/>
  <c r="N56" i="9"/>
  <c r="O51" i="9"/>
  <c r="O50" i="9"/>
  <c r="L63" i="9"/>
  <c r="M60" i="9"/>
  <c r="N68" i="9"/>
  <c r="N72" i="9"/>
  <c r="M65" i="9"/>
  <c r="O65" i="9"/>
  <c r="N70" i="9"/>
  <c r="O61" i="9"/>
  <c r="L64" i="9"/>
  <c r="L70" i="9"/>
  <c r="L58" i="9"/>
  <c r="N66" i="9"/>
  <c r="N55" i="9"/>
  <c r="L68" i="9"/>
  <c r="O63" i="9"/>
  <c r="O62" i="9"/>
  <c r="O70" i="9"/>
  <c r="L61" i="9"/>
  <c r="O66" i="9"/>
  <c r="N51" i="9"/>
  <c r="L62" i="9"/>
  <c r="N50" i="9"/>
  <c r="M71" i="9"/>
  <c r="N65" i="9"/>
  <c r="M55" i="9"/>
  <c r="M68" i="9"/>
  <c r="O49" i="9"/>
  <c r="O32" i="9"/>
  <c r="M59" i="9"/>
  <c r="M61" i="9"/>
  <c r="L60" i="9"/>
  <c r="M50" i="9"/>
  <c r="N71" i="9"/>
  <c r="O60" i="9"/>
  <c r="N52" i="9"/>
  <c r="O58" i="9"/>
  <c r="M58" i="9"/>
  <c r="L69" i="9"/>
  <c r="M54" i="9"/>
  <c r="M56" i="9"/>
  <c r="N45" i="9"/>
  <c r="N64" i="9"/>
  <c r="N58" i="9"/>
  <c r="M52" i="9"/>
  <c r="N62" i="9"/>
  <c r="N61" i="9"/>
  <c r="L32" i="9"/>
  <c r="L49" i="9"/>
  <c r="M66" i="9"/>
  <c r="L56" i="9"/>
  <c r="O59" i="9"/>
  <c r="O54" i="9"/>
  <c r="O52" i="9"/>
  <c r="N69" i="9"/>
  <c r="O64" i="9"/>
  <c r="L52" i="9"/>
  <c r="L42" i="10"/>
  <c r="J11" i="4"/>
  <c r="M11" i="13"/>
  <c r="M11" i="33"/>
  <c r="M11" i="23"/>
  <c r="M11" i="29"/>
  <c r="M11" i="35"/>
  <c r="M11" i="16"/>
  <c r="M27" i="16"/>
  <c r="J10" i="4"/>
  <c r="M10" i="20"/>
  <c r="M10" i="23"/>
  <c r="M10" i="13"/>
  <c r="M10" i="24"/>
  <c r="M10" i="35"/>
  <c r="M10" i="51"/>
  <c r="M10" i="41"/>
  <c r="M10" i="16"/>
  <c r="M10" i="29"/>
  <c r="M10" i="33"/>
  <c r="M68" i="20"/>
  <c r="M68" i="13"/>
  <c r="M68" i="27"/>
  <c r="M68" i="23"/>
  <c r="M68" i="29"/>
  <c r="M68" i="35"/>
  <c r="M68" i="33"/>
  <c r="M136" i="26"/>
  <c r="M119" i="23"/>
  <c r="M119" i="20"/>
  <c r="M119" i="27"/>
  <c r="M119" i="13"/>
  <c r="M119" i="35"/>
  <c r="M119" i="34"/>
  <c r="M119" i="29"/>
  <c r="M119" i="33"/>
  <c r="M111" i="23"/>
  <c r="M111" i="20"/>
  <c r="M111" i="27"/>
  <c r="M111" i="35"/>
  <c r="M111" i="29"/>
  <c r="M111" i="13"/>
  <c r="M111" i="34"/>
  <c r="M111" i="33"/>
  <c r="J7" i="4"/>
  <c r="M7" i="19"/>
  <c r="M7" i="13"/>
  <c r="M7" i="23"/>
  <c r="M7" i="22"/>
  <c r="M7" i="25"/>
  <c r="M7" i="20"/>
  <c r="M7" i="24"/>
  <c r="M7" i="29"/>
  <c r="M7" i="41"/>
  <c r="M7" i="16"/>
  <c r="M7" i="51"/>
  <c r="M7" i="35"/>
  <c r="M7" i="33"/>
  <c r="J22" i="4"/>
  <c r="M22" i="20"/>
  <c r="M22" i="13"/>
  <c r="M22" i="24"/>
  <c r="M22" i="51"/>
  <c r="M22" i="23"/>
  <c r="M22" i="29"/>
  <c r="M22" i="35"/>
  <c r="M22" i="33"/>
  <c r="M22" i="16"/>
  <c r="M29" i="23"/>
  <c r="M29" i="13"/>
  <c r="M29" i="29"/>
  <c r="M29" i="51"/>
  <c r="M29" i="35"/>
  <c r="M29" i="24"/>
  <c r="M29" i="16"/>
  <c r="M29" i="20"/>
  <c r="M29" i="33"/>
  <c r="M137" i="26"/>
  <c r="M87" i="13"/>
  <c r="M87" i="20"/>
  <c r="M87" i="23"/>
  <c r="M87" i="27"/>
  <c r="M87" i="33"/>
  <c r="M87" i="29"/>
  <c r="M87" i="35"/>
  <c r="M35" i="13"/>
  <c r="M35" i="23"/>
  <c r="M35" i="29"/>
  <c r="M35" i="35"/>
  <c r="M35" i="33"/>
  <c r="M35" i="16"/>
  <c r="M39" i="16"/>
  <c r="M34" i="13"/>
  <c r="M34" i="23"/>
  <c r="M34" i="29"/>
  <c r="M34" i="35"/>
  <c r="M34" i="16"/>
  <c r="M34" i="33"/>
  <c r="M38" i="16"/>
  <c r="M66" i="13"/>
  <c r="M66" i="20"/>
  <c r="M66" i="27"/>
  <c r="M66" i="35"/>
  <c r="M66" i="33"/>
  <c r="M66" i="23"/>
  <c r="M66" i="29"/>
  <c r="M89" i="20"/>
  <c r="M89" i="13"/>
  <c r="M89" i="23"/>
  <c r="M89" i="27"/>
  <c r="M89" i="29"/>
  <c r="M89" i="35"/>
  <c r="M89" i="33"/>
  <c r="M96" i="33"/>
  <c r="M75" i="33"/>
  <c r="J37" i="4"/>
  <c r="M37" i="13"/>
  <c r="M37" i="16"/>
  <c r="I71" i="9"/>
  <c r="M134" i="26"/>
  <c r="M134" i="34"/>
  <c r="M12" i="13"/>
  <c r="M12" i="23"/>
  <c r="M12" i="29"/>
  <c r="M12" i="35"/>
  <c r="M12" i="16"/>
  <c r="M12" i="33"/>
  <c r="J36" i="4"/>
  <c r="M36" i="13"/>
  <c r="M36" i="16"/>
  <c r="L21" i="10"/>
  <c r="H53" i="10"/>
  <c r="M135" i="26"/>
  <c r="M135" i="34"/>
  <c r="M25" i="23"/>
  <c r="M25" i="13"/>
  <c r="M25" i="20"/>
  <c r="M25" i="29"/>
  <c r="M25" i="16"/>
  <c r="M25" i="33"/>
  <c r="L31" i="10"/>
  <c r="L22" i="10"/>
  <c r="L12" i="10"/>
  <c r="L10" i="10"/>
  <c r="I69" i="9"/>
  <c r="I66" i="9"/>
  <c r="I63" i="9"/>
  <c r="I58" i="9"/>
  <c r="I55" i="9"/>
  <c r="I33" i="9"/>
  <c r="I51" i="9"/>
  <c r="D69" i="9"/>
  <c r="D46" i="9"/>
  <c r="D51" i="9"/>
  <c r="G17" i="10"/>
  <c r="E39" i="9"/>
  <c r="E43" i="9"/>
  <c r="E37" i="9"/>
  <c r="E38" i="9"/>
  <c r="E45" i="9"/>
  <c r="D33" i="9"/>
  <c r="E44" i="9"/>
  <c r="E42" i="9"/>
  <c r="F17" i="10"/>
  <c r="J17" i="10" s="1"/>
  <c r="E41" i="9"/>
  <c r="E40" i="9"/>
  <c r="B27" i="10"/>
  <c r="J27" i="10" s="1"/>
  <c r="J36" i="9"/>
  <c r="E22" i="9"/>
  <c r="C74" i="9"/>
  <c r="E54" i="9" s="1"/>
  <c r="E11" i="9"/>
  <c r="J42" i="9"/>
  <c r="E20" i="9"/>
  <c r="J12" i="9"/>
  <c r="E16" i="9"/>
  <c r="G27" i="10"/>
  <c r="H27" i="10" s="1"/>
  <c r="J27" i="9"/>
  <c r="E21" i="9"/>
  <c r="E14" i="9"/>
  <c r="J22" i="9"/>
  <c r="J15" i="9"/>
  <c r="H74" i="9"/>
  <c r="J54" i="9" s="1"/>
  <c r="E30" i="9"/>
  <c r="E24" i="9"/>
  <c r="E18" i="9"/>
  <c r="E19" i="9"/>
  <c r="J10" i="9"/>
  <c r="J19" i="9"/>
  <c r="J31" i="9"/>
  <c r="J14" i="9"/>
  <c r="J11" i="9"/>
  <c r="J16" i="9"/>
  <c r="B74" i="9"/>
  <c r="E26" i="9"/>
  <c r="E15" i="9"/>
  <c r="E10" i="9"/>
  <c r="C17" i="10"/>
  <c r="D17" i="10" s="1"/>
  <c r="J28" i="9"/>
  <c r="C27" i="10"/>
  <c r="J24" i="9"/>
  <c r="J17" i="9"/>
  <c r="J21" i="9"/>
  <c r="J18" i="9"/>
  <c r="J26" i="9"/>
  <c r="E31" i="9"/>
  <c r="E12" i="9"/>
  <c r="E23" i="9"/>
  <c r="E25" i="9"/>
  <c r="E27" i="9"/>
  <c r="E28" i="9"/>
  <c r="E29" i="9"/>
  <c r="J20" i="9"/>
  <c r="J29" i="9"/>
  <c r="J30" i="9"/>
  <c r="J23" i="9"/>
  <c r="J43" i="9"/>
  <c r="J44" i="9"/>
  <c r="G74" i="9"/>
  <c r="J37" i="9"/>
  <c r="J38" i="9"/>
  <c r="J41" i="9"/>
  <c r="I46" i="9"/>
  <c r="J39" i="9"/>
  <c r="J45" i="9"/>
  <c r="J119" i="4"/>
  <c r="J137" i="4"/>
  <c r="J135" i="4"/>
  <c r="J111" i="4"/>
  <c r="J12" i="4"/>
  <c r="J66" i="4"/>
  <c r="J35" i="4"/>
  <c r="J134" i="4"/>
  <c r="J34" i="4"/>
  <c r="J136" i="4"/>
  <c r="J68" i="4"/>
  <c r="J89" i="4"/>
  <c r="J87" i="4"/>
  <c r="J29" i="4"/>
  <c r="K53" i="10"/>
  <c r="K55" i="10"/>
  <c r="L44" i="10"/>
  <c r="L23" i="10"/>
  <c r="H55" i="10"/>
  <c r="L30" i="10"/>
  <c r="G57" i="10"/>
  <c r="L32" i="10"/>
  <c r="H54" i="10"/>
  <c r="L3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D56" i="10"/>
  <c r="J56" i="10"/>
  <c r="L56" i="10" s="1"/>
  <c r="J73" i="9" l="1"/>
  <c r="I73" i="9" s="1"/>
  <c r="J68" i="9"/>
  <c r="E72" i="9"/>
  <c r="D72" i="9" s="1"/>
  <c r="E68" i="9"/>
  <c r="L55" i="10"/>
  <c r="M73" i="9"/>
  <c r="O73" i="9"/>
  <c r="L73" i="9"/>
  <c r="N73" i="9"/>
  <c r="L53" i="10"/>
  <c r="J46" i="9"/>
  <c r="J33" i="9"/>
  <c r="I74" i="9"/>
  <c r="E46" i="9"/>
  <c r="D74" i="9"/>
  <c r="H17" i="10"/>
  <c r="E57" i="9"/>
  <c r="D57" i="9" s="1"/>
  <c r="E64" i="9"/>
  <c r="D64" i="9" s="1"/>
  <c r="E56" i="9"/>
  <c r="D56" i="9" s="1"/>
  <c r="E55" i="9"/>
  <c r="D55" i="9" s="1"/>
  <c r="J58" i="9"/>
  <c r="J57" i="9"/>
  <c r="I57" i="9" s="1"/>
  <c r="D27" i="10"/>
  <c r="E59" i="9"/>
  <c r="D59" i="9" s="1"/>
  <c r="E61" i="9"/>
  <c r="D61" i="9" s="1"/>
  <c r="E60" i="9"/>
  <c r="D60" i="9" s="1"/>
  <c r="E66" i="9"/>
  <c r="D66" i="9" s="1"/>
  <c r="K27" i="10"/>
  <c r="L27" i="10" s="1"/>
  <c r="J69" i="9"/>
  <c r="J61" i="9"/>
  <c r="I61" i="9" s="1"/>
  <c r="J53" i="9"/>
  <c r="I53" i="9" s="1"/>
  <c r="J62" i="9"/>
  <c r="I62" i="9" s="1"/>
  <c r="E62" i="9"/>
  <c r="D62" i="9" s="1"/>
  <c r="E52" i="9"/>
  <c r="D52" i="9" s="1"/>
  <c r="E51" i="9"/>
  <c r="E69" i="9"/>
  <c r="E73" i="9"/>
  <c r="D73" i="9" s="1"/>
  <c r="E70" i="9"/>
  <c r="D70" i="9" s="1"/>
  <c r="E65" i="9"/>
  <c r="D65" i="9" s="1"/>
  <c r="K17" i="10"/>
  <c r="L17" i="10" s="1"/>
  <c r="J65" i="9"/>
  <c r="I65" i="9" s="1"/>
  <c r="J52" i="9"/>
  <c r="I52" i="9" s="1"/>
  <c r="J59" i="9"/>
  <c r="I59" i="9" s="1"/>
  <c r="J66" i="9"/>
  <c r="J60" i="9"/>
  <c r="I60" i="9" s="1"/>
  <c r="J67" i="9"/>
  <c r="I67" i="9" s="1"/>
  <c r="J55" i="9"/>
  <c r="J63" i="9"/>
  <c r="J72" i="9"/>
  <c r="I72" i="9" s="1"/>
  <c r="J51" i="9"/>
  <c r="J64" i="9"/>
  <c r="I64" i="9" s="1"/>
  <c r="J56" i="9"/>
  <c r="I56" i="9" s="1"/>
  <c r="J70" i="9"/>
  <c r="I70" i="9" s="1"/>
  <c r="J71" i="9"/>
  <c r="E63" i="9"/>
  <c r="D63" i="9" s="1"/>
  <c r="E67" i="9"/>
  <c r="D67" i="9" s="1"/>
  <c r="E53" i="9"/>
  <c r="D53" i="9" s="1"/>
  <c r="E58" i="9"/>
  <c r="D58" i="9" s="1"/>
  <c r="E71" i="9"/>
  <c r="D71" i="9" s="1"/>
  <c r="E33" i="9"/>
  <c r="K57" i="10"/>
  <c r="H57" i="10"/>
  <c r="L46" i="10"/>
  <c r="L35" i="10"/>
  <c r="L54" i="10"/>
  <c r="J57" i="10"/>
  <c r="D57" i="10"/>
  <c r="L52" i="10"/>
  <c r="J74" i="9" l="1"/>
  <c r="E74" i="9"/>
  <c r="L57"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6"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<sst xmlns="http://schemas.openxmlformats.org/spreadsheetml/2006/main" count="5700" uniqueCount="433">
  <si>
    <t>Produkter uten investeringsvalg</t>
  </si>
  <si>
    <t>Produkter med investeringsvalg</t>
  </si>
  <si>
    <t>Totalt</t>
  </si>
  <si>
    <t>Endring</t>
  </si>
  <si>
    <t>i %</t>
  </si>
  <si>
    <t xml:space="preserve">                     </t>
  </si>
  <si>
    <t xml:space="preserve">      Gjeldsgruppeliv</t>
  </si>
  <si>
    <t xml:space="preserve">      Foreningsgruppeliv</t>
  </si>
  <si>
    <t xml:space="preserve">      Andre grupper</t>
  </si>
  <si>
    <t xml:space="preserve">   Ytelsesbasert</t>
  </si>
  <si>
    <t xml:space="preserve">   Innskuddsbasert</t>
  </si>
  <si>
    <t xml:space="preserve">      herav kapitaliseringsprodukt IPA+IPS</t>
  </si>
  <si>
    <t xml:space="preserve">        Inv.valg foretak</t>
  </si>
  <si>
    <t xml:space="preserve">        Inv.valg kontohaver</t>
  </si>
  <si>
    <t xml:space="preserve">    Til pensjonskasser</t>
  </si>
  <si>
    <t xml:space="preserve">    Fra pensjonskasser</t>
  </si>
  <si>
    <t>Noter til tabellene</t>
  </si>
  <si>
    <t>Gruppeliv bedrift tilsvarer tjenestegruppeliv.</t>
  </si>
  <si>
    <t>Gruppeliv privat består av foreningsgruppeliv, gjeldsgruppeliv og annet.</t>
  </si>
  <si>
    <t xml:space="preserve">Engangsbetalt alderspensjon er innskuddsbasert pensjon med dødelighetsarv. </t>
  </si>
  <si>
    <t>LOF/LOI betyr lov om foretakspensjon og lov om innskuddspensjon.</t>
  </si>
  <si>
    <t>Overførte reserver fra andre tilsvarer post 1.3 i resultatregnskapet samt overførte tilleggsavsetninger som tilsvarer post 6.6 i  resultatregnskapet.</t>
  </si>
  <si>
    <t>Flytting av en gruppelivsordning fra andre eller til andre måles i brutto årlig premie (ikke brutto forfalt premie).</t>
  </si>
  <si>
    <r>
      <t xml:space="preserve">Brutto forfalt premie </t>
    </r>
    <r>
      <rPr>
        <b/>
        <vertAlign val="superscript"/>
        <sz val="10"/>
        <rFont val="Times New Roman"/>
        <family val="1"/>
      </rPr>
      <t>1</t>
    </r>
  </si>
  <si>
    <r>
      <t xml:space="preserve">    Herav brutto risikopremie uførekapital </t>
    </r>
    <r>
      <rPr>
        <vertAlign val="superscript"/>
        <sz val="10"/>
        <rFont val="Times New Roman"/>
        <family val="1"/>
      </rPr>
      <t>2</t>
    </r>
  </si>
  <si>
    <r>
      <t xml:space="preserve">    Herav brutto risikopremie død </t>
    </r>
    <r>
      <rPr>
        <vertAlign val="superscript"/>
        <sz val="10"/>
        <rFont val="Times New Roman"/>
        <family val="1"/>
      </rPr>
      <t>2</t>
    </r>
  </si>
  <si>
    <t xml:space="preserve">   Etter tjenestepensjonsloven</t>
  </si>
  <si>
    <t>Tabell 5: Kommunale ordninger</t>
  </si>
  <si>
    <t>Tabell 1 : Individuell kapitalforsikring*</t>
  </si>
  <si>
    <t>Markeds-</t>
  </si>
  <si>
    <t>andel</t>
  </si>
  <si>
    <t>INNHOLDSFORTEGNELSE</t>
  </si>
  <si>
    <t>FIGURER</t>
  </si>
  <si>
    <t>Figur 1</t>
  </si>
  <si>
    <t>Brutto forfalt premie livprodukter - produkter uten investeringsvalg</t>
  </si>
  <si>
    <t>Figur 2</t>
  </si>
  <si>
    <t>Brutto forfalt premie livprodukter - produkter med investeringsvalg</t>
  </si>
  <si>
    <t>Figur 3</t>
  </si>
  <si>
    <t>Figur 4</t>
  </si>
  <si>
    <t>Figur 5</t>
  </si>
  <si>
    <t>Forsikringsforpliktelser livprodukter - produkter uten investeringsvalg</t>
  </si>
  <si>
    <t>Figur 6</t>
  </si>
  <si>
    <t>Forsikringsforpliktelser livprodukter - produkter med investeringsvalg</t>
  </si>
  <si>
    <t>Netto tilflytting livprodukter - produkter uten investeringsvalg</t>
  </si>
  <si>
    <t>Netto tilflytting livprodukter - produkter med investeringsvalg</t>
  </si>
  <si>
    <t>TABELLER</t>
  </si>
  <si>
    <t>MARKEDSDEL</t>
  </si>
  <si>
    <t>Tabell 1.1</t>
  </si>
  <si>
    <t>Hovedtall - produkter uten  og med investeringsvalg</t>
  </si>
  <si>
    <t>Tabell 1.2</t>
  </si>
  <si>
    <t>Hovedtall - fordelt på bransjer</t>
  </si>
  <si>
    <t>NOTER OG KOMMENTARER</t>
  </si>
  <si>
    <t>Tilbake</t>
  </si>
  <si>
    <t xml:space="preserve">Brutto forfalt premie livprodukter </t>
  </si>
  <si>
    <t>Danica Pensjon</t>
  </si>
  <si>
    <t>DNB Liv</t>
  </si>
  <si>
    <t>Eika Forsikring</t>
  </si>
  <si>
    <t>Frende Livsfors</t>
  </si>
  <si>
    <t>Frende Skade</t>
  </si>
  <si>
    <t>Gjensidige Fors</t>
  </si>
  <si>
    <t>Gjensidige Pensj</t>
  </si>
  <si>
    <t>Handelsb Liv</t>
  </si>
  <si>
    <t>If Skadefors</t>
  </si>
  <si>
    <t>KLP</t>
  </si>
  <si>
    <t>KLP Bedriftsp</t>
  </si>
  <si>
    <t>KLP Skadef</t>
  </si>
  <si>
    <t>Nordea Liv</t>
  </si>
  <si>
    <t>OPF</t>
  </si>
  <si>
    <t>SpareBank 1</t>
  </si>
  <si>
    <t xml:space="preserve">Storebrand </t>
  </si>
  <si>
    <t>Telenor Fors</t>
  </si>
  <si>
    <t>Tryg Fors</t>
  </si>
  <si>
    <t>SHB Liv</t>
  </si>
  <si>
    <t>Storebrand</t>
  </si>
  <si>
    <t>Forsikringsforpliktelser i livsforsikring</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</si>
  <si>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</si>
  <si>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</si>
  <si>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</si>
  <si>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</si>
  <si>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</si>
  <si>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</si>
  <si>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t>%-</t>
  </si>
  <si>
    <t>Beløp i 1000  kroner</t>
  </si>
  <si>
    <t>endring</t>
  </si>
  <si>
    <t>Danica Pensjonsforsikring</t>
  </si>
  <si>
    <t>DNB Livsforsikring</t>
  </si>
  <si>
    <t>Eika Forsikring AS</t>
  </si>
  <si>
    <t>Frende Livsforsikring</t>
  </si>
  <si>
    <t>Frende Skadeforsikring</t>
  </si>
  <si>
    <t>Gjensidige Forsikring</t>
  </si>
  <si>
    <t>Gjensidige Pensjon</t>
  </si>
  <si>
    <t>Handelsbanken Liv</t>
  </si>
  <si>
    <t>If Skadeforsikring NUF</t>
  </si>
  <si>
    <t>KLP Bedriftspensjon AS</t>
  </si>
  <si>
    <t>KLP Skadeforsikring AS</t>
  </si>
  <si>
    <t xml:space="preserve">Nordea Liv </t>
  </si>
  <si>
    <t>Oslo Pensjonsforsikring</t>
  </si>
  <si>
    <t>Storebrand Livsforsikring</t>
  </si>
  <si>
    <t>Telenor Forsikring</t>
  </si>
  <si>
    <t>Tryg Forsikring</t>
  </si>
  <si>
    <t>Totalt uten investeringsvalg</t>
  </si>
  <si>
    <t>Totalt med investeringsvalg</t>
  </si>
  <si>
    <t>Alle produkter</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</si>
  <si>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</si>
  <si>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</si>
  <si>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</si>
  <si>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</si>
  <si>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</si>
  <si>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</si>
  <si>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</si>
  <si>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</si>
  <si>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</si>
  <si>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</si>
  <si>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</si>
  <si>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</si>
  <si>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</si>
  <si>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t xml:space="preserve">   Foreningskollektiv</t>
  </si>
  <si>
    <t>Totalt brutto forfalt premie</t>
  </si>
  <si>
    <r>
      <t xml:space="preserve">     - herav innskuddsbasert </t>
    </r>
    <r>
      <rPr>
        <vertAlign val="superscript"/>
        <sz val="14"/>
        <rFont val="Times New Roman"/>
        <family val="1"/>
      </rPr>
      <t>*</t>
    </r>
  </si>
  <si>
    <t>Totalt forsikringsforpliktelser</t>
  </si>
  <si>
    <t>Totalt overførte reserver fra andre</t>
  </si>
  <si>
    <t>Totalt overførte reserver til andre</t>
  </si>
  <si>
    <t>Totalt netto overførte reserver fra andre</t>
  </si>
  <si>
    <t xml:space="preserve">* "Innskuddsbasert" er summen av "Engangsbetalt" og "Innskuddspensjon". </t>
  </si>
  <si>
    <t>** Bokført verdi, se tabell 6 i statistikken.</t>
  </si>
  <si>
    <t>DNB Livsforsikring ASA</t>
  </si>
  <si>
    <t>Eika Gruppen AS</t>
  </si>
  <si>
    <t>Frende Livsforsikring AS</t>
  </si>
  <si>
    <t>Frende Skadeforsikring AS</t>
  </si>
  <si>
    <t>Gjensidige Forsikring ASA</t>
  </si>
  <si>
    <t>Gjensidige Pensjon og Sparing</t>
  </si>
  <si>
    <t>If Skadeforsikring nuf</t>
  </si>
  <si>
    <t>Livsforsikringsselskapet Nordea Liv Norge AS</t>
  </si>
  <si>
    <t>Telenor Forsikring AS</t>
  </si>
  <si>
    <t>SpareBank 1 Forsikring AS</t>
  </si>
  <si>
    <t>Storebrand ASA</t>
  </si>
  <si>
    <t>KLP Skadeforsikring</t>
  </si>
  <si>
    <t>Selskap</t>
  </si>
  <si>
    <t>Flytting fra andre</t>
  </si>
  <si>
    <t>Flytting til andre</t>
  </si>
  <si>
    <t>Q8</t>
  </si>
  <si>
    <t>Q9</t>
  </si>
  <si>
    <t>Q10</t>
  </si>
  <si>
    <t>Q14</t>
  </si>
  <si>
    <t>Q15</t>
  </si>
  <si>
    <t>Q16</t>
  </si>
  <si>
    <t>Q7</t>
  </si>
  <si>
    <t>R7</t>
  </si>
  <si>
    <t>R8</t>
  </si>
  <si>
    <t>R9</t>
  </si>
  <si>
    <t>R10</t>
  </si>
  <si>
    <t>R14</t>
  </si>
  <si>
    <t>R15</t>
  </si>
  <si>
    <t>R16</t>
  </si>
  <si>
    <t>Q11</t>
  </si>
  <si>
    <t>Q17</t>
  </si>
  <si>
    <t>Q18</t>
  </si>
  <si>
    <t>R17</t>
  </si>
  <si>
    <t>R18</t>
  </si>
  <si>
    <t>R11</t>
  </si>
  <si>
    <t>Tabell 1.3 Hovedtall</t>
  </si>
  <si>
    <t>Aktivaposter (aggregert)</t>
  </si>
  <si>
    <t>i mill. kr</t>
  </si>
  <si>
    <t>prosentvis andel</t>
  </si>
  <si>
    <t>Selskapsporteføljen</t>
  </si>
  <si>
    <t xml:space="preserve">   Aksjer</t>
  </si>
  <si>
    <t xml:space="preserve">   Obligasjoner</t>
  </si>
  <si>
    <t xml:space="preserve">   Eiendom</t>
  </si>
  <si>
    <t xml:space="preserve">   Datterforetak m.m.</t>
  </si>
  <si>
    <t xml:space="preserve">   Utlån</t>
  </si>
  <si>
    <t xml:space="preserve">   Annet</t>
  </si>
  <si>
    <t>Kollektivporteføljen</t>
  </si>
  <si>
    <t>Investeringsvalgporteføljen</t>
  </si>
  <si>
    <t>Tallene er hentet fra tabell 6 Balanse.</t>
  </si>
  <si>
    <t>Regnskapsdel, endelig år</t>
  </si>
  <si>
    <t>Tabell 6</t>
  </si>
  <si>
    <t>Balanse</t>
  </si>
  <si>
    <t>Danica</t>
  </si>
  <si>
    <t>DNB</t>
  </si>
  <si>
    <t>Frende</t>
  </si>
  <si>
    <t>Gjensidige</t>
  </si>
  <si>
    <t xml:space="preserve"> </t>
  </si>
  <si>
    <t>Oslo</t>
  </si>
  <si>
    <t>Pensjonsforsikring</t>
  </si>
  <si>
    <t>Livsforsikring</t>
  </si>
  <si>
    <t>Pensjon</t>
  </si>
  <si>
    <t>Bedriftspensjon AS</t>
  </si>
  <si>
    <r>
      <t>norske livselskaper</t>
    </r>
    <r>
      <rPr>
        <b/>
        <vertAlign val="superscript"/>
        <sz val="14"/>
        <rFont val="Times New Roman"/>
        <family val="1"/>
      </rPr>
      <t xml:space="preserve"> </t>
    </r>
  </si>
  <si>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</si>
  <si>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</si>
  <si>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</si>
  <si>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</si>
  <si>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</si>
  <si>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</si>
  <si>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</si>
  <si>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</si>
  <si>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Investeringer som holdes til forfall</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</si>
  <si>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</si>
  <si>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</si>
  <si>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</si>
  <si>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</si>
  <si>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Obligasjoner og andre verdipapirer med fast avkastning</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</si>
  <si>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</si>
  <si>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</si>
  <si>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</si>
  <si>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</si>
  <si>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</si>
  <si>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</si>
  <si>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</si>
  <si>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</si>
  <si>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</si>
  <si>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</si>
  <si>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</si>
  <si>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</si>
  <si>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Investeringer som holdes til forfall</t>
  </si>
  <si>
    <t xml:space="preserve">         6.3.2 Utlån og fordringer</t>
  </si>
  <si>
    <t xml:space="preserve">    6.4 Finansielle eiendeler som måles til virkelig verdi</t>
  </si>
  <si>
    <t xml:space="preserve">         6.4.1 Aksjer og andeler (inkl. aksjer og andeler målt til kost)</t>
  </si>
  <si>
    <t xml:space="preserve">         6.4.2 Obligasjoner og andre verdipapirer med fast avkastning</t>
  </si>
  <si>
    <t xml:space="preserve">         6.4.3 Utlån og fordringer</t>
  </si>
  <si>
    <t xml:space="preserve">         6.4.4 Finansielle derivater</t>
  </si>
  <si>
    <t xml:space="preserve">         6.4.5 Andre finansielle eiendeler</t>
  </si>
  <si>
    <t xml:space="preserve">    Sum investeringer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</si>
  <si>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</si>
  <si>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</si>
  <si>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</si>
  <si>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</si>
  <si>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Investeringer som holdes til forfall</t>
  </si>
  <si>
    <t xml:space="preserve">         8.3.2 Utlån og fordringer</t>
  </si>
  <si>
    <t xml:space="preserve">    8.4 Finansielle eiendeler som måles til virkelig verdi</t>
  </si>
  <si>
    <t xml:space="preserve">         8.4.1 Aksjer og andeler (inkl. aksjer og andeler målt til kost)</t>
  </si>
  <si>
    <t xml:space="preserve">         8.4.2 Obligasjoner og andre verdipapirer med fast avkastning</t>
  </si>
  <si>
    <t xml:space="preserve">         8.4.3 Utlån og fordringer</t>
  </si>
  <si>
    <t xml:space="preserve">         8.4.4 Finansielle derivater</t>
  </si>
  <si>
    <t xml:space="preserve">         8.4.5 Andre finansielle eiendeler</t>
  </si>
  <si>
    <t xml:space="preserve">    Sum investeringer i investeringsvalgsporteføljen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</si>
  <si>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</si>
  <si>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</si>
  <si>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</si>
  <si>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</si>
  <si>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</si>
  <si>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</si>
  <si>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</si>
  <si>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</si>
  <si>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13.2 Tilleggsavsetninger</t>
  </si>
  <si>
    <t xml:space="preserve">    13.3 Kursreguleringsfond</t>
  </si>
  <si>
    <t xml:space="preserve">    Ufordelte overskuddsmidler til forsikringskontraktene</t>
  </si>
  <si>
    <t>Sum forsikringsforpliktelser i livsforsikring - KF</t>
  </si>
  <si>
    <t>14. Forsikringsforpliktelser i livsforsikring - SI</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</si>
  <si>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</si>
  <si>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</si>
  <si>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</si>
  <si>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</si>
  <si>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</si>
  <si>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</si>
  <si>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Noter: Se "Noter og kommentarer"</t>
  </si>
  <si>
    <t>KF=Kontraktsfastsatte forpliktelser</t>
  </si>
  <si>
    <t>SI=Særskilt investeringsportefølje</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</si>
  <si>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</si>
  <si>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</si>
  <si>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</si>
  <si>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</si>
  <si>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</si>
  <si>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</si>
  <si>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</si>
  <si>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</si>
  <si>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</si>
  <si>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</si>
  <si>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</si>
  <si>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</si>
  <si>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</si>
  <si>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</si>
  <si>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</si>
  <si>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</si>
  <si>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Totalt - alle produkter</t>
  </si>
  <si>
    <t>Tabell 2: Individuell  pensjonsforsikring, herunder foreningskollektiv</t>
  </si>
  <si>
    <t>Tabell 3: Gruppelivsforsikring</t>
  </si>
  <si>
    <t>Tabell 4: Privat kollektiv pensjonsforsikring, herunder fripoliser, pensjonskapitalbevis og pensjonsbevis</t>
  </si>
  <si>
    <t>* Brutto risiokopremie for invidiuell uførepensjon fremkommer i tabell 2.</t>
  </si>
  <si>
    <r>
      <t xml:space="preserve">Brutto risikopremie for individuell uførepensjon </t>
    </r>
    <r>
      <rPr>
        <vertAlign val="superscript"/>
        <sz val="10"/>
        <rFont val="Times New Roman"/>
        <family val="1"/>
      </rPr>
      <t>3</t>
    </r>
  </si>
  <si>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</si>
  <si>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</si>
  <si>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Forsikringsforpliktelser i livsforsikring tilsvarer post 13 i balansen, ekskl. post 13.3 Kursreguleringsfond for produkter uten investeringsvalg og post 14 i balansen for produkter med investeringsvalg. Gjenforsikringsandel skal ikke tas hensyn til i markedsdelen. </t>
  </si>
  <si>
    <t>Herav fripoliser med investeringsvalg betraktes som innskuddsbasert.</t>
  </si>
  <si>
    <t>Innskuddspensjon er innskuddsbasert pensjon uten dødelighetsarv.</t>
  </si>
  <si>
    <t>Herav fripoliser, herav pensjonskapitalbevis og herav pensjonsbevis omfatter også fortsettelsesforsikringer. Herav-postene er uttrekk fra hovedpostene i tabellen Privat kollektiv pensjonsforsikring, uansett om det er Innenfor LOF/LOI eller Utenfor LOF/LOI - Livrenter.</t>
  </si>
  <si>
    <t>Gjelder ikke ordninger etter lov om tjenestepensjon</t>
  </si>
  <si>
    <r>
      <t xml:space="preserve">Brutto forfalt premie - Foreningskollektiv </t>
    </r>
    <r>
      <rPr>
        <b/>
        <vertAlign val="superscript"/>
        <sz val="10"/>
        <rFont val="Times New Roman"/>
        <family val="1"/>
      </rPr>
      <t>1</t>
    </r>
  </si>
  <si>
    <t>Regnskapsdel, endelig kvartal</t>
  </si>
  <si>
    <t>Resultatregnskap</t>
  </si>
  <si>
    <t xml:space="preserve">Totalt </t>
  </si>
  <si>
    <t>norske livselskaper</t>
  </si>
  <si>
    <t>alle livselskaper</t>
  </si>
  <si>
    <t xml:space="preserve">Beløp i millioner kroner </t>
  </si>
  <si>
    <t>TEKNISK REGNSKAP FOR LIVSFORSIKRING</t>
  </si>
  <si>
    <t>1. Premieinntekter f.e.r.</t>
  </si>
  <si>
    <t xml:space="preserve">    1.1 Forfalt premier, brutto</t>
  </si>
  <si>
    <t xml:space="preserve">    1.2 - Avgitte gjenforsikringspremier</t>
  </si>
  <si>
    <t xml:space="preserve">    1.3 Overføring av premiereserve fra andre selskap/kasser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</si>
  <si>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</si>
  <si>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</si>
  <si>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</si>
  <si>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</si>
  <si>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</si>
  <si>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</si>
  <si>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Sum erstatninger f.e.r.</t>
  </si>
  <si>
    <t>6. Resultatførte endringer i forsikringsforpliktelser - KF</t>
  </si>
  <si>
    <t xml:space="preserve">    6.1 Endring i premiereserve</t>
  </si>
  <si>
    <t xml:space="preserve">    6.2 Endring i tilleggsavsetninger</t>
  </si>
  <si>
    <t xml:space="preserve">    6.3 Endring i kursreguleringsfond</t>
  </si>
  <si>
    <t xml:space="preserve">    6.4 Endring i premie-, innskudds- og pensjonistenes overskuddsfond</t>
  </si>
  <si>
    <t xml:space="preserve">    6.5 Endring i tekniske avsetninger for skadeforsikringsvirksomhet</t>
  </si>
  <si>
    <t xml:space="preserve">    6.6 Overføring av tilleggsavsetninger fra andre fors.selskap/pensj.kasser</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</si>
  <si>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</si>
  <si>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</si>
  <si>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</si>
  <si>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</si>
  <si>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</si>
  <si>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</si>
  <si>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</si>
  <si>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</si>
  <si>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</si>
  <si>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</si>
  <si>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</si>
  <si>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</si>
  <si>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</si>
  <si>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18. Resultat før andre resultatkomponenter</t>
  </si>
  <si>
    <t>19. Andre resultatkomponenter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</si>
  <si>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</si>
  <si>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</si>
  <si>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</si>
  <si>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</si>
  <si>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</si>
  <si>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</si>
  <si>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</si>
  <si>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</si>
  <si>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</si>
  <si>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</si>
  <si>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</si>
  <si>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</si>
  <si>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Diverse nøkkeltall</t>
  </si>
  <si>
    <t>7. Gjenforsikringsandel av forsikringsforpliktelser i kollektivporteføljen</t>
  </si>
  <si>
    <t>9. Gjenforsikringsandel av forsikringsforpliktelser i investeringsvalgporteføljen</t>
  </si>
  <si>
    <t xml:space="preserve">Med kommunal kollektiv pensjon menes kollektive pensjonsordninger som definert i lov om forsikringsvirksomhet § 4-1 og § 4-2.   </t>
  </si>
  <si>
    <t>Tabell 1.3</t>
  </si>
  <si>
    <t>Hovedtall - aktivaposter</t>
  </si>
  <si>
    <t>Skjema total MA</t>
  </si>
  <si>
    <t>Tall pr. selskap - alle produkter</t>
  </si>
  <si>
    <t>Selskapsnavn</t>
  </si>
  <si>
    <t>Kursreguleringsfond</t>
  </si>
  <si>
    <t xml:space="preserve">   Etter tjenestepensjonsloven - Uførepensjon</t>
  </si>
  <si>
    <t xml:space="preserve">   Etter tjenestepensjonsloven - Alderspensjon</t>
  </si>
  <si>
    <t xml:space="preserve">  Etter tjenestepensjonsloven - Uførepensjon</t>
  </si>
  <si>
    <t xml:space="preserve">  Etter tjenestepensjonsloven - Alderspensjon</t>
  </si>
  <si>
    <t>Brutto forfalt premie tilsvarer post 1.1 i resultatregnskapet, jf. forskrift til årsregnskap for livsforsikringsfortak.</t>
  </si>
  <si>
    <t>Overførte reserver til andre tilsvarer post 5.2 i resultatregnskapet.</t>
  </si>
  <si>
    <r>
      <t xml:space="preserve">   Kommunal kollektiv pensjon </t>
    </r>
    <r>
      <rPr>
        <vertAlign val="superscript"/>
        <sz val="14"/>
        <rFont val="Times New Roman"/>
        <family val="1"/>
      </rPr>
      <t>15)</t>
    </r>
  </si>
  <si>
    <r>
      <t xml:space="preserve">Forsikringsforpliktelser </t>
    </r>
    <r>
      <rPr>
        <vertAlign val="superscript"/>
        <sz val="14"/>
        <rFont val="Times New Roman"/>
        <family val="1"/>
      </rPr>
      <t>4)</t>
    </r>
  </si>
  <si>
    <r>
      <t xml:space="preserve">Overførte reserver fra andre </t>
    </r>
    <r>
      <rPr>
        <vertAlign val="superscript"/>
        <sz val="14"/>
        <rFont val="Times New Roman"/>
        <family val="1"/>
      </rPr>
      <t>5)</t>
    </r>
  </si>
  <si>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</si>
  <si>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</si>
  <si>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</si>
  <si>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</si>
  <si>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r>
      <t xml:space="preserve">Netto flytting fra andre </t>
    </r>
    <r>
      <rPr>
        <vertAlign val="superscript"/>
        <sz val="14"/>
        <rFont val="Times New Roman"/>
        <family val="1"/>
      </rPr>
      <t>9)</t>
    </r>
  </si>
  <si>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</si>
  <si>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 xml:space="preserve">    13.5 Andre tekniske avsetninger for skadeforsikringsvirksomheten</t>
  </si>
  <si>
    <t xml:space="preserve">    5.2 Overføring av premieres., tilleggsavsetn. til andre selskap/kasser</t>
  </si>
  <si>
    <t>Protector Forsikring</t>
  </si>
  <si>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</si>
  <si>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</si>
  <si>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</si>
  <si>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</si>
  <si>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</si>
  <si>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</si>
  <si>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</si>
  <si>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r>
      <t xml:space="preserve">Forsikringsforpliktelser </t>
    </r>
    <r>
      <rPr>
        <b/>
        <vertAlign val="superscript"/>
        <sz val="10"/>
        <rFont val="Times New Roman"/>
        <family val="1"/>
      </rPr>
      <t>6</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</si>
  <si>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</si>
  <si>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</si>
  <si>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</si>
  <si>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r>
      <t xml:space="preserve">    Bedrift </t>
    </r>
    <r>
      <rPr>
        <vertAlign val="superscript"/>
        <sz val="10"/>
        <rFont val="Times New Roman"/>
        <family val="1"/>
      </rPr>
      <t>7</t>
    </r>
  </si>
  <si>
    <r>
      <t xml:space="preserve">    Privat </t>
    </r>
    <r>
      <rPr>
        <vertAlign val="superscript"/>
        <sz val="10"/>
        <rFont val="Times New Roman"/>
        <family val="1"/>
      </rPr>
      <t>8</t>
    </r>
  </si>
  <si>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</si>
  <si>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</si>
  <si>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r>
      <t xml:space="preserve">      Engangsbetalt </t>
    </r>
    <r>
      <rPr>
        <vertAlign val="superscript"/>
        <sz val="10"/>
        <rFont val="Times New Roman"/>
        <family val="1"/>
      </rPr>
      <t>11</t>
    </r>
  </si>
  <si>
    <r>
      <t xml:space="preserve">      Innskuddspensjon </t>
    </r>
    <r>
      <rPr>
        <vertAlign val="superscript"/>
        <sz val="10"/>
        <rFont val="Times New Roman"/>
        <family val="1"/>
      </rPr>
      <t>12</t>
    </r>
  </si>
  <si>
    <r>
      <t xml:space="preserve">  Innenfor LOF/LOI </t>
    </r>
    <r>
      <rPr>
        <vertAlign val="superscript"/>
        <sz val="10"/>
        <rFont val="Times New Roman"/>
        <family val="1"/>
      </rPr>
      <t>13</t>
    </r>
  </si>
  <si>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</si>
  <si>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</si>
  <si>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pensjonskapitalbevis </t>
    </r>
    <r>
      <rPr>
        <vertAlign val="superscript"/>
        <sz val="10"/>
        <rFont val="Times New Roman"/>
        <family val="1"/>
      </rPr>
      <t>14</t>
    </r>
  </si>
  <si>
    <r>
      <t xml:space="preserve">  Herav pensjonsbevis</t>
    </r>
    <r>
      <rPr>
        <vertAlign val="superscript"/>
        <sz val="10"/>
        <rFont val="Times New Roman"/>
        <family val="1"/>
      </rPr>
      <t>14</t>
    </r>
  </si>
  <si>
    <r>
      <t xml:space="preserve">   Herav fripoliser </t>
    </r>
    <r>
      <rPr>
        <vertAlign val="superscript"/>
        <sz val="10"/>
        <rFont val="Times New Roman"/>
        <family val="1"/>
      </rPr>
      <t>14,16</t>
    </r>
  </si>
  <si>
    <r>
      <t xml:space="preserve">   Herav pensjonskapitalbevis </t>
    </r>
    <r>
      <rPr>
        <vertAlign val="superscript"/>
        <sz val="10"/>
        <rFont val="Times New Roman"/>
        <family val="1"/>
      </rPr>
      <t>14</t>
    </r>
  </si>
  <si>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</si>
  <si>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</si>
  <si>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</si>
  <si>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</si>
  <si>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</si>
  <si>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</si>
  <si>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r>
      <t>Forsikringsforpliktelser</t>
    </r>
    <r>
      <rPr>
        <sz val="14"/>
        <rFont val="Times New Roman"/>
        <family val="1"/>
      </rPr>
      <t xml:space="preserve"> </t>
    </r>
    <r>
      <rPr>
        <vertAlign val="superscript"/>
        <sz val="14"/>
        <rFont val="Times New Roman"/>
        <family val="1"/>
      </rPr>
      <t>4)</t>
    </r>
  </si>
  <si>
    <t>Protector Fors</t>
  </si>
  <si>
    <t xml:space="preserve">    13.1 Premiereserve mv.</t>
  </si>
  <si>
    <t xml:space="preserve">    13.4 Premiefond, innskuddsfond og fond for regulering av pensjoner mv.</t>
  </si>
  <si>
    <t xml:space="preserve">    14.1 Premiekapital mv.</t>
  </si>
  <si>
    <t xml:space="preserve">    14.2 Tilleggsavsetninger</t>
  </si>
  <si>
    <t xml:space="preserve">    14.3 Premiefond, innskuddsfond og fond for regulering av pensjoner mv.</t>
  </si>
  <si>
    <t>Fremtind Livsforsikring</t>
  </si>
  <si>
    <t>Fremtind</t>
  </si>
  <si>
    <t>Fremtind Livsfors</t>
  </si>
  <si>
    <t>Landkreditt Fors.</t>
  </si>
  <si>
    <t>Insr</t>
  </si>
  <si>
    <t>31.03.</t>
  </si>
  <si>
    <t>Avkastningstall (%)</t>
  </si>
  <si>
    <r>
      <t>Kapitalavkastning I hittil i år</t>
    </r>
    <r>
      <rPr>
        <vertAlign val="superscript"/>
        <sz val="14"/>
        <rFont val="Times New Roman"/>
        <family val="1"/>
      </rPr>
      <t xml:space="preserve"> </t>
    </r>
  </si>
  <si>
    <t>Kapitalavkastning II hittil i år</t>
  </si>
  <si>
    <r>
      <t xml:space="preserve">Soliditetskapital </t>
    </r>
    <r>
      <rPr>
        <sz val="14"/>
        <rFont val="Times New Roman"/>
        <family val="1"/>
      </rPr>
      <t>(%)</t>
    </r>
  </si>
  <si>
    <t>Mer/mindre-verdier</t>
  </si>
  <si>
    <t/>
  </si>
  <si>
    <t>Figur 1  Brutto forfalt premie livprodukter  -  produkter uten investeringsvalg pr. 31.03.</t>
  </si>
  <si>
    <t>Figur 3  Forsikringsforpliktelser i livsforsikring  -  produkter uten investeringsvalg pr. 31.03.</t>
  </si>
  <si>
    <t>Figur 4  Forsikringsforpliktelser i livsforsikring -  produkter med investeringsvalg pr. 31.03.</t>
  </si>
  <si>
    <t>Figur 5  Netto tilflytting livprodukter  -  produkter uten investeringsvalg pr. 31.03.</t>
  </si>
  <si>
    <t>Figur 6  Netto tilflytting livprodukter  -  produkter med investeringsvalg pr. 31.03.</t>
  </si>
  <si>
    <t>Figur 2  Brutto forfalt premie livprodukter  -  produkter med investeringsvalg pr. 31.03.</t>
  </si>
  <si>
    <t>31.3.2019</t>
  </si>
  <si>
    <t>31.3.2020</t>
  </si>
  <si>
    <t>31.3.</t>
  </si>
  <si>
    <t>WaterCircles Forsikring</t>
  </si>
  <si>
    <t>Landkreditt Forsikring AS</t>
  </si>
  <si>
    <t>Landkreditt Forsikring</t>
  </si>
  <si>
    <t>WaterCircles F</t>
  </si>
  <si>
    <t>Frende Skadefors</t>
  </si>
  <si>
    <t>Landkreditt Fors</t>
  </si>
  <si>
    <t>Tryg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</si>
</sst>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_ * #,##0_ ;_ * \-#,##0_ ;_ * &quot;-&quot;??_ ;_ @_ "/>
    <numFmt numFmtId="167" formatCode="dd/mm/yy;@"/>
    <numFmt numFmtId="168" formatCode="0;\-0;;@"/>
    <numFmt numFmtId="169" formatCode="0.0"/>
    <numFmt numFmtId="170" formatCode="#,##0_ ;\-#,##0\ "/>
    <numFmt numFmtId="171" formatCode="_ * #,##0_ ;_ * \-#,##0_ ;_ * &quot;&quot;??_ ;_ @_ "/>
    <numFmt numFmtId="172" formatCode="_ * #,##0.0_ ;_ * \-#,##0.0_ ;_ * &quot;&quot;??_ ;_ @_ "/>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14"/>
      <color indexed="23"/>
      <name val="Times New Roman"/>
      <family val="1"/>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u/>
      <sz val="12"/>
      <name val="Times New Roman"/>
      <family val="1"/>
    </font>
    <font>
      <b/>
      <sz val="12"/>
      <color rgb="FFFF0000"/>
      <name val="Times New Roman"/>
      <family val="1"/>
    </font>
    <font>
      <sz val="10"/>
      <color theme="0"/>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850">
    <xf numFmtId="0" fontId="0" fillId="0" borderId="0"/>
    <xf numFmtId="0" fontId="19" fillId="0" borderId="0"/>
    <xf numFmtId="164" fontId="25" fillId="0" borderId="0" applyFont="0" applyFill="0" applyBorder="0" applyAlignment="0" applyProtection="0"/>
    <xf numFmtId="0" fontId="43" fillId="0" borderId="0" applyNumberFormat="0" applyFill="0" applyBorder="0" applyAlignment="0" applyProtection="0">
      <alignment vertical="top"/>
      <protection locked="0"/>
    </xf>
    <xf numFmtId="0" fontId="12" fillId="0" borderId="0"/>
    <xf numFmtId="0" fontId="19" fillId="0" borderId="0"/>
    <xf numFmtId="0" fontId="11" fillId="0" borderId="0"/>
    <xf numFmtId="0" fontId="19" fillId="0" borderId="0"/>
    <xf numFmtId="0" fontId="10" fillId="0" borderId="0"/>
    <xf numFmtId="0" fontId="19" fillId="0" borderId="0"/>
    <xf numFmtId="0" fontId="25" fillId="0" borderId="0"/>
    <xf numFmtId="0" fontId="10" fillId="0" borderId="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0" fillId="0" borderId="0" applyFont="0" applyFill="0" applyBorder="0" applyAlignment="0" applyProtection="0"/>
    <xf numFmtId="164" fontId="19" fillId="0" borderId="0" applyFont="0" applyFill="0" applyBorder="0" applyAlignment="0" applyProtection="0"/>
    <xf numFmtId="0" fontId="10" fillId="0" borderId="0"/>
    <xf numFmtId="0" fontId="19" fillId="0" borderId="0"/>
    <xf numFmtId="0" fontId="19" fillId="0" borderId="0"/>
    <xf numFmtId="164" fontId="19"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9"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9" fillId="0" borderId="0"/>
    <xf numFmtId="164" fontId="19"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9"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9" fillId="0" borderId="0"/>
    <xf numFmtId="164" fontId="19"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9" fillId="5" borderId="16" applyNumberFormat="0" applyFont="0" applyAlignment="0" applyProtection="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164" fontId="25" fillId="0" borderId="0" applyFont="0" applyFill="0" applyBorder="0" applyAlignment="0" applyProtection="0"/>
    <xf numFmtId="0" fontId="10"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6" borderId="0" applyNumberFormat="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6" borderId="0" applyNumberFormat="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0" fontId="2" fillId="0" borderId="0"/>
    <xf numFmtId="164" fontId="19"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6" borderId="0" applyNumberFormat="0" applyBorder="0" applyAlignment="0" applyProtection="0"/>
    <xf numFmtId="164" fontId="19"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 fillId="7" borderId="0" applyNumberFormat="0" applyBorder="0" applyAlignment="0" applyProtection="0"/>
    <xf numFmtId="0" fontId="14" fillId="0" borderId="0"/>
    <xf numFmtId="171" fontId="15" fillId="0" borderId="7" applyFont="0" applyFill="0" applyBorder="0" applyAlignment="0" applyProtection="0">
      <alignment horizontal="right"/>
    </xf>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cellStyleXfs>
  <cellXfs count="765">
    <xf numFmtId="0" fontId="0" fillId="0" borderId="0" xfId="0"/>
    <xf numFmtId="0" fontId="17" fillId="0" borderId="0" xfId="1" applyFont="1"/>
    <xf numFmtId="0" fontId="23" fillId="0" borderId="0" xfId="1" applyFont="1"/>
    <xf numFmtId="0" fontId="17" fillId="0" borderId="0" xfId="1" applyFont="1" applyFill="1"/>
    <xf numFmtId="0" fontId="17" fillId="0" borderId="0" xfId="1" applyFont="1" applyBorder="1"/>
    <xf numFmtId="49" fontId="17" fillId="0" borderId="0" xfId="1" applyNumberFormat="1" applyFont="1" applyFill="1" applyBorder="1" applyAlignment="1">
      <alignment horizontal="center"/>
    </xf>
    <xf numFmtId="165" fontId="17" fillId="0" borderId="0" xfId="1" applyNumberFormat="1" applyFont="1" applyFill="1" applyBorder="1"/>
    <xf numFmtId="0" fontId="17" fillId="0" borderId="0" xfId="1" applyFont="1" applyFill="1" applyBorder="1"/>
    <xf numFmtId="0" fontId="17" fillId="0" borderId="0" xfId="1" applyFont="1" applyFill="1" applyAlignment="1">
      <alignment horizontal="left"/>
    </xf>
    <xf numFmtId="165" fontId="15" fillId="3" borderId="5" xfId="1" applyNumberFormat="1" applyFont="1" applyFill="1" applyBorder="1" applyAlignment="1">
      <alignment horizontal="right"/>
    </xf>
    <xf numFmtId="0" fontId="17" fillId="0" borderId="6" xfId="1" applyFont="1" applyBorder="1"/>
    <xf numFmtId="165" fontId="15" fillId="3" borderId="2" xfId="1" applyNumberFormat="1" applyFont="1" applyFill="1" applyBorder="1" applyAlignment="1">
      <alignment horizontal="right"/>
    </xf>
    <xf numFmtId="0" fontId="15" fillId="0" borderId="4" xfId="1" applyFont="1" applyBorder="1"/>
    <xf numFmtId="0" fontId="15" fillId="0" borderId="3" xfId="1" applyFont="1" applyBorder="1"/>
    <xf numFmtId="0" fontId="15" fillId="0" borderId="7" xfId="1" applyFont="1" applyBorder="1"/>
    <xf numFmtId="0" fontId="15" fillId="0" borderId="6" xfId="1" applyFont="1" applyBorder="1" applyAlignment="1">
      <alignment horizontal="center"/>
    </xf>
    <xf numFmtId="0" fontId="15" fillId="0" borderId="11" xfId="1" applyFont="1" applyBorder="1" applyAlignment="1">
      <alignment horizontal="center"/>
    </xf>
    <xf numFmtId="0" fontId="15" fillId="0" borderId="5" xfId="1" applyFont="1" applyBorder="1" applyAlignment="1">
      <alignment horizontal="center"/>
    </xf>
    <xf numFmtId="0" fontId="15" fillId="0" borderId="11" xfId="1" applyFont="1" applyBorder="1"/>
    <xf numFmtId="0" fontId="15" fillId="0" borderId="7" xfId="1" applyFont="1" applyBorder="1" applyAlignment="1">
      <alignment horizontal="center"/>
    </xf>
    <xf numFmtId="14" fontId="16" fillId="0" borderId="4" xfId="1" applyNumberFormat="1" applyFont="1" applyBorder="1" applyAlignment="1">
      <alignment horizontal="center"/>
    </xf>
    <xf numFmtId="0" fontId="17" fillId="0" borderId="3" xfId="1" applyFont="1" applyBorder="1"/>
    <xf numFmtId="165" fontId="17" fillId="3" borderId="6" xfId="1" applyNumberFormat="1" applyFont="1" applyFill="1" applyBorder="1" applyAlignment="1">
      <alignment horizontal="right"/>
    </xf>
    <xf numFmtId="165" fontId="17" fillId="3" borderId="3" xfId="1" applyNumberFormat="1" applyFont="1" applyFill="1" applyBorder="1" applyAlignment="1">
      <alignment horizontal="right"/>
    </xf>
    <xf numFmtId="165" fontId="15" fillId="3" borderId="3" xfId="1" applyNumberFormat="1" applyFont="1" applyFill="1" applyBorder="1" applyAlignment="1">
      <alignment horizontal="right"/>
    </xf>
    <xf numFmtId="165" fontId="17" fillId="0" borderId="0" xfId="1" applyNumberFormat="1" applyFont="1" applyBorder="1"/>
    <xf numFmtId="3" fontId="17" fillId="0" borderId="0" xfId="1" applyNumberFormat="1" applyFont="1" applyBorder="1"/>
    <xf numFmtId="165" fontId="17" fillId="3" borderId="2" xfId="1" applyNumberFormat="1" applyFont="1" applyFill="1" applyBorder="1" applyAlignment="1">
      <alignment horizontal="right"/>
    </xf>
    <xf numFmtId="0" fontId="14" fillId="0" borderId="0" xfId="1" applyFont="1"/>
    <xf numFmtId="0" fontId="21" fillId="0" borderId="0" xfId="1" applyFont="1"/>
    <xf numFmtId="0" fontId="14" fillId="0" borderId="0" xfId="1" applyFont="1" applyFill="1"/>
    <xf numFmtId="0" fontId="14" fillId="0" borderId="0" xfId="1" applyFont="1" applyFill="1" applyBorder="1"/>
    <xf numFmtId="165" fontId="15" fillId="0" borderId="0" xfId="1" applyNumberFormat="1" applyFont="1" applyFill="1" applyBorder="1" applyAlignment="1">
      <alignment horizontal="right"/>
    </xf>
    <xf numFmtId="3" fontId="17" fillId="0" borderId="0" xfId="1" applyNumberFormat="1" applyFont="1" applyFill="1" applyBorder="1" applyAlignment="1">
      <alignment horizontal="center"/>
    </xf>
    <xf numFmtId="165" fontId="17" fillId="0" borderId="0" xfId="1" applyNumberFormat="1" applyFont="1" applyFill="1" applyBorder="1" applyAlignment="1">
      <alignment horizontal="right"/>
    </xf>
    <xf numFmtId="49" fontId="17" fillId="0" borderId="0" xfId="1" applyNumberFormat="1" applyFont="1" applyFill="1" applyBorder="1" applyAlignment="1">
      <alignment horizontal="right"/>
    </xf>
    <xf numFmtId="165" fontId="15" fillId="3" borderId="6" xfId="1" applyNumberFormat="1" applyFont="1" applyFill="1" applyBorder="1" applyAlignment="1">
      <alignment horizontal="right"/>
    </xf>
    <xf numFmtId="3" fontId="17" fillId="0" borderId="0" xfId="1" quotePrefix="1" applyNumberFormat="1" applyFont="1" applyFill="1" applyBorder="1" applyAlignment="1">
      <alignment horizontal="center"/>
    </xf>
    <xf numFmtId="0" fontId="17" fillId="0" borderId="3" xfId="1" applyFont="1" applyFill="1" applyBorder="1"/>
    <xf numFmtId="0" fontId="15" fillId="0" borderId="3" xfId="1" applyFont="1" applyFill="1" applyBorder="1"/>
    <xf numFmtId="0" fontId="15" fillId="0" borderId="0" xfId="1" applyFont="1" applyFill="1" applyBorder="1" applyAlignment="1">
      <alignment horizontal="center"/>
    </xf>
    <xf numFmtId="0" fontId="15" fillId="0" borderId="6" xfId="1" applyFont="1" applyBorder="1"/>
    <xf numFmtId="14" fontId="16" fillId="0" borderId="0" xfId="1" applyNumberFormat="1" applyFont="1" applyFill="1" applyBorder="1" applyAlignment="1">
      <alignment horizontal="center"/>
    </xf>
    <xf numFmtId="0" fontId="15" fillId="0" borderId="0" xfId="1" applyFont="1"/>
    <xf numFmtId="3" fontId="17" fillId="0" borderId="3" xfId="1" applyNumberFormat="1" applyFont="1" applyFill="1" applyBorder="1" applyAlignment="1">
      <alignment horizontal="right"/>
    </xf>
    <xf numFmtId="3" fontId="17" fillId="0" borderId="6" xfId="1" applyNumberFormat="1" applyFont="1" applyFill="1" applyBorder="1" applyAlignment="1">
      <alignment horizontal="right"/>
    </xf>
    <xf numFmtId="0" fontId="17" fillId="0" borderId="6" xfId="1" applyFont="1" applyFill="1" applyBorder="1"/>
    <xf numFmtId="0" fontId="15" fillId="0" borderId="0" xfId="1" applyFont="1" applyBorder="1"/>
    <xf numFmtId="3" fontId="18" fillId="0" borderId="0" xfId="1" applyNumberFormat="1" applyFont="1" applyFill="1" applyBorder="1" applyAlignment="1">
      <alignment horizontal="right"/>
    </xf>
    <xf numFmtId="0" fontId="17" fillId="0" borderId="4" xfId="1" applyFont="1" applyFill="1" applyBorder="1"/>
    <xf numFmtId="0" fontId="17" fillId="0" borderId="0" xfId="1" applyFont="1" applyFill="1" applyAlignment="1">
      <alignment horizontal="right"/>
    </xf>
    <xf numFmtId="0" fontId="19" fillId="0" borderId="0" xfId="1"/>
    <xf numFmtId="0" fontId="26" fillId="0" borderId="0" xfId="1" applyFont="1"/>
    <xf numFmtId="0" fontId="0" fillId="0" borderId="0" xfId="1" applyFont="1"/>
    <xf numFmtId="0" fontId="27" fillId="0" borderId="0" xfId="1" applyFont="1" applyAlignment="1">
      <alignment horizontal="right"/>
    </xf>
    <xf numFmtId="0" fontId="28" fillId="0" borderId="0" xfId="1" applyFont="1" applyAlignment="1">
      <alignment horizontal="left"/>
    </xf>
    <xf numFmtId="0" fontId="29" fillId="0" borderId="0" xfId="1" applyFont="1" applyAlignment="1">
      <alignment horizontal="left"/>
    </xf>
    <xf numFmtId="0" fontId="30" fillId="0" borderId="0" xfId="1" applyFont="1" applyAlignment="1">
      <alignment horizontal="left"/>
    </xf>
    <xf numFmtId="0" fontId="31" fillId="0" borderId="0" xfId="1" applyFont="1" applyAlignment="1">
      <alignment horizontal="right"/>
    </xf>
    <xf numFmtId="0" fontId="19" fillId="0" borderId="0" xfId="1" applyAlignment="1">
      <alignment horizontal="right"/>
    </xf>
    <xf numFmtId="0" fontId="32" fillId="0" borderId="0" xfId="1" applyFont="1" applyAlignment="1">
      <alignment horizontal="left"/>
    </xf>
    <xf numFmtId="14" fontId="33" fillId="0" borderId="0" xfId="1" applyNumberFormat="1" applyFont="1" applyAlignment="1">
      <alignment horizontal="left"/>
    </xf>
    <xf numFmtId="0" fontId="33" fillId="0" borderId="0" xfId="1" applyFont="1" applyAlignment="1">
      <alignment horizontal="left"/>
    </xf>
    <xf numFmtId="0" fontId="34" fillId="0" borderId="0" xfId="1" applyFont="1" applyAlignment="1">
      <alignment vertical="center"/>
    </xf>
    <xf numFmtId="0" fontId="35" fillId="0" borderId="0" xfId="1" applyFont="1" applyAlignment="1">
      <alignment vertical="center"/>
    </xf>
    <xf numFmtId="0" fontId="36" fillId="0" borderId="0" xfId="1" applyFont="1"/>
    <xf numFmtId="14" fontId="37" fillId="0" borderId="0" xfId="1" applyNumberFormat="1" applyFont="1"/>
    <xf numFmtId="0" fontId="38" fillId="0" borderId="0" xfId="0" applyFont="1"/>
    <xf numFmtId="0" fontId="39" fillId="0" borderId="0" xfId="0" applyFont="1"/>
    <xf numFmtId="0" fontId="40" fillId="0" borderId="0" xfId="0" applyFont="1"/>
    <xf numFmtId="0" fontId="42" fillId="0" borderId="0" xfId="0" applyFont="1"/>
    <xf numFmtId="0" fontId="42" fillId="0" borderId="0" xfId="3" applyFont="1" applyAlignment="1" applyProtection="1"/>
    <xf numFmtId="0" fontId="44" fillId="0" borderId="0" xfId="0" applyFont="1"/>
    <xf numFmtId="0" fontId="17" fillId="0" borderId="0" xfId="3" applyFont="1" applyFill="1" applyAlignment="1" applyProtection="1"/>
    <xf numFmtId="0" fontId="30" fillId="0" borderId="0" xfId="0" applyFont="1"/>
    <xf numFmtId="0" fontId="45" fillId="0" borderId="0" xfId="0" applyFont="1"/>
    <xf numFmtId="0" fontId="46" fillId="0" borderId="0" xfId="0" applyFont="1"/>
    <xf numFmtId="3" fontId="30" fillId="0" borderId="0" xfId="0" applyNumberFormat="1" applyFont="1"/>
    <xf numFmtId="3" fontId="30" fillId="0" borderId="0" xfId="0" applyNumberFormat="1" applyFont="1" applyFill="1"/>
    <xf numFmtId="0" fontId="30" fillId="0" borderId="0" xfId="0" applyFont="1" applyFill="1"/>
    <xf numFmtId="0" fontId="41" fillId="0" borderId="0" xfId="0" applyFont="1"/>
    <xf numFmtId="0" fontId="36" fillId="0" borderId="0" xfId="0" applyFont="1"/>
    <xf numFmtId="14" fontId="13" fillId="0" borderId="13" xfId="0" applyNumberFormat="1" applyFont="1" applyFill="1" applyBorder="1" applyAlignment="1">
      <alignment horizontal="left"/>
    </xf>
    <xf numFmtId="0" fontId="30" fillId="0" borderId="10" xfId="0" applyFont="1" applyBorder="1"/>
    <xf numFmtId="0" fontId="30" fillId="0" borderId="8" xfId="0" applyFont="1" applyBorder="1"/>
    <xf numFmtId="0" fontId="30" fillId="0" borderId="9" xfId="0" applyFont="1" applyBorder="1"/>
    <xf numFmtId="0" fontId="30" fillId="0" borderId="3" xfId="0" applyFont="1" applyBorder="1"/>
    <xf numFmtId="0" fontId="17" fillId="0" borderId="0" xfId="0" applyFont="1"/>
    <xf numFmtId="3" fontId="45" fillId="0" borderId="7" xfId="0" applyNumberFormat="1" applyFont="1" applyFill="1" applyBorder="1"/>
    <xf numFmtId="0" fontId="45" fillId="0" borderId="0" xfId="0" applyFont="1" applyBorder="1" applyAlignment="1">
      <alignment horizontal="center"/>
    </xf>
    <xf numFmtId="0" fontId="45" fillId="0" borderId="3" xfId="0" applyFont="1" applyBorder="1" applyAlignment="1">
      <alignment horizontal="center"/>
    </xf>
    <xf numFmtId="3" fontId="45" fillId="0" borderId="3" xfId="0" applyNumberFormat="1" applyFont="1" applyFill="1" applyBorder="1"/>
    <xf numFmtId="0" fontId="15" fillId="0" borderId="4" xfId="0" applyFont="1" applyBorder="1" applyAlignment="1">
      <alignment horizontal="center"/>
    </xf>
    <xf numFmtId="0" fontId="15" fillId="0" borderId="1" xfId="0" applyFont="1" applyBorder="1" applyAlignment="1">
      <alignment horizontal="center"/>
    </xf>
    <xf numFmtId="0" fontId="15" fillId="0" borderId="7" xfId="0" applyFont="1" applyBorder="1" applyAlignment="1">
      <alignment horizontal="center"/>
    </xf>
    <xf numFmtId="0" fontId="15" fillId="0" borderId="3" xfId="0" applyFont="1" applyBorder="1" applyAlignment="1">
      <alignment horizontal="center"/>
    </xf>
    <xf numFmtId="3" fontId="48" fillId="4" borderId="6" xfId="0" applyNumberFormat="1" applyFont="1" applyFill="1" applyBorder="1"/>
    <xf numFmtId="0" fontId="13" fillId="0" borderId="11" xfId="0" applyFont="1" applyBorder="1" applyAlignment="1">
      <alignment horizontal="center"/>
    </xf>
    <xf numFmtId="0" fontId="15" fillId="0" borderId="11" xfId="0" applyFont="1" applyBorder="1" applyAlignment="1">
      <alignment horizontal="center"/>
    </xf>
    <xf numFmtId="0" fontId="15" fillId="0" borderId="6" xfId="0" applyFont="1" applyBorder="1" applyAlignment="1">
      <alignment horizontal="center"/>
    </xf>
    <xf numFmtId="0" fontId="15" fillId="0" borderId="0" xfId="0" applyFont="1" applyBorder="1" applyAlignment="1">
      <alignment horizontal="center"/>
    </xf>
    <xf numFmtId="0" fontId="45" fillId="0" borderId="3" xfId="0" applyFont="1" applyBorder="1"/>
    <xf numFmtId="0" fontId="30" fillId="0" borderId="1" xfId="0" applyFont="1" applyBorder="1"/>
    <xf numFmtId="3" fontId="30" fillId="0" borderId="4" xfId="0" applyNumberFormat="1" applyFont="1" applyBorder="1"/>
    <xf numFmtId="3" fontId="30" fillId="0" borderId="4" xfId="0" applyNumberFormat="1" applyFont="1" applyBorder="1" applyAlignment="1">
      <alignment horizontal="right"/>
    </xf>
    <xf numFmtId="3" fontId="30" fillId="0" borderId="4" xfId="0" applyNumberFormat="1" applyFont="1" applyFill="1" applyBorder="1"/>
    <xf numFmtId="3" fontId="30" fillId="0" borderId="4" xfId="0" applyNumberFormat="1" applyFont="1" applyFill="1" applyBorder="1" applyAlignment="1">
      <alignment horizontal="right"/>
    </xf>
    <xf numFmtId="0" fontId="30" fillId="0" borderId="3" xfId="0" applyFont="1" applyFill="1" applyBorder="1"/>
    <xf numFmtId="0" fontId="30" fillId="0" borderId="4" xfId="0" applyFont="1" applyFill="1" applyBorder="1"/>
    <xf numFmtId="3" fontId="45" fillId="0" borderId="4" xfId="0" applyNumberFormat="1" applyFont="1" applyBorder="1"/>
    <xf numFmtId="3" fontId="45" fillId="0" borderId="4" xfId="0" applyNumberFormat="1" applyFont="1" applyBorder="1" applyAlignment="1">
      <alignment horizontal="right"/>
    </xf>
    <xf numFmtId="0" fontId="15" fillId="0" borderId="0" xfId="0" applyFont="1"/>
    <xf numFmtId="0" fontId="30" fillId="0" borderId="0" xfId="0" applyFont="1" applyBorder="1"/>
    <xf numFmtId="0" fontId="45" fillId="0" borderId="6" xfId="0" applyFont="1" applyBorder="1"/>
    <xf numFmtId="3" fontId="45" fillId="0" borderId="11" xfId="0" applyNumberFormat="1" applyFont="1" applyBorder="1"/>
    <xf numFmtId="3" fontId="45" fillId="0" borderId="11" xfId="0" applyNumberFormat="1" applyFont="1" applyBorder="1" applyAlignment="1">
      <alignment horizontal="right"/>
    </xf>
    <xf numFmtId="0" fontId="30" fillId="0" borderId="0" xfId="0" applyFont="1" applyAlignment="1">
      <alignment horizontal="left"/>
    </xf>
    <xf numFmtId="0" fontId="45" fillId="0" borderId="0" xfId="0" applyFont="1" applyAlignment="1">
      <alignment horizontal="left"/>
    </xf>
    <xf numFmtId="0" fontId="30" fillId="0" borderId="14" xfId="0" applyFont="1" applyBorder="1"/>
    <xf numFmtId="0" fontId="30" fillId="0" borderId="15" xfId="0" applyFont="1" applyBorder="1"/>
    <xf numFmtId="167" fontId="45" fillId="0" borderId="7" xfId="0" applyNumberFormat="1" applyFont="1" applyBorder="1" applyAlignment="1">
      <alignment horizontal="left"/>
    </xf>
    <xf numFmtId="0" fontId="45" fillId="0" borderId="2" xfId="0" applyFont="1" applyBorder="1" applyAlignment="1">
      <alignment horizontal="center"/>
    </xf>
    <xf numFmtId="167" fontId="45" fillId="0" borderId="3" xfId="0" applyNumberFormat="1" applyFont="1" applyBorder="1" applyAlignment="1">
      <alignment horizontal="left"/>
    </xf>
    <xf numFmtId="0" fontId="45" fillId="0" borderId="4" xfId="0" applyFont="1" applyBorder="1" applyAlignment="1">
      <alignment horizontal="center"/>
    </xf>
    <xf numFmtId="0" fontId="45" fillId="0" borderId="1" xfId="0" applyFont="1" applyBorder="1" applyAlignment="1">
      <alignment horizontal="center"/>
    </xf>
    <xf numFmtId="0" fontId="15" fillId="0" borderId="2" xfId="0" applyFont="1" applyBorder="1" applyAlignment="1">
      <alignment horizontal="center"/>
    </xf>
    <xf numFmtId="167" fontId="50" fillId="0" borderId="6" xfId="0" applyNumberFormat="1" applyFont="1" applyBorder="1" applyAlignment="1">
      <alignment horizontal="left"/>
    </xf>
    <xf numFmtId="0" fontId="13" fillId="0" borderId="6" xfId="0" applyFont="1" applyBorder="1" applyAlignment="1">
      <alignment horizontal="center"/>
    </xf>
    <xf numFmtId="0" fontId="15" fillId="0" borderId="12" xfId="0" applyFont="1" applyBorder="1" applyAlignment="1">
      <alignment horizontal="center"/>
    </xf>
    <xf numFmtId="3" fontId="30" fillId="0" borderId="1" xfId="0" applyNumberFormat="1" applyFont="1" applyBorder="1"/>
    <xf numFmtId="3" fontId="30" fillId="0" borderId="2" xfId="0" applyNumberFormat="1" applyFont="1" applyBorder="1"/>
    <xf numFmtId="3" fontId="51" fillId="0" borderId="4" xfId="0" applyNumberFormat="1" applyFont="1" applyFill="1" applyBorder="1" applyAlignment="1">
      <alignment horizontal="right"/>
    </xf>
    <xf numFmtId="0" fontId="46" fillId="0" borderId="0" xfId="0" applyFont="1" applyFill="1"/>
    <xf numFmtId="0" fontId="52" fillId="0" borderId="0" xfId="0" applyFont="1" applyFill="1"/>
    <xf numFmtId="3" fontId="53" fillId="0" borderId="0" xfId="0" applyNumberFormat="1" applyFont="1"/>
    <xf numFmtId="0" fontId="53" fillId="0" borderId="0" xfId="0" applyFont="1"/>
    <xf numFmtId="0" fontId="53" fillId="0" borderId="0" xfId="0" applyFont="1" applyFill="1"/>
    <xf numFmtId="0" fontId="45" fillId="0" borderId="4" xfId="0" applyFont="1" applyBorder="1"/>
    <xf numFmtId="3" fontId="45" fillId="0" borderId="0" xfId="0" applyNumberFormat="1" applyFont="1" applyBorder="1" applyAlignment="1">
      <alignment horizontal="right"/>
    </xf>
    <xf numFmtId="3" fontId="30" fillId="0" borderId="0" xfId="0" applyNumberFormat="1" applyFont="1" applyBorder="1"/>
    <xf numFmtId="3" fontId="15" fillId="0" borderId="4" xfId="1" applyNumberFormat="1" applyFont="1" applyBorder="1"/>
    <xf numFmtId="0" fontId="0" fillId="0" borderId="0" xfId="0"/>
    <xf numFmtId="3" fontId="14" fillId="0" borderId="0" xfId="1" applyNumberFormat="1" applyFont="1" applyFill="1" applyBorder="1"/>
    <xf numFmtId="3" fontId="15" fillId="0" borderId="0" xfId="1" applyNumberFormat="1" applyFont="1"/>
    <xf numFmtId="3" fontId="15" fillId="0" borderId="1" xfId="1" applyNumberFormat="1" applyFont="1" applyBorder="1"/>
    <xf numFmtId="3" fontId="17" fillId="0" borderId="0" xfId="1" applyNumberFormat="1" applyFont="1" applyFill="1" applyBorder="1" applyAlignment="1">
      <alignment horizontal="right"/>
    </xf>
    <xf numFmtId="3" fontId="17" fillId="0" borderId="0" xfId="1" applyNumberFormat="1" applyFont="1" applyFill="1" applyBorder="1"/>
    <xf numFmtId="3" fontId="13" fillId="0" borderId="0" xfId="1" applyNumberFormat="1" applyFont="1"/>
    <xf numFmtId="3" fontId="17" fillId="0" borderId="0" xfId="1" applyNumberFormat="1" applyFont="1" applyFill="1"/>
    <xf numFmtId="3" fontId="17" fillId="0" borderId="0" xfId="1" applyNumberFormat="1" applyFont="1"/>
    <xf numFmtId="3" fontId="15" fillId="0" borderId="5" xfId="1" applyNumberFormat="1" applyFont="1" applyBorder="1" applyAlignment="1">
      <alignment horizontal="center"/>
    </xf>
    <xf numFmtId="3" fontId="21" fillId="0" borderId="0" xfId="1" applyNumberFormat="1" applyFont="1"/>
    <xf numFmtId="3" fontId="16" fillId="0" borderId="4" xfId="1" applyNumberFormat="1" applyFont="1" applyBorder="1" applyAlignment="1">
      <alignment horizontal="center"/>
    </xf>
    <xf numFmtId="3" fontId="17" fillId="0" borderId="4" xfId="1" applyNumberFormat="1" applyFont="1" applyFill="1" applyBorder="1"/>
    <xf numFmtId="3" fontId="14" fillId="0" borderId="0" xfId="1" applyNumberFormat="1" applyFont="1" applyFill="1"/>
    <xf numFmtId="3" fontId="17" fillId="0" borderId="0" xfId="1" applyNumberFormat="1" applyFont="1" applyAlignment="1">
      <alignment horizontal="left"/>
    </xf>
    <xf numFmtId="3" fontId="15" fillId="0" borderId="6" xfId="1" applyNumberFormat="1" applyFont="1" applyBorder="1" applyAlignment="1">
      <alignment horizontal="center"/>
    </xf>
    <xf numFmtId="3" fontId="14" fillId="0" borderId="0" xfId="1" applyNumberFormat="1" applyFont="1"/>
    <xf numFmtId="3" fontId="15" fillId="0" borderId="3" xfId="1" applyNumberFormat="1" applyFont="1" applyBorder="1"/>
    <xf numFmtId="3" fontId="15" fillId="0" borderId="0" xfId="1" applyNumberFormat="1" applyFont="1" applyFill="1" applyBorder="1" applyAlignment="1">
      <alignment horizontal="right"/>
    </xf>
    <xf numFmtId="3" fontId="15" fillId="3" borderId="2" xfId="1" applyNumberFormat="1" applyFont="1" applyFill="1" applyBorder="1" applyAlignment="1">
      <alignment horizontal="right"/>
    </xf>
    <xf numFmtId="3" fontId="15" fillId="0" borderId="11" xfId="1" applyNumberFormat="1" applyFont="1" applyBorder="1" applyAlignment="1">
      <alignment horizontal="center"/>
    </xf>
    <xf numFmtId="3" fontId="15" fillId="0" borderId="7" xfId="1" applyNumberFormat="1" applyFont="1" applyBorder="1" applyAlignment="1">
      <alignment horizontal="center"/>
    </xf>
    <xf numFmtId="3" fontId="13" fillId="0" borderId="12" xfId="1" applyNumberFormat="1" applyFont="1" applyBorder="1"/>
    <xf numFmtId="3" fontId="17" fillId="0" borderId="0" xfId="1" applyNumberFormat="1" applyFont="1" applyFill="1" applyAlignment="1">
      <alignment horizontal="left"/>
    </xf>
    <xf numFmtId="3" fontId="13" fillId="0" borderId="0" xfId="1" applyNumberFormat="1" applyFont="1" applyBorder="1"/>
    <xf numFmtId="3" fontId="17" fillId="3" borderId="3" xfId="1" applyNumberFormat="1" applyFont="1" applyFill="1" applyBorder="1" applyAlignment="1">
      <alignment horizontal="right"/>
    </xf>
    <xf numFmtId="3" fontId="17" fillId="3" borderId="6" xfId="1" applyNumberFormat="1" applyFont="1" applyFill="1" applyBorder="1" applyAlignment="1">
      <alignment horizontal="right"/>
    </xf>
    <xf numFmtId="3" fontId="15" fillId="0" borderId="0" xfId="1" applyNumberFormat="1" applyFont="1" applyBorder="1"/>
    <xf numFmtId="3" fontId="15" fillId="3" borderId="6" xfId="1" applyNumberFormat="1" applyFont="1" applyFill="1" applyBorder="1" applyAlignment="1">
      <alignment horizontal="right"/>
    </xf>
    <xf numFmtId="3" fontId="15" fillId="3" borderId="5" xfId="1" applyNumberFormat="1" applyFont="1" applyFill="1" applyBorder="1" applyAlignment="1">
      <alignment horizontal="right"/>
    </xf>
    <xf numFmtId="3" fontId="15" fillId="3" borderId="3" xfId="1" applyNumberFormat="1" applyFont="1" applyFill="1" applyBorder="1" applyAlignment="1">
      <alignment horizontal="right"/>
    </xf>
    <xf numFmtId="3" fontId="17" fillId="0" borderId="10" xfId="1" applyNumberFormat="1" applyFont="1" applyBorder="1" applyAlignment="1">
      <alignment horizontal="left"/>
    </xf>
    <xf numFmtId="3" fontId="15" fillId="0" borderId="0" xfId="1" applyNumberFormat="1" applyFont="1" applyFill="1" applyBorder="1" applyAlignment="1">
      <alignment horizontal="center"/>
    </xf>
    <xf numFmtId="3" fontId="16" fillId="0" borderId="0" xfId="1" applyNumberFormat="1" applyFont="1" applyFill="1" applyBorder="1" applyAlignment="1">
      <alignment horizontal="center"/>
    </xf>
    <xf numFmtId="3" fontId="17" fillId="3" borderId="2" xfId="1" applyNumberFormat="1" applyFont="1" applyFill="1" applyBorder="1" applyAlignment="1">
      <alignment horizontal="right"/>
    </xf>
    <xf numFmtId="3" fontId="30" fillId="0" borderId="3" xfId="0" applyNumberFormat="1" applyFont="1" applyBorder="1"/>
    <xf numFmtId="3" fontId="30" fillId="0" borderId="3" xfId="0" applyNumberFormat="1" applyFont="1" applyFill="1" applyBorder="1"/>
    <xf numFmtId="3" fontId="45" fillId="0" borderId="3" xfId="0" applyNumberFormat="1" applyFont="1" applyBorder="1"/>
    <xf numFmtId="3" fontId="45" fillId="0" borderId="0" xfId="0" applyNumberFormat="1" applyFont="1" applyBorder="1"/>
    <xf numFmtId="3" fontId="30" fillId="0" borderId="4" xfId="2" applyNumberFormat="1" applyFont="1" applyBorder="1"/>
    <xf numFmtId="3" fontId="45" fillId="0" borderId="6" xfId="0" applyNumberFormat="1" applyFont="1" applyBorder="1"/>
    <xf numFmtId="3" fontId="30" fillId="0" borderId="0" xfId="0" applyNumberFormat="1" applyFont="1" applyBorder="1" applyAlignment="1">
      <alignment horizontal="right"/>
    </xf>
    <xf numFmtId="3" fontId="51" fillId="0" borderId="0" xfId="0" applyNumberFormat="1" applyFont="1" applyFill="1" applyBorder="1" applyAlignment="1">
      <alignment horizontal="right"/>
    </xf>
    <xf numFmtId="0" fontId="13" fillId="0" borderId="4" xfId="0" applyFont="1" applyBorder="1" applyAlignment="1">
      <alignment horizontal="center"/>
    </xf>
    <xf numFmtId="0" fontId="13" fillId="0" borderId="3" xfId="0" applyFont="1" applyBorder="1" applyAlignment="1">
      <alignment horizontal="center"/>
    </xf>
    <xf numFmtId="0" fontId="30" fillId="0" borderId="0" xfId="0" applyFont="1" applyFill="1" applyBorder="1"/>
    <xf numFmtId="3" fontId="17" fillId="2" borderId="3" xfId="1" applyNumberFormat="1" applyFont="1" applyFill="1" applyBorder="1" applyAlignment="1">
      <alignment horizontal="right"/>
    </xf>
    <xf numFmtId="0" fontId="17" fillId="0" borderId="0" xfId="0" applyFont="1" applyFill="1" applyBorder="1"/>
    <xf numFmtId="3" fontId="22" fillId="0" borderId="4" xfId="1" applyNumberFormat="1" applyFont="1" applyFill="1" applyBorder="1" applyAlignment="1">
      <alignment horizontal="right"/>
    </xf>
    <xf numFmtId="3" fontId="22" fillId="0" borderId="3" xfId="1" applyNumberFormat="1" applyFont="1" applyFill="1" applyBorder="1" applyAlignment="1">
      <alignment horizontal="right"/>
    </xf>
    <xf numFmtId="3" fontId="17" fillId="0" borderId="4" xfId="1" quotePrefix="1" applyNumberFormat="1" applyFont="1" applyFill="1" applyBorder="1" applyAlignment="1">
      <alignment horizontal="right"/>
    </xf>
    <xf numFmtId="167" fontId="45" fillId="0" borderId="4" xfId="0" applyNumberFormat="1" applyFont="1" applyBorder="1" applyAlignment="1">
      <alignment horizontal="left"/>
    </xf>
    <xf numFmtId="0" fontId="30" fillId="0" borderId="4" xfId="0" applyFont="1" applyBorder="1"/>
    <xf numFmtId="0" fontId="51" fillId="0" borderId="4" xfId="0" applyFont="1" applyFill="1" applyBorder="1"/>
    <xf numFmtId="0" fontId="45" fillId="0" borderId="11" xfId="0" applyFont="1" applyBorder="1"/>
    <xf numFmtId="3" fontId="30" fillId="0" borderId="3" xfId="0" applyNumberFormat="1" applyFont="1" applyBorder="1" applyAlignment="1">
      <alignment horizontal="right"/>
    </xf>
    <xf numFmtId="3" fontId="51" fillId="0" borderId="3" xfId="0" applyNumberFormat="1" applyFont="1" applyFill="1" applyBorder="1" applyAlignment="1">
      <alignment horizontal="right"/>
    </xf>
    <xf numFmtId="3" fontId="45" fillId="0" borderId="3" xfId="0" applyNumberFormat="1" applyFont="1" applyBorder="1" applyAlignment="1">
      <alignment horizontal="right"/>
    </xf>
    <xf numFmtId="3" fontId="45" fillId="0" borderId="6" xfId="0" applyNumberFormat="1" applyFont="1" applyBorder="1" applyAlignment="1">
      <alignment horizontal="right"/>
    </xf>
    <xf numFmtId="0" fontId="36" fillId="0" borderId="4" xfId="0" applyFont="1" applyBorder="1" applyAlignment="1">
      <alignment horizontal="right"/>
    </xf>
    <xf numFmtId="3" fontId="30" fillId="0" borderId="7" xfId="0" applyNumberFormat="1" applyFont="1" applyBorder="1" applyAlignment="1">
      <alignment horizontal="right"/>
    </xf>
    <xf numFmtId="3" fontId="30" fillId="0" borderId="14" xfId="0" applyNumberFormat="1" applyFont="1" applyBorder="1" applyAlignment="1">
      <alignment horizontal="right"/>
    </xf>
    <xf numFmtId="0" fontId="36" fillId="0" borderId="3" xfId="0" applyFont="1" applyBorder="1" applyAlignment="1">
      <alignment horizontal="right"/>
    </xf>
    <xf numFmtId="3" fontId="30" fillId="0" borderId="6" xfId="0" applyNumberFormat="1" applyFont="1" applyBorder="1" applyAlignment="1">
      <alignment horizontal="right"/>
    </xf>
    <xf numFmtId="3" fontId="15" fillId="0" borderId="0" xfId="0" applyNumberFormat="1" applyFont="1"/>
    <xf numFmtId="3" fontId="15" fillId="0" borderId="4" xfId="1" applyNumberFormat="1" applyFont="1" applyBorder="1" applyAlignment="1">
      <alignment horizontal="center"/>
    </xf>
    <xf numFmtId="3" fontId="17" fillId="0" borderId="0" xfId="0" applyNumberFormat="1" applyFont="1" applyBorder="1"/>
    <xf numFmtId="3" fontId="17" fillId="0" borderId="0" xfId="0" applyNumberFormat="1" applyFont="1"/>
    <xf numFmtId="3" fontId="15" fillId="0" borderId="0" xfId="0" applyNumberFormat="1" applyFont="1" applyBorder="1"/>
    <xf numFmtId="3" fontId="17" fillId="0" borderId="0" xfId="0" applyNumberFormat="1" applyFont="1" applyFill="1" applyBorder="1"/>
    <xf numFmtId="0" fontId="17" fillId="8" borderId="1" xfId="0" applyFont="1" applyFill="1" applyBorder="1"/>
    <xf numFmtId="0" fontId="17" fillId="8" borderId="15" xfId="0" applyFont="1" applyFill="1" applyBorder="1"/>
    <xf numFmtId="0" fontId="17" fillId="8" borderId="14" xfId="0" applyFont="1" applyFill="1" applyBorder="1"/>
    <xf numFmtId="0" fontId="15" fillId="8" borderId="1" xfId="0" applyFont="1" applyFill="1" applyBorder="1" applyAlignment="1">
      <alignment horizontal="center"/>
    </xf>
    <xf numFmtId="0" fontId="15" fillId="8" borderId="15" xfId="0" applyFont="1" applyFill="1" applyBorder="1" applyAlignment="1">
      <alignment horizontal="center"/>
    </xf>
    <xf numFmtId="0" fontId="15" fillId="8" borderId="14" xfId="0" applyFont="1" applyFill="1" applyBorder="1" applyAlignment="1">
      <alignment horizontal="center"/>
    </xf>
    <xf numFmtId="0" fontId="15" fillId="8" borderId="11" xfId="0" applyFont="1" applyFill="1" applyBorder="1" applyAlignment="1">
      <alignment horizontal="center"/>
    </xf>
    <xf numFmtId="0" fontId="15" fillId="8" borderId="5" xfId="0" applyFont="1" applyFill="1" applyBorder="1" applyAlignment="1">
      <alignment horizontal="center"/>
    </xf>
    <xf numFmtId="0" fontId="15" fillId="8" borderId="12" xfId="0" applyFont="1" applyFill="1" applyBorder="1" applyAlignment="1">
      <alignment horizontal="center"/>
    </xf>
    <xf numFmtId="0" fontId="15" fillId="8" borderId="3" xfId="0" applyFont="1" applyFill="1" applyBorder="1"/>
    <xf numFmtId="3" fontId="17" fillId="8" borderId="2" xfId="0" applyNumberFormat="1" applyFont="1" applyFill="1" applyBorder="1"/>
    <xf numFmtId="3" fontId="17" fillId="8" borderId="7" xfId="0" applyNumberFormat="1" applyFont="1" applyFill="1" applyBorder="1"/>
    <xf numFmtId="3" fontId="17" fillId="8" borderId="3" xfId="0" applyNumberFormat="1" applyFont="1" applyFill="1" applyBorder="1"/>
    <xf numFmtId="0" fontId="15" fillId="8" borderId="3" xfId="0" applyFont="1" applyFill="1" applyBorder="1" applyAlignment="1">
      <alignment horizontal="center"/>
    </xf>
    <xf numFmtId="0" fontId="15" fillId="8" borderId="2" xfId="0" applyFont="1" applyFill="1" applyBorder="1" applyAlignment="1">
      <alignment horizontal="center"/>
    </xf>
    <xf numFmtId="0" fontId="17" fillId="8" borderId="2" xfId="0" applyFont="1" applyFill="1" applyBorder="1"/>
    <xf numFmtId="0" fontId="17" fillId="8" borderId="3" xfId="0" applyFont="1" applyFill="1" applyBorder="1"/>
    <xf numFmtId="3" fontId="17" fillId="8" borderId="2" xfId="2" applyNumberFormat="1" applyFont="1" applyFill="1" applyBorder="1"/>
    <xf numFmtId="3" fontId="15" fillId="8" borderId="6" xfId="0" applyNumberFormat="1" applyFont="1" applyFill="1" applyBorder="1"/>
    <xf numFmtId="3" fontId="15" fillId="8" borderId="5" xfId="0" applyNumberFormat="1" applyFont="1" applyFill="1" applyBorder="1"/>
    <xf numFmtId="3" fontId="30" fillId="0" borderId="2" xfId="0" quotePrefix="1" applyNumberFormat="1" applyFont="1" applyBorder="1" applyAlignment="1">
      <alignment horizontal="right"/>
    </xf>
    <xf numFmtId="0" fontId="36" fillId="0" borderId="1" xfId="0" applyFont="1" applyBorder="1" applyAlignment="1">
      <alignment horizontal="right"/>
    </xf>
    <xf numFmtId="3" fontId="30" fillId="0" borderId="3" xfId="0" quotePrefix="1" applyNumberFormat="1" applyFont="1" applyBorder="1" applyAlignment="1">
      <alignment horizontal="right"/>
    </xf>
    <xf numFmtId="3" fontId="17" fillId="0" borderId="2" xfId="1" applyNumberFormat="1" applyFont="1" applyFill="1" applyBorder="1" applyAlignment="1">
      <alignment horizontal="right"/>
    </xf>
    <xf numFmtId="3" fontId="17" fillId="2" borderId="2" xfId="1" applyNumberFormat="1" applyFont="1" applyFill="1" applyBorder="1" applyAlignment="1">
      <alignment horizontal="right"/>
    </xf>
    <xf numFmtId="3" fontId="15" fillId="0" borderId="3" xfId="1" applyNumberFormat="1" applyFont="1" applyFill="1" applyBorder="1" applyAlignment="1">
      <alignment horizontal="right"/>
    </xf>
    <xf numFmtId="3" fontId="17" fillId="0" borderId="2" xfId="1" quotePrefix="1" applyNumberFormat="1" applyFont="1" applyFill="1" applyBorder="1" applyAlignment="1">
      <alignment horizontal="right"/>
    </xf>
    <xf numFmtId="3" fontId="17" fillId="0" borderId="6" xfId="1" quotePrefix="1" applyNumberFormat="1" applyFont="1" applyFill="1" applyBorder="1" applyAlignment="1">
      <alignment horizontal="right"/>
    </xf>
    <xf numFmtId="3" fontId="17" fillId="0" borderId="5" xfId="1" quotePrefix="1" applyNumberFormat="1" applyFont="1" applyFill="1" applyBorder="1" applyAlignment="1">
      <alignment horizontal="right"/>
    </xf>
    <xf numFmtId="3" fontId="17" fillId="3" borderId="0" xfId="1" applyNumberFormat="1" applyFont="1" applyFill="1" applyBorder="1" applyAlignment="1">
      <alignment horizontal="right"/>
    </xf>
    <xf numFmtId="165" fontId="55" fillId="7" borderId="3" xfId="844" applyNumberFormat="1" applyFont="1" applyBorder="1" applyAlignment="1">
      <alignment horizontal="right"/>
    </xf>
    <xf numFmtId="3" fontId="45" fillId="0" borderId="2" xfId="0" applyNumberFormat="1" applyFont="1" applyBorder="1"/>
    <xf numFmtId="3" fontId="13" fillId="0" borderId="9" xfId="1" applyNumberFormat="1" applyFont="1" applyBorder="1" applyAlignment="1">
      <alignment horizontal="center"/>
    </xf>
    <xf numFmtId="3" fontId="16" fillId="0" borderId="6" xfId="1" applyNumberFormat="1" applyFont="1" applyBorder="1" applyAlignment="1">
      <alignment horizontal="center"/>
    </xf>
    <xf numFmtId="3" fontId="15" fillId="0" borderId="3" xfId="1" applyNumberFormat="1" applyFont="1" applyBorder="1" applyAlignment="1">
      <alignment horizontal="center"/>
    </xf>
    <xf numFmtId="3" fontId="15" fillId="0" borderId="2" xfId="1" applyNumberFormat="1" applyFont="1" applyBorder="1" applyAlignment="1">
      <alignment horizontal="center"/>
    </xf>
    <xf numFmtId="3" fontId="13" fillId="0" borderId="1" xfId="1" applyNumberFormat="1" applyFont="1" applyBorder="1"/>
    <xf numFmtId="0" fontId="17" fillId="0" borderId="6" xfId="0" applyFont="1" applyBorder="1"/>
    <xf numFmtId="0" fontId="15" fillId="0" borderId="3" xfId="1" applyFont="1" applyBorder="1" applyAlignment="1">
      <alignment horizontal="center"/>
    </xf>
    <xf numFmtId="0" fontId="15" fillId="0" borderId="15" xfId="1" applyFont="1" applyBorder="1" applyAlignment="1">
      <alignment horizontal="center"/>
    </xf>
    <xf numFmtId="0" fontId="17" fillId="0" borderId="5" xfId="1" applyFont="1" applyFill="1" applyBorder="1"/>
    <xf numFmtId="0" fontId="17" fillId="0" borderId="9" xfId="1" applyFont="1" applyFill="1" applyBorder="1"/>
    <xf numFmtId="168" fontId="17" fillId="0" borderId="0" xfId="1" applyNumberFormat="1" applyFont="1" applyFill="1" applyBorder="1" applyAlignment="1">
      <alignment horizontal="center"/>
    </xf>
    <xf numFmtId="168" fontId="17" fillId="3" borderId="3" xfId="1" applyNumberFormat="1" applyFont="1" applyFill="1" applyBorder="1" applyAlignment="1">
      <alignment horizontal="right"/>
    </xf>
    <xf numFmtId="168" fontId="17" fillId="3" borderId="6" xfId="1" applyNumberFormat="1" applyFont="1" applyFill="1" applyBorder="1" applyAlignment="1">
      <alignment horizontal="right"/>
    </xf>
    <xf numFmtId="0" fontId="45" fillId="0" borderId="0" xfId="0" applyFont="1" applyBorder="1"/>
    <xf numFmtId="0" fontId="45" fillId="0" borderId="7" xfId="0" applyFont="1" applyBorder="1"/>
    <xf numFmtId="14" fontId="13" fillId="0" borderId="6" xfId="0" applyNumberFormat="1" applyFont="1" applyFill="1" applyBorder="1" applyAlignment="1">
      <alignment horizontal="left"/>
    </xf>
    <xf numFmtId="14" fontId="13" fillId="0" borderId="3" xfId="0" applyNumberFormat="1" applyFont="1" applyFill="1" applyBorder="1" applyAlignment="1">
      <alignment horizontal="center"/>
    </xf>
    <xf numFmtId="167" fontId="15" fillId="0" borderId="4" xfId="0" applyNumberFormat="1" applyFont="1" applyBorder="1" applyAlignment="1">
      <alignment horizontal="center"/>
    </xf>
    <xf numFmtId="167" fontId="15" fillId="0" borderId="11" xfId="0" applyNumberFormat="1" applyFont="1" applyBorder="1" applyAlignment="1">
      <alignment horizontal="center"/>
    </xf>
    <xf numFmtId="0" fontId="15" fillId="0" borderId="5" xfId="0" applyFont="1" applyBorder="1" applyAlignment="1">
      <alignment horizontal="center"/>
    </xf>
    <xf numFmtId="165" fontId="45" fillId="0" borderId="4" xfId="0" applyNumberFormat="1" applyFont="1" applyBorder="1" applyAlignment="1">
      <alignment horizontal="right"/>
    </xf>
    <xf numFmtId="165" fontId="45" fillId="0" borderId="3" xfId="0" applyNumberFormat="1" applyFont="1" applyBorder="1" applyAlignment="1">
      <alignment horizontal="right"/>
    </xf>
    <xf numFmtId="165" fontId="30" fillId="0" borderId="4" xfId="0" applyNumberFormat="1" applyFont="1" applyBorder="1" applyAlignment="1">
      <alignment horizontal="right"/>
    </xf>
    <xf numFmtId="165" fontId="30" fillId="0" borderId="3" xfId="0" applyNumberFormat="1" applyFont="1" applyBorder="1" applyAlignment="1">
      <alignment horizontal="right"/>
    </xf>
    <xf numFmtId="165" fontId="30" fillId="0" borderId="4" xfId="0" applyNumberFormat="1" applyFont="1" applyFill="1" applyBorder="1" applyAlignment="1">
      <alignment horizontal="right"/>
    </xf>
    <xf numFmtId="0" fontId="30" fillId="0" borderId="11" xfId="0" applyFont="1" applyBorder="1"/>
    <xf numFmtId="3" fontId="30" fillId="0" borderId="11" xfId="0" applyNumberFormat="1" applyFont="1" applyBorder="1"/>
    <xf numFmtId="165" fontId="30" fillId="0" borderId="11" xfId="0" applyNumberFormat="1" applyFont="1" applyBorder="1" applyAlignment="1">
      <alignment horizontal="right"/>
    </xf>
    <xf numFmtId="165" fontId="30" fillId="0" borderId="6" xfId="0" applyNumberFormat="1" applyFont="1" applyBorder="1" applyAlignment="1">
      <alignment horizontal="right"/>
    </xf>
    <xf numFmtId="3" fontId="45" fillId="0" borderId="3" xfId="0" applyNumberFormat="1" applyFont="1" applyFill="1" applyBorder="1" applyAlignment="1">
      <alignment horizontal="right"/>
    </xf>
    <xf numFmtId="0" fontId="42" fillId="9" borderId="0" xfId="0" applyFont="1" applyFill="1"/>
    <xf numFmtId="0" fontId="66" fillId="0" borderId="0" xfId="3" applyFont="1" applyAlignment="1" applyProtection="1"/>
    <xf numFmtId="0" fontId="41" fillId="0" borderId="0" xfId="0" applyFont="1" applyFill="1" applyAlignment="1">
      <alignment horizontal="center"/>
    </xf>
    <xf numFmtId="3" fontId="15" fillId="0" borderId="6" xfId="1" applyNumberFormat="1" applyFont="1" applyFill="1" applyBorder="1" applyAlignment="1">
      <alignment horizontal="right"/>
    </xf>
    <xf numFmtId="3" fontId="67" fillId="0" borderId="4" xfId="1" applyNumberFormat="1" applyFont="1" applyFill="1" applyBorder="1" applyAlignment="1">
      <alignment horizontal="right"/>
    </xf>
    <xf numFmtId="3" fontId="67" fillId="0" borderId="3" xfId="1" applyNumberFormat="1" applyFont="1" applyFill="1" applyBorder="1" applyAlignment="1">
      <alignment horizontal="right"/>
    </xf>
    <xf numFmtId="3" fontId="67" fillId="0" borderId="11" xfId="1" applyNumberFormat="1" applyFont="1" applyFill="1" applyBorder="1" applyAlignment="1">
      <alignment horizontal="right"/>
    </xf>
    <xf numFmtId="3" fontId="67" fillId="0" borderId="6" xfId="1" applyNumberFormat="1" applyFont="1" applyFill="1" applyBorder="1" applyAlignment="1">
      <alignment horizontal="right"/>
    </xf>
    <xf numFmtId="3" fontId="17" fillId="0" borderId="3" xfId="2" applyNumberFormat="1" applyFont="1" applyFill="1" applyBorder="1" applyAlignment="1">
      <alignment horizontal="right"/>
    </xf>
    <xf numFmtId="3" fontId="17" fillId="0" borderId="4" xfId="2" applyNumberFormat="1" applyFont="1" applyFill="1" applyBorder="1" applyAlignment="1">
      <alignment horizontal="right"/>
    </xf>
    <xf numFmtId="3" fontId="17" fillId="0" borderId="6" xfId="2" applyNumberFormat="1" applyFont="1" applyFill="1" applyBorder="1" applyAlignment="1">
      <alignment horizontal="right"/>
    </xf>
    <xf numFmtId="3" fontId="17" fillId="0" borderId="11" xfId="2" applyNumberFormat="1" applyFont="1" applyFill="1" applyBorder="1" applyAlignment="1">
      <alignment horizontal="right"/>
    </xf>
    <xf numFmtId="3" fontId="17" fillId="2" borderId="3" xfId="2" applyNumberFormat="1" applyFont="1" applyFill="1" applyBorder="1" applyAlignment="1">
      <alignment horizontal="right"/>
    </xf>
    <xf numFmtId="3" fontId="17" fillId="2" borderId="4" xfId="2" applyNumberFormat="1" applyFont="1" applyFill="1" applyBorder="1" applyAlignment="1">
      <alignment horizontal="right"/>
    </xf>
    <xf numFmtId="3" fontId="17" fillId="0" borderId="4" xfId="1" applyNumberFormat="1" applyFont="1" applyFill="1" applyBorder="1" applyAlignment="1">
      <alignment horizontal="right"/>
    </xf>
    <xf numFmtId="3" fontId="17" fillId="0" borderId="11" xfId="1" applyNumberFormat="1" applyFont="1" applyFill="1" applyBorder="1" applyAlignment="1">
      <alignment horizontal="right"/>
    </xf>
    <xf numFmtId="3" fontId="17" fillId="2" borderId="0" xfId="1" applyNumberFormat="1" applyFont="1" applyFill="1" applyBorder="1" applyAlignment="1">
      <alignment horizontal="right"/>
    </xf>
    <xf numFmtId="3" fontId="17" fillId="0" borderId="3" xfId="2" applyNumberFormat="1" applyFont="1" applyBorder="1" applyAlignment="1">
      <alignment horizontal="right"/>
    </xf>
    <xf numFmtId="3" fontId="17" fillId="0" borderId="4" xfId="2" applyNumberFormat="1" applyFont="1" applyBorder="1" applyAlignment="1">
      <alignment horizontal="right"/>
    </xf>
    <xf numFmtId="3" fontId="22" fillId="0" borderId="2" xfId="1" applyNumberFormat="1" applyFont="1" applyFill="1" applyBorder="1" applyAlignment="1">
      <alignment horizontal="right"/>
    </xf>
    <xf numFmtId="3" fontId="22" fillId="0" borderId="0" xfId="1" applyNumberFormat="1" applyFont="1" applyFill="1" applyBorder="1" applyAlignment="1">
      <alignment horizontal="right"/>
    </xf>
    <xf numFmtId="3" fontId="18" fillId="2" borderId="2" xfId="1" applyNumberFormat="1" applyFont="1" applyFill="1" applyBorder="1" applyAlignment="1">
      <alignment horizontal="right"/>
    </xf>
    <xf numFmtId="3" fontId="18" fillId="2" borderId="0" xfId="1" applyNumberFormat="1" applyFont="1" applyFill="1" applyBorder="1" applyAlignment="1">
      <alignment horizontal="right"/>
    </xf>
    <xf numFmtId="3" fontId="17" fillId="0" borderId="3" xfId="2" applyNumberFormat="1" applyFont="1" applyBorder="1" applyAlignment="1">
      <alignment horizontal="left"/>
    </xf>
    <xf numFmtId="0" fontId="13" fillId="0" borderId="0" xfId="1" applyFont="1" applyBorder="1" applyAlignment="1">
      <alignment horizontal="center"/>
    </xf>
    <xf numFmtId="0" fontId="13" fillId="0" borderId="0" xfId="1" applyFont="1" applyFill="1" applyBorder="1" applyAlignment="1">
      <alignment horizontal="center"/>
    </xf>
    <xf numFmtId="3" fontId="13" fillId="0" borderId="0" xfId="1" applyNumberFormat="1" applyFont="1" applyBorder="1" applyAlignment="1">
      <alignment horizontal="center"/>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3" fillId="0" borderId="0" xfId="1" applyNumberFormat="1" applyFont="1" applyFill="1" applyBorder="1" applyAlignment="1">
      <alignment horizontal="center"/>
    </xf>
    <xf numFmtId="3" fontId="13" fillId="0" borderId="12" xfId="1" applyNumberFormat="1" applyFont="1" applyBorder="1" applyAlignment="1">
      <alignment horizontal="center"/>
    </xf>
    <xf numFmtId="3" fontId="15" fillId="0" borderId="9" xfId="1" applyNumberFormat="1" applyFont="1" applyBorder="1" applyAlignment="1">
      <alignment horizontal="center"/>
    </xf>
    <xf numFmtId="3" fontId="15" fillId="0" borderId="1" xfId="1" applyNumberFormat="1" applyFont="1" applyBorder="1" applyAlignment="1">
      <alignment horizontal="center"/>
    </xf>
    <xf numFmtId="3" fontId="15" fillId="0" borderId="7" xfId="2" applyNumberFormat="1" applyFont="1" applyFill="1" applyBorder="1" applyAlignment="1">
      <alignment horizontal="right"/>
    </xf>
    <xf numFmtId="3" fontId="15" fillId="0" borderId="1" xfId="2" applyNumberFormat="1" applyFont="1" applyFill="1" applyBorder="1" applyAlignment="1">
      <alignment horizontal="right"/>
    </xf>
    <xf numFmtId="3" fontId="15" fillId="0" borderId="2" xfId="1" applyNumberFormat="1" applyFont="1" applyFill="1" applyBorder="1" applyAlignment="1">
      <alignment horizontal="right"/>
    </xf>
    <xf numFmtId="3" fontId="15" fillId="0" borderId="4" xfId="1" applyNumberFormat="1" applyFont="1" applyFill="1" applyBorder="1" applyAlignment="1">
      <alignment horizontal="right"/>
    </xf>
    <xf numFmtId="3" fontId="15" fillId="0" borderId="3" xfId="2" applyNumberFormat="1" applyFont="1" applyFill="1" applyBorder="1" applyAlignment="1">
      <alignment horizontal="right"/>
    </xf>
    <xf numFmtId="3" fontId="15" fillId="0" borderId="4" xfId="2" applyNumberFormat="1" applyFont="1" applyFill="1" applyBorder="1" applyAlignment="1">
      <alignment horizontal="right"/>
    </xf>
    <xf numFmtId="3" fontId="15" fillId="0" borderId="6" xfId="2" applyNumberFormat="1" applyFont="1" applyFill="1" applyBorder="1" applyAlignment="1">
      <alignment horizontal="right"/>
    </xf>
    <xf numFmtId="3" fontId="15" fillId="0" borderId="11" xfId="2" applyNumberFormat="1" applyFont="1" applyFill="1" applyBorder="1" applyAlignment="1">
      <alignment horizontal="right"/>
    </xf>
    <xf numFmtId="3" fontId="15" fillId="0" borderId="5" xfId="1" applyNumberFormat="1" applyFont="1" applyFill="1" applyBorder="1" applyAlignment="1">
      <alignment horizontal="right"/>
    </xf>
    <xf numFmtId="3" fontId="15" fillId="0" borderId="11" xfId="1" applyNumberFormat="1" applyFont="1" applyFill="1" applyBorder="1" applyAlignment="1">
      <alignment horizontal="right"/>
    </xf>
    <xf numFmtId="3" fontId="15" fillId="0" borderId="7" xfId="1" applyNumberFormat="1" applyFont="1" applyFill="1" applyBorder="1" applyAlignment="1">
      <alignment horizontal="right"/>
    </xf>
    <xf numFmtId="3" fontId="15" fillId="0" borderId="1" xfId="1" applyNumberFormat="1" applyFont="1" applyFill="1" applyBorder="1" applyAlignment="1">
      <alignment horizontal="right"/>
    </xf>
    <xf numFmtId="3" fontId="15" fillId="0" borderId="15" xfId="1" applyNumberFormat="1" applyFont="1" applyFill="1" applyBorder="1" applyAlignment="1">
      <alignment horizontal="right"/>
    </xf>
    <xf numFmtId="3" fontId="15" fillId="2" borderId="2" xfId="1" applyNumberFormat="1" applyFont="1" applyFill="1" applyBorder="1" applyAlignment="1">
      <alignment horizontal="right"/>
    </xf>
    <xf numFmtId="3" fontId="15" fillId="2" borderId="0" xfId="1" applyNumberFormat="1" applyFont="1" applyFill="1" applyBorder="1" applyAlignment="1">
      <alignment horizontal="right"/>
    </xf>
    <xf numFmtId="3" fontId="15" fillId="2" borderId="4" xfId="1" applyNumberFormat="1" applyFont="1" applyFill="1" applyBorder="1" applyAlignment="1">
      <alignment horizontal="right"/>
    </xf>
    <xf numFmtId="3" fontId="15" fillId="2" borderId="5" xfId="1" applyNumberFormat="1" applyFont="1" applyFill="1" applyBorder="1" applyAlignment="1">
      <alignment horizontal="right"/>
    </xf>
    <xf numFmtId="3" fontId="15" fillId="2" borderId="11" xfId="1" applyNumberFormat="1" applyFont="1" applyFill="1" applyBorder="1" applyAlignment="1">
      <alignment horizontal="right"/>
    </xf>
    <xf numFmtId="3" fontId="15" fillId="2" borderId="3" xfId="1" applyNumberFormat="1" applyFont="1" applyFill="1" applyBorder="1" applyAlignment="1">
      <alignment horizontal="right"/>
    </xf>
    <xf numFmtId="3" fontId="15" fillId="2" borderId="2" xfId="1" quotePrefix="1" applyNumberFormat="1" applyFont="1" applyFill="1" applyBorder="1" applyAlignment="1">
      <alignment horizontal="right"/>
    </xf>
    <xf numFmtId="3" fontId="15" fillId="2" borderId="6" xfId="1" applyNumberFormat="1" applyFont="1" applyFill="1" applyBorder="1" applyAlignment="1">
      <alignment horizontal="right"/>
    </xf>
    <xf numFmtId="14" fontId="16" fillId="0" borderId="10" xfId="1" applyNumberFormat="1" applyFont="1" applyBorder="1" applyAlignment="1"/>
    <xf numFmtId="0" fontId="0" fillId="0" borderId="8" xfId="0" applyBorder="1" applyAlignment="1"/>
    <xf numFmtId="3" fontId="15" fillId="0" borderId="2" xfId="1" quotePrefix="1" applyNumberFormat="1" applyFont="1" applyFill="1" applyBorder="1" applyAlignment="1">
      <alignment horizontal="right"/>
    </xf>
    <xf numFmtId="0" fontId="56" fillId="0" borderId="0" xfId="1" applyFont="1" applyFill="1"/>
    <xf numFmtId="0" fontId="14" fillId="0" borderId="0" xfId="1" applyFont="1" applyFill="1" applyAlignment="1">
      <alignment horizontal="right" vertical="top"/>
    </xf>
    <xf numFmtId="0" fontId="14" fillId="0" borderId="0" xfId="1" applyFont="1" applyAlignment="1">
      <alignment vertical="top" wrapText="1"/>
    </xf>
    <xf numFmtId="0" fontId="14" fillId="0" borderId="0" xfId="1" applyFont="1" applyFill="1" applyAlignment="1">
      <alignment horizontal="right"/>
    </xf>
    <xf numFmtId="0" fontId="14" fillId="0" borderId="0" xfId="1" applyFont="1" applyFill="1" applyAlignment="1">
      <alignment vertical="top" wrapText="1"/>
    </xf>
    <xf numFmtId="0" fontId="23" fillId="0" borderId="0" xfId="1" applyFont="1" applyFill="1"/>
    <xf numFmtId="0" fontId="14" fillId="0" borderId="0" xfId="1" applyFont="1" applyFill="1" applyAlignment="1">
      <alignment wrapText="1"/>
    </xf>
    <xf numFmtId="0" fontId="13" fillId="0" borderId="0" xfId="1" applyFont="1" applyFill="1" applyAlignment="1">
      <alignment horizontal="left"/>
    </xf>
    <xf numFmtId="3" fontId="30" fillId="4" borderId="3" xfId="0" applyNumberFormat="1" applyFont="1" applyFill="1" applyBorder="1" applyAlignment="1" applyProtection="1">
      <alignment horizontal="right"/>
      <protection locked="0"/>
    </xf>
    <xf numFmtId="0" fontId="68" fillId="0" borderId="0" xfId="0" applyFont="1" applyAlignment="1">
      <alignment horizontal="left" vertical="center" readingOrder="1"/>
    </xf>
    <xf numFmtId="0" fontId="17" fillId="0" borderId="0" xfId="1" applyFont="1" applyFill="1" applyBorder="1" applyAlignment="1">
      <alignment horizontal="left"/>
    </xf>
    <xf numFmtId="0" fontId="70" fillId="0" borderId="0" xfId="1" applyFont="1" applyFill="1" applyAlignment="1">
      <alignment horizontal="left"/>
    </xf>
    <xf numFmtId="0" fontId="18" fillId="0" borderId="0" xfId="1" applyFont="1" applyFill="1"/>
    <xf numFmtId="0" fontId="42" fillId="9" borderId="0" xfId="3" applyFont="1" applyFill="1" applyAlignment="1" applyProtection="1"/>
    <xf numFmtId="0" fontId="64" fillId="0" borderId="0" xfId="0" applyFont="1" applyFill="1"/>
    <xf numFmtId="0" fontId="65" fillId="0" borderId="0" xfId="0" applyFont="1" applyFill="1"/>
    <xf numFmtId="0" fontId="42" fillId="0" borderId="0" xfId="0" applyFont="1" applyFill="1"/>
    <xf numFmtId="0" fontId="40" fillId="0" borderId="0" xfId="0" applyFont="1" applyFill="1"/>
    <xf numFmtId="0" fontId="38" fillId="0" borderId="0" xfId="0" applyFont="1" applyFill="1"/>
    <xf numFmtId="0" fontId="42" fillId="0" borderId="0" xfId="3" applyFont="1" applyFill="1" applyAlignment="1" applyProtection="1"/>
    <xf numFmtId="3" fontId="15" fillId="3" borderId="7" xfId="1" applyNumberFormat="1" applyFont="1" applyFill="1" applyBorder="1" applyAlignment="1">
      <alignment horizontal="right"/>
    </xf>
    <xf numFmtId="0" fontId="72" fillId="0" borderId="0" xfId="1" applyFont="1" applyBorder="1" applyAlignment="1">
      <alignment horizontal="left"/>
    </xf>
    <xf numFmtId="3" fontId="67" fillId="0" borderId="2" xfId="1" applyNumberFormat="1" applyFont="1" applyFill="1" applyBorder="1" applyAlignment="1">
      <alignment horizontal="right"/>
    </xf>
    <xf numFmtId="3" fontId="59" fillId="0" borderId="2" xfId="1" applyNumberFormat="1" applyFont="1" applyFill="1" applyBorder="1" applyAlignment="1">
      <alignment horizontal="right"/>
    </xf>
    <xf numFmtId="0" fontId="71" fillId="0" borderId="0" xfId="0" applyFont="1" applyFill="1" applyAlignment="1">
      <alignment horizontal="left" vertical="center" readingOrder="1"/>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5" fillId="0" borderId="9" xfId="1" applyNumberFormat="1" applyFont="1" applyBorder="1" applyAlignment="1">
      <alignment horizontal="center"/>
    </xf>
    <xf numFmtId="3" fontId="13" fillId="0" borderId="12" xfId="1" applyNumberFormat="1" applyFont="1" applyBorder="1" applyAlignment="1">
      <alignment horizontal="center"/>
    </xf>
    <xf numFmtId="3" fontId="13" fillId="0" borderId="0" xfId="1" applyNumberFormat="1" applyFont="1" applyBorder="1" applyAlignment="1">
      <alignment horizontal="center"/>
    </xf>
    <xf numFmtId="3" fontId="13" fillId="0" borderId="0" xfId="1" applyNumberFormat="1" applyFont="1" applyFill="1" applyBorder="1" applyAlignment="1">
      <alignment horizontal="center"/>
    </xf>
    <xf numFmtId="3" fontId="13" fillId="0" borderId="14" xfId="1" applyNumberFormat="1" applyFont="1" applyFill="1" applyBorder="1" applyAlignment="1">
      <alignment horizontal="center"/>
    </xf>
    <xf numFmtId="171" fontId="15" fillId="0" borderId="7" xfId="846" applyFont="1" applyFill="1" applyBorder="1" applyAlignment="1">
      <alignment horizontal="right"/>
    </xf>
    <xf numFmtId="171" fontId="15" fillId="0" borderId="1" xfId="846" applyFont="1" applyFill="1" applyBorder="1" applyAlignment="1">
      <alignment horizontal="right"/>
    </xf>
    <xf numFmtId="171" fontId="17" fillId="0" borderId="3" xfId="846" applyFont="1" applyBorder="1" applyAlignment="1">
      <alignment horizontal="right"/>
    </xf>
    <xf numFmtId="171" fontId="17" fillId="0" borderId="3" xfId="846" applyFont="1" applyFill="1" applyBorder="1" applyAlignment="1">
      <alignment horizontal="right"/>
    </xf>
    <xf numFmtId="171" fontId="17" fillId="0" borderId="4" xfId="846" applyFont="1" applyFill="1" applyBorder="1" applyAlignment="1">
      <alignment horizontal="right"/>
    </xf>
    <xf numFmtId="171" fontId="15" fillId="0" borderId="3" xfId="846" applyFont="1" applyFill="1" applyBorder="1" applyAlignment="1">
      <alignment horizontal="right"/>
    </xf>
    <xf numFmtId="171" fontId="15" fillId="0" borderId="4" xfId="846" applyFont="1" applyFill="1" applyBorder="1" applyAlignment="1">
      <alignment horizontal="right"/>
    </xf>
    <xf numFmtId="171" fontId="15" fillId="0" borderId="6" xfId="846" applyFont="1" applyFill="1" applyBorder="1" applyAlignment="1">
      <alignment horizontal="right"/>
    </xf>
    <xf numFmtId="171" fontId="15" fillId="0" borderId="11" xfId="846" applyFont="1" applyFill="1" applyBorder="1" applyAlignment="1">
      <alignment horizontal="right"/>
    </xf>
    <xf numFmtId="171" fontId="17" fillId="3" borderId="7" xfId="846" applyFont="1" applyFill="1" applyBorder="1" applyAlignment="1">
      <alignment horizontal="right"/>
    </xf>
    <xf numFmtId="171" fontId="17" fillId="3" borderId="2" xfId="846" applyFont="1" applyFill="1" applyBorder="1" applyAlignment="1">
      <alignment horizontal="right"/>
    </xf>
    <xf numFmtId="171" fontId="15" fillId="0" borderId="2" xfId="846" applyFont="1" applyFill="1" applyBorder="1" applyAlignment="1">
      <alignment horizontal="right"/>
    </xf>
    <xf numFmtId="171" fontId="17" fillId="3" borderId="3" xfId="846" applyFont="1" applyFill="1" applyBorder="1" applyAlignment="1">
      <alignment horizontal="right"/>
    </xf>
    <xf numFmtId="171" fontId="17" fillId="2" borderId="3" xfId="846" applyFont="1" applyFill="1" applyBorder="1" applyAlignment="1">
      <alignment horizontal="right"/>
    </xf>
    <xf numFmtId="171" fontId="17" fillId="2" borderId="4" xfId="846" applyFont="1" applyFill="1" applyBorder="1" applyAlignment="1">
      <alignment horizontal="right"/>
    </xf>
    <xf numFmtId="171" fontId="17" fillId="0" borderId="2" xfId="846" applyFont="1" applyFill="1" applyBorder="1" applyAlignment="1">
      <alignment horizontal="right"/>
    </xf>
    <xf numFmtId="171" fontId="17" fillId="3" borderId="6" xfId="846" applyFont="1" applyFill="1" applyBorder="1" applyAlignment="1">
      <alignment horizontal="right"/>
    </xf>
    <xf numFmtId="171" fontId="15" fillId="0" borderId="5" xfId="846" applyFont="1" applyFill="1" applyBorder="1" applyAlignment="1">
      <alignment horizontal="right"/>
    </xf>
    <xf numFmtId="171" fontId="15" fillId="0" borderId="15" xfId="846" applyFont="1" applyFill="1" applyBorder="1" applyAlignment="1">
      <alignment horizontal="right"/>
    </xf>
    <xf numFmtId="171" fontId="15" fillId="2" borderId="2" xfId="846" applyFont="1" applyFill="1" applyBorder="1" applyAlignment="1">
      <alignment horizontal="right"/>
    </xf>
    <xf numFmtId="171" fontId="15" fillId="2" borderId="0" xfId="846" applyFont="1" applyFill="1" applyBorder="1" applyAlignment="1">
      <alignment horizontal="right"/>
    </xf>
    <xf numFmtId="171" fontId="15" fillId="2" borderId="4" xfId="846" applyFont="1" applyFill="1" applyBorder="1" applyAlignment="1">
      <alignment horizontal="right"/>
    </xf>
    <xf numFmtId="171" fontId="15" fillId="2" borderId="5" xfId="846" applyFont="1" applyFill="1" applyBorder="1" applyAlignment="1">
      <alignment horizontal="right"/>
    </xf>
    <xf numFmtId="171" fontId="15" fillId="2" borderId="11" xfId="846" applyFont="1" applyFill="1" applyBorder="1" applyAlignment="1">
      <alignment horizontal="right"/>
    </xf>
    <xf numFmtId="171" fontId="17" fillId="0" borderId="4" xfId="846" applyFont="1" applyBorder="1" applyAlignment="1">
      <alignment horizontal="right"/>
    </xf>
    <xf numFmtId="171" fontId="17" fillId="0" borderId="6" xfId="846" applyFont="1" applyFill="1" applyBorder="1" applyAlignment="1">
      <alignment horizontal="right"/>
    </xf>
    <xf numFmtId="171" fontId="17" fillId="0" borderId="11" xfId="846" applyFont="1" applyFill="1" applyBorder="1" applyAlignment="1">
      <alignment horizontal="right"/>
    </xf>
    <xf numFmtId="171" fontId="67" fillId="0" borderId="2" xfId="846" applyFont="1" applyFill="1" applyBorder="1" applyAlignment="1">
      <alignment horizontal="right"/>
    </xf>
    <xf numFmtId="171" fontId="17" fillId="0" borderId="0" xfId="846" applyFont="1" applyFill="1" applyBorder="1" applyAlignment="1">
      <alignment horizontal="right"/>
    </xf>
    <xf numFmtId="171" fontId="22" fillId="0" borderId="2" xfId="846" applyFont="1" applyFill="1" applyBorder="1" applyAlignment="1">
      <alignment horizontal="right"/>
    </xf>
    <xf numFmtId="171" fontId="22" fillId="0" borderId="0" xfId="846" applyFont="1" applyFill="1" applyBorder="1" applyAlignment="1">
      <alignment horizontal="right"/>
    </xf>
    <xf numFmtId="171" fontId="18" fillId="2" borderId="2" xfId="846" applyFont="1" applyFill="1" applyBorder="1" applyAlignment="1">
      <alignment horizontal="right"/>
    </xf>
    <xf numFmtId="171" fontId="18" fillId="2" borderId="0" xfId="846" applyFont="1" applyFill="1" applyBorder="1" applyAlignment="1">
      <alignment horizontal="right"/>
    </xf>
    <xf numFmtId="171" fontId="17" fillId="2" borderId="2" xfId="846" applyFont="1" applyFill="1" applyBorder="1" applyAlignment="1">
      <alignment horizontal="right"/>
    </xf>
    <xf numFmtId="171" fontId="17" fillId="2" borderId="0" xfId="846" applyFont="1" applyFill="1" applyBorder="1" applyAlignment="1">
      <alignment horizontal="right"/>
    </xf>
    <xf numFmtId="171" fontId="15" fillId="0" borderId="0" xfId="846" applyFont="1" applyFill="1" applyBorder="1" applyAlignment="1">
      <alignment horizontal="right"/>
    </xf>
    <xf numFmtId="171" fontId="17" fillId="3" borderId="5" xfId="846" applyFont="1" applyFill="1" applyBorder="1" applyAlignment="1">
      <alignment horizontal="right"/>
    </xf>
    <xf numFmtId="171" fontId="17" fillId="3" borderId="0" xfId="846" applyFont="1" applyFill="1" applyBorder="1" applyAlignment="1">
      <alignment horizontal="right"/>
    </xf>
    <xf numFmtId="171" fontId="17" fillId="3" borderId="1" xfId="846" applyFont="1" applyFill="1" applyBorder="1" applyAlignment="1">
      <alignment horizontal="right"/>
    </xf>
    <xf numFmtId="171" fontId="17" fillId="3" borderId="4" xfId="846" applyFont="1" applyFill="1" applyBorder="1" applyAlignment="1">
      <alignment horizontal="right"/>
    </xf>
    <xf numFmtId="171" fontId="17" fillId="3" borderId="11" xfId="846" applyFont="1" applyFill="1" applyBorder="1" applyAlignment="1">
      <alignment horizontal="right"/>
    </xf>
    <xf numFmtId="3" fontId="13" fillId="0" borderId="12" xfId="1" applyNumberFormat="1" applyFont="1" applyBorder="1" applyAlignment="1">
      <alignment horizontal="center"/>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3" fillId="0" borderId="0" xfId="1" applyNumberFormat="1" applyFont="1" applyBorder="1" applyAlignment="1">
      <alignment horizontal="center"/>
    </xf>
    <xf numFmtId="3" fontId="13" fillId="0" borderId="0" xfId="1" applyNumberFormat="1" applyFont="1" applyFill="1" applyBorder="1" applyAlignment="1">
      <alignment horizontal="center"/>
    </xf>
    <xf numFmtId="3" fontId="15" fillId="0" borderId="9" xfId="1" applyNumberFormat="1" applyFont="1" applyBorder="1" applyAlignment="1">
      <alignment horizontal="center"/>
    </xf>
    <xf numFmtId="165" fontId="30" fillId="0" borderId="3" xfId="0" applyNumberFormat="1" applyFont="1" applyBorder="1"/>
    <xf numFmtId="165" fontId="45" fillId="0" borderId="3" xfId="0" applyNumberFormat="1" applyFont="1" applyBorder="1"/>
    <xf numFmtId="165" fontId="30" fillId="0" borderId="3" xfId="0" applyNumberFormat="1" applyFont="1" applyFill="1" applyBorder="1"/>
    <xf numFmtId="165" fontId="45" fillId="0" borderId="6" xfId="0" applyNumberFormat="1" applyFont="1" applyBorder="1"/>
    <xf numFmtId="172" fontId="17" fillId="3" borderId="2" xfId="846" applyNumberFormat="1" applyFont="1" applyFill="1" applyBorder="1" applyAlignment="1">
      <alignment horizontal="right"/>
    </xf>
    <xf numFmtId="172" fontId="17" fillId="3" borderId="3" xfId="846" applyNumberFormat="1" applyFont="1" applyFill="1" applyBorder="1" applyAlignment="1">
      <alignment horizontal="right"/>
    </xf>
    <xf numFmtId="172" fontId="17" fillId="3" borderId="6" xfId="846" applyNumberFormat="1" applyFont="1" applyFill="1" applyBorder="1" applyAlignment="1">
      <alignment horizontal="right"/>
    </xf>
    <xf numFmtId="165" fontId="15" fillId="0" borderId="6" xfId="1" applyNumberFormat="1" applyFont="1" applyBorder="1" applyAlignment="1">
      <alignment horizontal="center"/>
    </xf>
    <xf numFmtId="165" fontId="17" fillId="3" borderId="0" xfId="1" applyNumberFormat="1" applyFont="1" applyFill="1" applyBorder="1" applyAlignment="1">
      <alignment horizontal="right"/>
    </xf>
    <xf numFmtId="165" fontId="17" fillId="3" borderId="5" xfId="1" applyNumberFormat="1" applyFont="1" applyFill="1" applyBorder="1" applyAlignment="1">
      <alignment horizontal="right"/>
    </xf>
    <xf numFmtId="0" fontId="17" fillId="0" borderId="4" xfId="1" applyFont="1" applyBorder="1"/>
    <xf numFmtId="0" fontId="15" fillId="0" borderId="0" xfId="1" applyFont="1" applyFill="1"/>
    <xf numFmtId="49" fontId="15" fillId="0" borderId="0" xfId="1" applyNumberFormat="1" applyFont="1" applyFill="1" applyBorder="1" applyAlignment="1">
      <alignment horizontal="right"/>
    </xf>
    <xf numFmtId="49" fontId="15" fillId="0" borderId="0" xfId="1" applyNumberFormat="1" applyFont="1" applyFill="1" applyBorder="1" applyAlignment="1">
      <alignment horizontal="center"/>
    </xf>
    <xf numFmtId="3" fontId="15" fillId="0" borderId="0" xfId="1" quotePrefix="1" applyNumberFormat="1" applyFont="1" applyFill="1" applyBorder="1" applyAlignment="1">
      <alignment horizontal="center"/>
    </xf>
    <xf numFmtId="171" fontId="15" fillId="3" borderId="7" xfId="846" applyFont="1" applyFill="1" applyBorder="1" applyAlignment="1">
      <alignment horizontal="right"/>
    </xf>
    <xf numFmtId="172" fontId="15" fillId="3" borderId="2" xfId="846" applyNumberFormat="1" applyFont="1" applyFill="1" applyBorder="1" applyAlignment="1">
      <alignment horizontal="right"/>
    </xf>
    <xf numFmtId="3" fontId="15" fillId="0" borderId="0" xfId="1" applyNumberFormat="1" applyFont="1" applyFill="1"/>
    <xf numFmtId="168" fontId="15" fillId="3" borderId="7" xfId="1" applyNumberFormat="1" applyFont="1" applyFill="1" applyBorder="1" applyAlignment="1">
      <alignment horizontal="right"/>
    </xf>
    <xf numFmtId="168" fontId="15" fillId="3" borderId="3" xfId="1" applyNumberFormat="1" applyFont="1" applyFill="1" applyBorder="1" applyAlignment="1">
      <alignment horizontal="right"/>
    </xf>
    <xf numFmtId="168" fontId="15" fillId="3" borderId="6" xfId="1" applyNumberFormat="1" applyFont="1" applyFill="1" applyBorder="1" applyAlignment="1">
      <alignment horizontal="right"/>
    </xf>
    <xf numFmtId="3" fontId="15" fillId="3" borderId="0" xfId="1" applyNumberFormat="1" applyFont="1" applyFill="1" applyBorder="1" applyAlignment="1">
      <alignment horizontal="right"/>
    </xf>
    <xf numFmtId="3" fontId="15" fillId="3" borderId="1" xfId="1" applyNumberFormat="1" applyFont="1" applyFill="1" applyBorder="1" applyAlignment="1">
      <alignment horizontal="right"/>
    </xf>
    <xf numFmtId="3" fontId="15" fillId="3" borderId="4" xfId="1" applyNumberFormat="1" applyFont="1" applyFill="1" applyBorder="1" applyAlignment="1">
      <alignment horizontal="right"/>
    </xf>
    <xf numFmtId="3" fontId="15" fillId="3" borderId="11" xfId="1" applyNumberFormat="1" applyFont="1" applyFill="1" applyBorder="1" applyAlignment="1">
      <alignment horizontal="right"/>
    </xf>
    <xf numFmtId="165" fontId="15" fillId="3" borderId="0" xfId="1" applyNumberFormat="1" applyFont="1" applyFill="1" applyBorder="1" applyAlignment="1">
      <alignment horizontal="right"/>
    </xf>
    <xf numFmtId="0" fontId="13" fillId="0" borderId="0" xfId="1" applyFont="1" applyBorder="1" applyAlignment="1">
      <alignment horizontal="center"/>
    </xf>
    <xf numFmtId="3" fontId="60" fillId="4" borderId="3" xfId="0" applyNumberFormat="1" applyFont="1" applyFill="1" applyBorder="1" applyAlignment="1" applyProtection="1">
      <alignment horizontal="right"/>
      <protection locked="0"/>
    </xf>
    <xf numFmtId="3" fontId="30" fillId="4" borderId="4" xfId="0" applyNumberFormat="1" applyFont="1" applyFill="1" applyBorder="1" applyAlignment="1" applyProtection="1">
      <alignment horizontal="right"/>
      <protection locked="0"/>
    </xf>
    <xf numFmtId="3" fontId="30" fillId="4" borderId="4" xfId="847" applyNumberFormat="1" applyFont="1" applyFill="1" applyBorder="1" applyAlignment="1" applyProtection="1">
      <alignment horizontal="right"/>
      <protection locked="0"/>
    </xf>
    <xf numFmtId="3" fontId="30" fillId="4" borderId="4" xfId="0" applyNumberFormat="1" applyFont="1" applyFill="1" applyBorder="1" applyAlignment="1" applyProtection="1">
      <alignment horizontal="right"/>
    </xf>
    <xf numFmtId="3" fontId="45" fillId="4" borderId="3" xfId="0" applyNumberFormat="1" applyFont="1" applyFill="1" applyBorder="1" applyAlignment="1" applyProtection="1">
      <alignment horizontal="right"/>
      <protection locked="0"/>
    </xf>
    <xf numFmtId="3" fontId="45" fillId="0" borderId="3" xfId="0" applyNumberFormat="1" applyFont="1" applyBorder="1" applyAlignment="1" applyProtection="1">
      <alignment horizontal="right"/>
      <protection locked="0"/>
    </xf>
    <xf numFmtId="3" fontId="45" fillId="0" borderId="3" xfId="0" applyNumberFormat="1" applyFont="1" applyFill="1" applyBorder="1" applyAlignment="1" applyProtection="1">
      <alignment horizontal="right"/>
      <protection locked="0"/>
    </xf>
    <xf numFmtId="3" fontId="30" fillId="0" borderId="4" xfId="0" applyNumberFormat="1" applyFont="1" applyFill="1" applyBorder="1" applyAlignment="1" applyProtection="1">
      <alignment horizontal="right"/>
      <protection locked="0"/>
    </xf>
    <xf numFmtId="3" fontId="30" fillId="0" borderId="3" xfId="0" applyNumberFormat="1" applyFont="1" applyFill="1" applyBorder="1" applyAlignment="1" applyProtection="1">
      <alignment horizontal="right"/>
      <protection locked="0"/>
    </xf>
    <xf numFmtId="3" fontId="30" fillId="0" borderId="4" xfId="0" applyNumberFormat="1" applyFont="1" applyFill="1" applyBorder="1" applyAlignment="1" applyProtection="1">
      <alignment horizontal="right"/>
    </xf>
    <xf numFmtId="3" fontId="30" fillId="0" borderId="3" xfId="845" applyNumberFormat="1" applyFont="1" applyFill="1" applyBorder="1" applyAlignment="1" applyProtection="1">
      <alignment horizontal="right"/>
      <protection locked="0"/>
    </xf>
    <xf numFmtId="3" fontId="30" fillId="0" borderId="3" xfId="0" applyNumberFormat="1" applyFont="1" applyBorder="1" applyAlignment="1" applyProtection="1">
      <alignment horizontal="right"/>
      <protection locked="0"/>
    </xf>
    <xf numFmtId="3" fontId="30" fillId="4" borderId="3" xfId="845" applyNumberFormat="1" applyFont="1" applyFill="1" applyBorder="1" applyAlignment="1" applyProtection="1">
      <alignment horizontal="right"/>
      <protection locked="0"/>
    </xf>
    <xf numFmtId="3" fontId="45" fillId="4" borderId="4" xfId="0" applyNumberFormat="1" applyFont="1" applyFill="1" applyBorder="1" applyAlignment="1" applyProtection="1">
      <alignment horizontal="right"/>
      <protection locked="0"/>
    </xf>
    <xf numFmtId="3" fontId="45" fillId="4" borderId="4" xfId="0" applyNumberFormat="1" applyFont="1" applyFill="1" applyBorder="1" applyAlignment="1" applyProtection="1">
      <alignment horizontal="right"/>
    </xf>
    <xf numFmtId="3" fontId="45" fillId="4" borderId="3" xfId="845" applyNumberFormat="1" applyFont="1" applyFill="1" applyBorder="1" applyAlignment="1" applyProtection="1">
      <alignment horizontal="right"/>
      <protection locked="0"/>
    </xf>
    <xf numFmtId="3" fontId="45" fillId="0" borderId="4" xfId="0" applyNumberFormat="1" applyFont="1" applyFill="1" applyBorder="1" applyAlignment="1" applyProtection="1">
      <alignment horizontal="right"/>
    </xf>
    <xf numFmtId="3" fontId="45" fillId="0" borderId="6" xfId="0" applyNumberFormat="1" applyFont="1" applyBorder="1" applyAlignment="1" applyProtection="1">
      <alignment horizontal="right"/>
      <protection locked="0"/>
    </xf>
    <xf numFmtId="3" fontId="45" fillId="4" borderId="6" xfId="0" applyNumberFormat="1" applyFont="1" applyFill="1" applyBorder="1" applyAlignment="1" applyProtection="1">
      <alignment horizontal="right"/>
      <protection locked="0"/>
    </xf>
    <xf numFmtId="3" fontId="45" fillId="4" borderId="6" xfId="845" applyNumberFormat="1" applyFont="1" applyFill="1" applyBorder="1" applyAlignment="1" applyProtection="1">
      <alignment horizontal="right"/>
      <protection locked="0"/>
    </xf>
    <xf numFmtId="3" fontId="50" fillId="4" borderId="11" xfId="0" applyNumberFormat="1" applyFont="1" applyFill="1" applyBorder="1" applyProtection="1">
      <protection locked="0"/>
    </xf>
    <xf numFmtId="169" fontId="15" fillId="0" borderId="6" xfId="0" applyNumberFormat="1" applyFont="1" applyFill="1" applyBorder="1" applyAlignment="1" applyProtection="1">
      <alignment horizontal="center"/>
      <protection locked="0"/>
    </xf>
    <xf numFmtId="3" fontId="60" fillId="4" borderId="4" xfId="0" applyNumberFormat="1" applyFont="1" applyFill="1" applyBorder="1" applyProtection="1">
      <protection locked="0"/>
    </xf>
    <xf numFmtId="0" fontId="45" fillId="0" borderId="4" xfId="0" applyFont="1" applyFill="1" applyBorder="1" applyProtection="1">
      <protection locked="0"/>
    </xf>
    <xf numFmtId="3" fontId="45" fillId="4" borderId="4" xfId="0" applyNumberFormat="1" applyFont="1" applyFill="1" applyBorder="1" applyProtection="1">
      <protection locked="0"/>
    </xf>
    <xf numFmtId="0" fontId="30" fillId="0" borderId="4" xfId="0" applyFont="1" applyFill="1" applyBorder="1" applyProtection="1">
      <protection locked="0"/>
    </xf>
    <xf numFmtId="0" fontId="30" fillId="0" borderId="3" xfId="0" applyFont="1" applyFill="1" applyBorder="1" applyProtection="1">
      <protection locked="0"/>
    </xf>
    <xf numFmtId="0" fontId="19" fillId="0" borderId="3" xfId="0" applyFont="1" applyFill="1" applyBorder="1" applyProtection="1">
      <protection locked="0"/>
    </xf>
    <xf numFmtId="0" fontId="45" fillId="0" borderId="11" xfId="0" applyFont="1" applyFill="1" applyBorder="1" applyProtection="1">
      <protection locked="0"/>
    </xf>
    <xf numFmtId="0" fontId="30" fillId="0" borderId="0" xfId="0" applyFont="1" applyProtection="1">
      <protection locked="0"/>
    </xf>
    <xf numFmtId="0" fontId="0" fillId="0" borderId="0" xfId="0" applyProtection="1">
      <protection locked="0"/>
    </xf>
    <xf numFmtId="0" fontId="19" fillId="0" borderId="0" xfId="0" applyFont="1" applyProtection="1">
      <protection locked="0"/>
    </xf>
    <xf numFmtId="3" fontId="30" fillId="0" borderId="0" xfId="0" applyNumberFormat="1" applyFont="1" applyBorder="1" applyProtection="1">
      <protection locked="0"/>
    </xf>
    <xf numFmtId="0" fontId="61" fillId="0" borderId="0" xfId="0" applyFont="1" applyProtection="1">
      <protection locked="0"/>
    </xf>
    <xf numFmtId="3" fontId="62" fillId="0" borderId="0" xfId="0" applyNumberFormat="1" applyFont="1" applyBorder="1" applyProtection="1">
      <protection locked="0"/>
    </xf>
    <xf numFmtId="0" fontId="41" fillId="0" borderId="0" xfId="0" applyFont="1" applyProtection="1">
      <protection locked="0"/>
    </xf>
    <xf numFmtId="0" fontId="17" fillId="0" borderId="0" xfId="3" applyFont="1" applyFill="1" applyAlignment="1" applyProtection="1">
      <protection locked="0"/>
    </xf>
    <xf numFmtId="0" fontId="57" fillId="0" borderId="0" xfId="0" applyFont="1" applyProtection="1">
      <protection locked="0"/>
    </xf>
    <xf numFmtId="165" fontId="0" fillId="0" borderId="0" xfId="0" applyNumberFormat="1" applyProtection="1">
      <protection locked="0"/>
    </xf>
    <xf numFmtId="3" fontId="58" fillId="4" borderId="12" xfId="0" applyNumberFormat="1" applyFont="1" applyFill="1" applyBorder="1" applyProtection="1">
      <protection locked="0"/>
    </xf>
    <xf numFmtId="3" fontId="59" fillId="4" borderId="0" xfId="0" applyNumberFormat="1" applyFont="1" applyFill="1" applyBorder="1" applyProtection="1">
      <protection locked="0"/>
    </xf>
    <xf numFmtId="165" fontId="0" fillId="0" borderId="0" xfId="0" applyNumberFormat="1" applyBorder="1" applyProtection="1">
      <protection locked="0"/>
    </xf>
    <xf numFmtId="14" fontId="13" fillId="0" borderId="7" xfId="0" applyNumberFormat="1" applyFont="1" applyFill="1" applyBorder="1" applyAlignment="1" applyProtection="1">
      <alignment horizontal="left"/>
      <protection locked="0"/>
    </xf>
    <xf numFmtId="3" fontId="13" fillId="0" borderId="8" xfId="0" quotePrefix="1" applyNumberFormat="1" applyFont="1" applyFill="1" applyBorder="1" applyProtection="1">
      <protection locked="0"/>
    </xf>
    <xf numFmtId="3" fontId="13" fillId="0" borderId="9" xfId="0" quotePrefix="1" applyNumberFormat="1" applyFont="1" applyFill="1" applyBorder="1" applyProtection="1">
      <protection locked="0"/>
    </xf>
    <xf numFmtId="3" fontId="13" fillId="0" borderId="10" xfId="0" quotePrefix="1" applyNumberFormat="1" applyFont="1" applyFill="1" applyBorder="1" applyProtection="1">
      <protection locked="0"/>
    </xf>
    <xf numFmtId="0" fontId="17" fillId="0" borderId="8" xfId="0" applyFont="1" applyBorder="1" applyProtection="1">
      <protection locked="0"/>
    </xf>
    <xf numFmtId="0" fontId="17" fillId="0" borderId="10" xfId="0" applyFont="1" applyBorder="1" applyProtection="1">
      <protection locked="0"/>
    </xf>
    <xf numFmtId="0" fontId="17" fillId="0" borderId="9" xfId="0" applyFont="1" applyBorder="1" applyProtection="1">
      <protection locked="0"/>
    </xf>
    <xf numFmtId="165" fontId="17" fillId="4" borderId="0" xfId="0" applyNumberFormat="1" applyFont="1" applyFill="1" applyBorder="1" applyProtection="1">
      <protection locked="0"/>
    </xf>
    <xf numFmtId="0" fontId="17" fillId="4" borderId="0" xfId="0" applyFont="1" applyFill="1" applyBorder="1" applyProtection="1">
      <protection locked="0"/>
    </xf>
    <xf numFmtId="3" fontId="45" fillId="0" borderId="1" xfId="0" applyNumberFormat="1" applyFont="1" applyFill="1" applyBorder="1" applyProtection="1">
      <protection locked="0"/>
    </xf>
    <xf numFmtId="0" fontId="0" fillId="0" borderId="0" xfId="0" applyBorder="1" applyProtection="1">
      <protection locked="0"/>
    </xf>
    <xf numFmtId="0" fontId="45" fillId="4" borderId="0" xfId="0" applyNumberFormat="1" applyFont="1" applyFill="1" applyBorder="1" applyAlignment="1" applyProtection="1">
      <alignment horizontal="center"/>
      <protection locked="0"/>
    </xf>
    <xf numFmtId="3" fontId="45" fillId="0" borderId="4" xfId="0" applyNumberFormat="1" applyFont="1" applyFill="1" applyBorder="1" applyProtection="1">
      <protection locked="0"/>
    </xf>
    <xf numFmtId="0" fontId="15" fillId="0" borderId="7" xfId="0" applyNumberFormat="1" applyFont="1" applyFill="1" applyBorder="1" applyAlignment="1" applyProtection="1">
      <alignment horizontal="center"/>
      <protection locked="0"/>
    </xf>
    <xf numFmtId="169" fontId="13" fillId="4" borderId="0" xfId="0" applyNumberFormat="1" applyFont="1" applyFill="1" applyBorder="1" applyAlignment="1" applyProtection="1">
      <alignment horizontal="center"/>
      <protection locked="0"/>
    </xf>
    <xf numFmtId="0" fontId="13" fillId="4" borderId="0" xfId="0" applyNumberFormat="1" applyFont="1" applyFill="1" applyBorder="1" applyAlignment="1" applyProtection="1">
      <alignment horizontal="center"/>
      <protection locked="0"/>
    </xf>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Protection="1">
      <protection locked="0"/>
    </xf>
    <xf numFmtId="3" fontId="19" fillId="0" borderId="0" xfId="0" applyNumberFormat="1" applyFont="1" applyFill="1" applyProtection="1">
      <protection locked="0"/>
    </xf>
    <xf numFmtId="3" fontId="19" fillId="0" borderId="0" xfId="0" applyNumberFormat="1" applyFont="1" applyProtection="1">
      <protection locked="0"/>
    </xf>
    <xf numFmtId="3" fontId="19" fillId="0" borderId="0" xfId="0" applyNumberFormat="1" applyFont="1" applyBorder="1" applyProtection="1">
      <protection locked="0"/>
    </xf>
    <xf numFmtId="0" fontId="49" fillId="0" borderId="0" xfId="0" applyFont="1" applyBorder="1" applyProtection="1">
      <protection locked="0"/>
    </xf>
    <xf numFmtId="3" fontId="49" fillId="0" borderId="0" xfId="0" applyNumberFormat="1" applyFont="1" applyProtection="1">
      <protection locked="0"/>
    </xf>
    <xf numFmtId="0" fontId="49" fillId="0" borderId="0" xfId="0" applyFont="1" applyProtection="1">
      <protection locked="0"/>
    </xf>
    <xf numFmtId="0" fontId="61" fillId="0" borderId="0" xfId="0" applyFont="1" applyBorder="1" applyProtection="1">
      <protection locked="0"/>
    </xf>
    <xf numFmtId="0" fontId="14" fillId="0" borderId="0" xfId="0" applyFont="1" applyProtection="1">
      <protection locked="0"/>
    </xf>
    <xf numFmtId="0" fontId="63" fillId="0" borderId="0" xfId="0" applyFont="1" applyProtection="1">
      <protection locked="0"/>
    </xf>
    <xf numFmtId="0" fontId="41" fillId="0" borderId="0" xfId="1" applyFont="1" applyProtection="1">
      <protection locked="0"/>
    </xf>
    <xf numFmtId="0" fontId="57" fillId="0" borderId="0" xfId="1" applyFont="1" applyProtection="1">
      <protection locked="0"/>
    </xf>
    <xf numFmtId="0" fontId="19" fillId="0" borderId="0" xfId="1" applyProtection="1">
      <protection locked="0"/>
    </xf>
    <xf numFmtId="0" fontId="19" fillId="0" borderId="0" xfId="1" applyFont="1" applyProtection="1">
      <protection locked="0"/>
    </xf>
    <xf numFmtId="3" fontId="45" fillId="4" borderId="0" xfId="1" applyNumberFormat="1" applyFont="1" applyFill="1" applyProtection="1">
      <protection locked="0"/>
    </xf>
    <xf numFmtId="3" fontId="15" fillId="4" borderId="0" xfId="1" applyNumberFormat="1" applyFont="1" applyFill="1" applyProtection="1">
      <protection locked="0"/>
    </xf>
    <xf numFmtId="3" fontId="13" fillId="0" borderId="8" xfId="1" quotePrefix="1" applyNumberFormat="1" applyFont="1" applyFill="1" applyBorder="1" applyAlignment="1" applyProtection="1">
      <alignment horizontal="center"/>
      <protection locked="0"/>
    </xf>
    <xf numFmtId="3" fontId="13" fillId="0" borderId="9" xfId="1" quotePrefix="1" applyNumberFormat="1" applyFont="1" applyFill="1" applyBorder="1" applyAlignment="1" applyProtection="1">
      <alignment horizontal="center"/>
      <protection locked="0"/>
    </xf>
    <xf numFmtId="3" fontId="13" fillId="0" borderId="10" xfId="1" quotePrefix="1" applyNumberFormat="1" applyFont="1" applyFill="1" applyBorder="1" applyAlignment="1" applyProtection="1">
      <alignment horizontal="center"/>
      <protection locked="0"/>
    </xf>
    <xf numFmtId="0" fontId="17" fillId="0" borderId="8" xfId="1" applyFont="1" applyBorder="1" applyProtection="1">
      <protection locked="0"/>
    </xf>
    <xf numFmtId="0" fontId="17" fillId="0" borderId="10" xfId="1" applyFont="1" applyBorder="1" applyProtection="1">
      <protection locked="0"/>
    </xf>
    <xf numFmtId="0" fontId="17" fillId="0" borderId="9" xfId="1" applyFont="1" applyBorder="1" applyProtection="1">
      <protection locked="0"/>
    </xf>
    <xf numFmtId="0" fontId="17" fillId="4" borderId="10" xfId="1" applyFont="1" applyFill="1" applyBorder="1" applyProtection="1">
      <protection locked="0"/>
    </xf>
    <xf numFmtId="0" fontId="17" fillId="4" borderId="8" xfId="1" applyFont="1" applyFill="1" applyBorder="1" applyProtection="1">
      <protection locked="0"/>
    </xf>
    <xf numFmtId="0" fontId="17" fillId="4" borderId="9" xfId="1" applyFont="1" applyFill="1" applyBorder="1" applyProtection="1">
      <protection locked="0"/>
    </xf>
    <xf numFmtId="0" fontId="19" fillId="0" borderId="9" xfId="1" applyFont="1" applyBorder="1" applyProtection="1">
      <protection locked="0"/>
    </xf>
    <xf numFmtId="3" fontId="45" fillId="0" borderId="1" xfId="1" applyNumberFormat="1" applyFont="1" applyFill="1" applyBorder="1" applyProtection="1">
      <protection locked="0"/>
    </xf>
    <xf numFmtId="3" fontId="45" fillId="0" borderId="4" xfId="1" applyNumberFormat="1" applyFont="1" applyFill="1" applyBorder="1" applyProtection="1">
      <protection locked="0"/>
    </xf>
    <xf numFmtId="0" fontId="15" fillId="0" borderId="7" xfId="1" applyNumberFormat="1" applyFont="1" applyFill="1" applyBorder="1" applyAlignment="1" applyProtection="1">
      <alignment horizontal="center"/>
      <protection locked="0"/>
    </xf>
    <xf numFmtId="3" fontId="50" fillId="4" borderId="6" xfId="1" applyNumberFormat="1" applyFont="1" applyFill="1" applyBorder="1" applyProtection="1">
      <protection locked="0"/>
    </xf>
    <xf numFmtId="169" fontId="15" fillId="0" borderId="6" xfId="1" applyNumberFormat="1" applyFont="1" applyFill="1" applyBorder="1" applyAlignment="1" applyProtection="1">
      <alignment horizontal="center"/>
      <protection locked="0"/>
    </xf>
    <xf numFmtId="3" fontId="30" fillId="4" borderId="1" xfId="1" applyNumberFormat="1" applyFont="1" applyFill="1" applyBorder="1" applyAlignment="1" applyProtection="1">
      <alignment horizontal="right"/>
      <protection locked="0"/>
    </xf>
    <xf numFmtId="3" fontId="30" fillId="4" borderId="7" xfId="1" applyNumberFormat="1" applyFont="1" applyFill="1" applyBorder="1" applyAlignment="1" applyProtection="1">
      <alignment horizontal="right"/>
      <protection locked="0"/>
    </xf>
    <xf numFmtId="3" fontId="30" fillId="4" borderId="1" xfId="15" applyNumberFormat="1" applyFont="1" applyFill="1" applyBorder="1" applyAlignment="1" applyProtection="1">
      <alignment horizontal="right"/>
      <protection locked="0"/>
    </xf>
    <xf numFmtId="0" fontId="30" fillId="4" borderId="7" xfId="1" applyFont="1" applyFill="1" applyBorder="1" applyAlignment="1" applyProtection="1">
      <alignment horizontal="right"/>
      <protection locked="0"/>
    </xf>
    <xf numFmtId="0" fontId="30" fillId="0" borderId="4" xfId="1" applyFont="1" applyFill="1" applyBorder="1" applyProtection="1">
      <protection locked="0"/>
    </xf>
    <xf numFmtId="3" fontId="30" fillId="4" borderId="4" xfId="1" applyNumberFormat="1" applyFont="1" applyFill="1" applyBorder="1" applyAlignment="1" applyProtection="1">
      <alignment horizontal="right"/>
      <protection locked="0"/>
    </xf>
    <xf numFmtId="3" fontId="30" fillId="4" borderId="3" xfId="1" applyNumberFormat="1" applyFont="1" applyFill="1" applyBorder="1" applyAlignment="1" applyProtection="1">
      <alignment horizontal="right"/>
      <protection locked="0"/>
    </xf>
    <xf numFmtId="3" fontId="30" fillId="4" borderId="4" xfId="15" applyNumberFormat="1" applyFont="1" applyFill="1" applyBorder="1" applyAlignment="1" applyProtection="1">
      <alignment horizontal="right"/>
      <protection locked="0"/>
    </xf>
    <xf numFmtId="0" fontId="30" fillId="4" borderId="3" xfId="1" applyFont="1" applyFill="1" applyBorder="1" applyAlignment="1" applyProtection="1">
      <alignment horizontal="right"/>
      <protection locked="0"/>
    </xf>
    <xf numFmtId="3" fontId="30" fillId="0" borderId="3" xfId="1" applyNumberFormat="1" applyFont="1" applyFill="1" applyBorder="1" applyAlignment="1" applyProtection="1">
      <alignment horizontal="right"/>
      <protection locked="0"/>
    </xf>
    <xf numFmtId="0" fontId="30" fillId="0" borderId="3" xfId="1" applyFont="1" applyBorder="1" applyAlignment="1" applyProtection="1">
      <alignment horizontal="right"/>
      <protection locked="0"/>
    </xf>
    <xf numFmtId="166" fontId="30" fillId="0" borderId="3" xfId="847" applyNumberFormat="1" applyFont="1" applyBorder="1" applyAlignment="1" applyProtection="1">
      <alignment horizontal="right"/>
      <protection locked="0"/>
    </xf>
    <xf numFmtId="3" fontId="30" fillId="10" borderId="3" xfId="1" applyNumberFormat="1" applyFont="1" applyFill="1" applyBorder="1" applyAlignment="1" applyProtection="1">
      <alignment horizontal="right"/>
      <protection locked="0"/>
    </xf>
    <xf numFmtId="170" fontId="30" fillId="0" borderId="3" xfId="847" applyNumberFormat="1" applyFont="1" applyBorder="1" applyAlignment="1" applyProtection="1">
      <alignment horizontal="right"/>
      <protection locked="0"/>
    </xf>
    <xf numFmtId="0" fontId="30" fillId="0" borderId="3" xfId="1" applyFont="1" applyFill="1" applyBorder="1" applyAlignment="1" applyProtection="1">
      <alignment horizontal="right"/>
      <protection locked="0"/>
    </xf>
    <xf numFmtId="166" fontId="30" fillId="4" borderId="4" xfId="847" applyNumberFormat="1" applyFont="1" applyFill="1" applyBorder="1" applyAlignment="1" applyProtection="1">
      <alignment horizontal="right"/>
      <protection locked="0"/>
    </xf>
    <xf numFmtId="166" fontId="30" fillId="4" borderId="3" xfId="847" applyNumberFormat="1" applyFont="1" applyFill="1" applyBorder="1" applyAlignment="1" applyProtection="1">
      <alignment horizontal="right"/>
      <protection locked="0"/>
    </xf>
    <xf numFmtId="0" fontId="19" fillId="0" borderId="0" xfId="1" applyFont="1" applyFill="1" applyProtection="1">
      <protection locked="0"/>
    </xf>
    <xf numFmtId="0" fontId="45" fillId="0" borderId="11" xfId="1" applyFont="1" applyFill="1" applyBorder="1" applyProtection="1">
      <protection locked="0"/>
    </xf>
    <xf numFmtId="3" fontId="45" fillId="4" borderId="6" xfId="1" applyNumberFormat="1" applyFont="1" applyFill="1" applyBorder="1" applyAlignment="1" applyProtection="1">
      <alignment horizontal="right"/>
      <protection locked="0"/>
    </xf>
    <xf numFmtId="0" fontId="49" fillId="0" borderId="0" xfId="1" applyFont="1" applyProtection="1">
      <protection locked="0"/>
    </xf>
    <xf numFmtId="0" fontId="45" fillId="0" borderId="4" xfId="1" applyFont="1" applyFill="1" applyBorder="1" applyProtection="1">
      <protection locked="0"/>
    </xf>
    <xf numFmtId="3" fontId="45" fillId="4" borderId="4" xfId="15" applyNumberFormat="1" applyFont="1" applyFill="1" applyBorder="1" applyAlignment="1" applyProtection="1">
      <alignment horizontal="right"/>
      <protection locked="0"/>
    </xf>
    <xf numFmtId="3" fontId="45" fillId="4" borderId="3" xfId="1" applyNumberFormat="1" applyFont="1" applyFill="1" applyBorder="1" applyAlignment="1" applyProtection="1">
      <alignment horizontal="right"/>
      <protection locked="0"/>
    </xf>
    <xf numFmtId="3" fontId="45" fillId="4" borderId="7" xfId="1" applyNumberFormat="1" applyFont="1" applyFill="1" applyBorder="1" applyAlignment="1" applyProtection="1">
      <alignment horizontal="right"/>
      <protection locked="0"/>
    </xf>
    <xf numFmtId="0" fontId="45" fillId="4" borderId="7" xfId="1" applyFont="1" applyFill="1" applyBorder="1" applyAlignment="1" applyProtection="1">
      <alignment horizontal="right"/>
      <protection locked="0"/>
    </xf>
    <xf numFmtId="0" fontId="45" fillId="4" borderId="15" xfId="1" applyFont="1" applyFill="1" applyBorder="1" applyAlignment="1" applyProtection="1">
      <alignment horizontal="right"/>
      <protection locked="0"/>
    </xf>
    <xf numFmtId="0" fontId="49" fillId="0" borderId="7" xfId="1" applyFont="1" applyBorder="1" applyAlignment="1" applyProtection="1">
      <alignment horizontal="right"/>
      <protection locked="0"/>
    </xf>
    <xf numFmtId="0" fontId="45" fillId="4" borderId="3" xfId="1" applyFont="1" applyFill="1" applyBorder="1" applyAlignment="1" applyProtection="1">
      <alignment horizontal="right"/>
      <protection locked="0"/>
    </xf>
    <xf numFmtId="0" fontId="45" fillId="4" borderId="2" xfId="1" applyFont="1" applyFill="1" applyBorder="1" applyAlignment="1" applyProtection="1">
      <alignment horizontal="right"/>
      <protection locked="0"/>
    </xf>
    <xf numFmtId="0" fontId="49" fillId="0" borderId="3" xfId="1" applyFont="1" applyBorder="1" applyAlignment="1" applyProtection="1">
      <alignment horizontal="right"/>
      <protection locked="0"/>
    </xf>
    <xf numFmtId="0" fontId="30" fillId="4" borderId="2" xfId="1" applyFont="1" applyFill="1" applyBorder="1" applyAlignment="1" applyProtection="1">
      <alignment horizontal="right"/>
      <protection locked="0"/>
    </xf>
    <xf numFmtId="0" fontId="30" fillId="0" borderId="0" xfId="1" applyFont="1" applyProtection="1">
      <protection locked="0"/>
    </xf>
    <xf numFmtId="3" fontId="30" fillId="4" borderId="2" xfId="1" applyNumberFormat="1" applyFont="1" applyFill="1" applyBorder="1" applyAlignment="1" applyProtection="1">
      <alignment horizontal="right"/>
      <protection locked="0"/>
    </xf>
    <xf numFmtId="3" fontId="45" fillId="4" borderId="2" xfId="1" applyNumberFormat="1" applyFont="1" applyFill="1" applyBorder="1" applyAlignment="1" applyProtection="1">
      <alignment horizontal="right"/>
      <protection locked="0"/>
    </xf>
    <xf numFmtId="0" fontId="45" fillId="0" borderId="0" xfId="1" applyFont="1" applyProtection="1">
      <protection locked="0"/>
    </xf>
    <xf numFmtId="3" fontId="45" fillId="4" borderId="11" xfId="15" applyNumberFormat="1" applyFont="1" applyFill="1" applyBorder="1" applyAlignment="1" applyProtection="1">
      <alignment horizontal="right"/>
      <protection locked="0"/>
    </xf>
    <xf numFmtId="0" fontId="45" fillId="4" borderId="6" xfId="1" applyFont="1" applyFill="1" applyBorder="1" applyAlignment="1" applyProtection="1">
      <alignment horizontal="right"/>
      <protection locked="0"/>
    </xf>
    <xf numFmtId="0" fontId="45" fillId="4" borderId="5" xfId="1" applyFont="1" applyFill="1" applyBorder="1" applyAlignment="1" applyProtection="1">
      <alignment horizontal="right"/>
      <protection locked="0"/>
    </xf>
    <xf numFmtId="0" fontId="45" fillId="0" borderId="6" xfId="1" applyFont="1" applyBorder="1" applyAlignment="1" applyProtection="1">
      <alignment horizontal="right"/>
      <protection locked="0"/>
    </xf>
    <xf numFmtId="0" fontId="45" fillId="0" borderId="7" xfId="1" applyFont="1" applyFill="1" applyBorder="1" applyProtection="1">
      <protection locked="0"/>
    </xf>
    <xf numFmtId="3" fontId="45" fillId="4" borderId="1" xfId="14" applyNumberFormat="1" applyFont="1" applyFill="1" applyBorder="1" applyAlignment="1" applyProtection="1">
      <alignment horizontal="right"/>
      <protection locked="0"/>
    </xf>
    <xf numFmtId="3" fontId="45" fillId="4" borderId="1" xfId="1" applyNumberFormat="1" applyFont="1" applyFill="1" applyBorder="1" applyAlignment="1" applyProtection="1">
      <alignment horizontal="right"/>
      <protection locked="0"/>
    </xf>
    <xf numFmtId="0" fontId="45" fillId="4" borderId="1" xfId="1" applyFont="1" applyFill="1" applyBorder="1" applyAlignment="1" applyProtection="1">
      <alignment horizontal="right"/>
      <protection locked="0"/>
    </xf>
    <xf numFmtId="0" fontId="45" fillId="0" borderId="7" xfId="1" applyFont="1" applyBorder="1" applyAlignment="1" applyProtection="1">
      <alignment horizontal="right"/>
      <protection locked="0"/>
    </xf>
    <xf numFmtId="0" fontId="45" fillId="0" borderId="0" xfId="1" applyFont="1" applyFill="1" applyProtection="1">
      <protection locked="0"/>
    </xf>
    <xf numFmtId="0" fontId="30" fillId="0" borderId="0" xfId="1" applyFont="1" applyFill="1" applyProtection="1">
      <protection locked="0"/>
    </xf>
    <xf numFmtId="0" fontId="61" fillId="0" borderId="0" xfId="1" applyFont="1" applyBorder="1" applyProtection="1">
      <protection locked="0"/>
    </xf>
    <xf numFmtId="0" fontId="61" fillId="0" borderId="0" xfId="1" applyFont="1" applyProtection="1">
      <protection locked="0"/>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5" fillId="0" borderId="9" xfId="1" applyNumberFormat="1" applyFont="1" applyBorder="1" applyAlignment="1">
      <alignment horizontal="center"/>
    </xf>
    <xf numFmtId="3" fontId="13" fillId="0" borderId="0" xfId="1" applyNumberFormat="1" applyFont="1" applyBorder="1" applyAlignment="1">
      <alignment horizontal="center"/>
    </xf>
    <xf numFmtId="3" fontId="13" fillId="0" borderId="12" xfId="1" applyNumberFormat="1" applyFont="1" applyBorder="1" applyAlignment="1">
      <alignment horizontal="center"/>
    </xf>
    <xf numFmtId="3" fontId="13" fillId="0" borderId="0" xfId="1" applyNumberFormat="1" applyFont="1" applyFill="1" applyBorder="1" applyAlignment="1">
      <alignment horizontal="center"/>
    </xf>
    <xf numFmtId="0" fontId="17" fillId="0" borderId="6" xfId="0" applyFont="1" applyFill="1" applyBorder="1"/>
    <xf numFmtId="3" fontId="17" fillId="0" borderId="3" xfId="847" applyNumberFormat="1" applyFont="1" applyBorder="1" applyAlignment="1">
      <alignment horizontal="left"/>
    </xf>
    <xf numFmtId="0" fontId="15" fillId="0" borderId="6" xfId="1" applyFont="1" applyFill="1" applyBorder="1"/>
    <xf numFmtId="3" fontId="17" fillId="0" borderId="3" xfId="847" applyNumberFormat="1" applyFont="1" applyFill="1" applyBorder="1" applyAlignment="1">
      <alignment horizontal="left"/>
    </xf>
    <xf numFmtId="0" fontId="15" fillId="0" borderId="4" xfId="1" applyFont="1" applyFill="1" applyBorder="1"/>
    <xf numFmtId="0" fontId="15" fillId="0" borderId="11" xfId="1" applyFont="1" applyFill="1" applyBorder="1"/>
    <xf numFmtId="0" fontId="45" fillId="2" borderId="3" xfId="0" applyFont="1" applyFill="1" applyBorder="1" applyProtection="1">
      <protection locked="0"/>
    </xf>
    <xf numFmtId="0" fontId="45" fillId="2" borderId="6" xfId="0" applyFont="1" applyFill="1" applyBorder="1" applyProtection="1">
      <protection locked="0"/>
    </xf>
    <xf numFmtId="3" fontId="30" fillId="4" borderId="1" xfId="0" applyNumberFormat="1" applyFont="1" applyFill="1" applyBorder="1" applyAlignment="1" applyProtection="1">
      <alignment horizontal="right"/>
      <protection locked="0"/>
    </xf>
    <xf numFmtId="3" fontId="45" fillId="0" borderId="6" xfId="0" applyNumberFormat="1" applyFont="1" applyFill="1" applyBorder="1" applyAlignment="1" applyProtection="1">
      <alignment horizontal="right"/>
      <protection locked="0"/>
    </xf>
    <xf numFmtId="0" fontId="30" fillId="0" borderId="3" xfId="0" applyFont="1" applyBorder="1" applyAlignment="1" applyProtection="1">
      <alignment horizontal="right"/>
      <protection locked="0"/>
    </xf>
    <xf numFmtId="3" fontId="30" fillId="4" borderId="7" xfId="0" applyNumberFormat="1" applyFont="1" applyFill="1" applyBorder="1" applyAlignment="1" applyProtection="1">
      <alignment horizontal="right"/>
      <protection locked="0"/>
    </xf>
    <xf numFmtId="1" fontId="30" fillId="0" borderId="3" xfId="0" applyNumberFormat="1" applyFont="1" applyBorder="1" applyAlignment="1" applyProtection="1">
      <alignment horizontal="right"/>
      <protection locked="0"/>
    </xf>
    <xf numFmtId="0" fontId="30" fillId="0" borderId="0" xfId="7" applyFont="1" applyProtection="1">
      <protection locked="0"/>
    </xf>
    <xf numFmtId="4" fontId="30" fillId="4" borderId="4" xfId="7" applyNumberFormat="1" applyFont="1" applyFill="1" applyBorder="1" applyAlignment="1" applyProtection="1">
      <alignment horizontal="right"/>
      <protection locked="0"/>
    </xf>
    <xf numFmtId="3" fontId="30" fillId="4" borderId="4" xfId="7" applyNumberFormat="1" applyFont="1" applyFill="1" applyBorder="1" applyAlignment="1" applyProtection="1">
      <alignment horizontal="right"/>
      <protection locked="0"/>
    </xf>
    <xf numFmtId="3" fontId="30" fillId="4" borderId="11" xfId="7" applyNumberFormat="1" applyFont="1" applyFill="1" applyBorder="1" applyAlignment="1" applyProtection="1">
      <alignment horizontal="right"/>
      <protection locked="0"/>
    </xf>
    <xf numFmtId="4" fontId="30" fillId="4" borderId="3" xfId="7" applyNumberFormat="1" applyFont="1" applyFill="1" applyBorder="1" applyAlignment="1" applyProtection="1">
      <alignment horizontal="right"/>
      <protection locked="0"/>
    </xf>
    <xf numFmtId="3" fontId="30" fillId="4" borderId="3" xfId="7" applyNumberFormat="1" applyFont="1" applyFill="1" applyBorder="1" applyAlignment="1" applyProtection="1">
      <alignment horizontal="right"/>
      <protection locked="0"/>
    </xf>
    <xf numFmtId="3" fontId="30" fillId="4" borderId="6" xfId="7" applyNumberFormat="1" applyFont="1" applyFill="1" applyBorder="1" applyAlignment="1" applyProtection="1">
      <alignment horizontal="right"/>
      <protection locked="0"/>
    </xf>
    <xf numFmtId="171" fontId="15" fillId="0" borderId="3" xfId="846" applyFont="1" applyBorder="1" applyAlignment="1">
      <alignment horizontal="right"/>
    </xf>
    <xf numFmtId="3" fontId="45" fillId="0" borderId="6" xfId="0" applyNumberFormat="1" applyFont="1" applyFill="1" applyBorder="1" applyAlignment="1" applyProtection="1">
      <alignment horizontal="right"/>
    </xf>
    <xf numFmtId="0" fontId="30" fillId="2" borderId="3" xfId="0" applyFont="1" applyFill="1" applyBorder="1" applyProtection="1">
      <protection locked="0"/>
    </xf>
    <xf numFmtId="0" fontId="30" fillId="2" borderId="6" xfId="0" applyFont="1" applyFill="1" applyBorder="1" applyProtection="1">
      <protection locked="0"/>
    </xf>
    <xf numFmtId="1" fontId="13" fillId="0" borderId="11" xfId="1" applyNumberFormat="1" applyFont="1" applyFill="1" applyBorder="1" applyAlignment="1">
      <alignment horizontal="center"/>
    </xf>
    <xf numFmtId="3" fontId="13" fillId="0" borderId="0" xfId="1" applyNumberFormat="1" applyFont="1" applyFill="1" applyBorder="1" applyAlignment="1">
      <alignment horizontal="center"/>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5" fillId="0" borderId="9" xfId="1" applyNumberFormat="1" applyFont="1" applyBorder="1" applyAlignment="1">
      <alignment horizontal="center"/>
    </xf>
    <xf numFmtId="3" fontId="13" fillId="0" borderId="12" xfId="1" applyNumberFormat="1" applyFont="1" applyBorder="1" applyAlignment="1">
      <alignment horizontal="center"/>
    </xf>
    <xf numFmtId="3" fontId="13" fillId="0" borderId="0" xfId="1" applyNumberFormat="1" applyFont="1" applyBorder="1" applyAlignment="1">
      <alignment horizontal="center"/>
    </xf>
    <xf numFmtId="3" fontId="13" fillId="0" borderId="0" xfId="1" applyNumberFormat="1" applyFont="1" applyFill="1" applyBorder="1" applyAlignment="1">
      <alignment horizontal="center"/>
    </xf>
    <xf numFmtId="3" fontId="13" fillId="0" borderId="12" xfId="1" applyNumberFormat="1" applyFont="1" applyFill="1" applyBorder="1"/>
    <xf numFmtId="3" fontId="14" fillId="0" borderId="0" xfId="1" applyNumberFormat="1" applyFont="1" applyFill="1" applyBorder="1" applyAlignment="1">
      <alignment horizontal="center"/>
    </xf>
    <xf numFmtId="3" fontId="30" fillId="4" borderId="1" xfId="0" applyNumberFormat="1" applyFont="1" applyFill="1" applyBorder="1" applyAlignment="1">
      <alignment horizontal="right"/>
    </xf>
    <xf numFmtId="3" fontId="30" fillId="4" borderId="4" xfId="0" applyNumberFormat="1" applyFont="1" applyFill="1" applyBorder="1" applyAlignment="1">
      <alignment horizontal="right"/>
    </xf>
    <xf numFmtId="3" fontId="30" fillId="4" borderId="3" xfId="0" applyNumberFormat="1" applyFont="1" applyFill="1" applyBorder="1" applyAlignment="1">
      <alignment horizontal="right"/>
    </xf>
    <xf numFmtId="3" fontId="45" fillId="4" borderId="4" xfId="15" applyNumberFormat="1" applyFont="1" applyFill="1" applyBorder="1" applyAlignment="1">
      <alignment horizontal="right"/>
    </xf>
    <xf numFmtId="3" fontId="30" fillId="4" borderId="4" xfId="15" applyNumberFormat="1" applyFont="1" applyFill="1" applyBorder="1" applyAlignment="1">
      <alignment horizontal="right"/>
    </xf>
    <xf numFmtId="3" fontId="45" fillId="4" borderId="11" xfId="15" applyNumberFormat="1" applyFont="1" applyFill="1" applyBorder="1" applyAlignment="1">
      <alignment horizontal="right"/>
    </xf>
    <xf numFmtId="3" fontId="30" fillId="0" borderId="4" xfId="0" applyNumberFormat="1" applyFont="1" applyBorder="1" applyAlignment="1" applyProtection="1">
      <alignment horizontal="right"/>
      <protection locked="0"/>
    </xf>
    <xf numFmtId="0" fontId="41" fillId="0" borderId="0" xfId="7" applyFont="1" applyProtection="1">
      <protection locked="0"/>
    </xf>
    <xf numFmtId="0" fontId="17" fillId="0" borderId="0" xfId="3" applyFont="1" applyAlignment="1">
      <protection locked="0"/>
    </xf>
    <xf numFmtId="0" fontId="19" fillId="0" borderId="0" xfId="7" applyProtection="1">
      <protection locked="0"/>
    </xf>
    <xf numFmtId="165" fontId="19" fillId="0" borderId="0" xfId="7" applyNumberFormat="1" applyProtection="1">
      <protection locked="0"/>
    </xf>
    <xf numFmtId="3" fontId="58" fillId="4" borderId="0" xfId="7" applyNumberFormat="1" applyFont="1" applyFill="1" applyProtection="1">
      <protection locked="0"/>
    </xf>
    <xf numFmtId="14" fontId="13" fillId="0" borderId="7" xfId="7" applyNumberFormat="1" applyFont="1" applyBorder="1" applyAlignment="1" applyProtection="1">
      <alignment horizontal="left"/>
      <protection locked="0"/>
    </xf>
    <xf numFmtId="0" fontId="17" fillId="0" borderId="10" xfId="7" applyFont="1" applyBorder="1" applyProtection="1">
      <protection locked="0"/>
    </xf>
    <xf numFmtId="0" fontId="17" fillId="0" borderId="8" xfId="7" applyFont="1" applyBorder="1" applyProtection="1">
      <protection locked="0"/>
    </xf>
    <xf numFmtId="0" fontId="17" fillId="0" borderId="9" xfId="7" applyFont="1" applyBorder="1" applyProtection="1">
      <protection locked="0"/>
    </xf>
    <xf numFmtId="0" fontId="69" fillId="0" borderId="8" xfId="7" applyFont="1" applyBorder="1" applyAlignment="1" applyProtection="1">
      <alignment horizontal="center"/>
      <protection locked="0"/>
    </xf>
    <xf numFmtId="165" fontId="17" fillId="4" borderId="0" xfId="7" applyNumberFormat="1" applyFont="1" applyFill="1" applyProtection="1">
      <protection locked="0"/>
    </xf>
    <xf numFmtId="0" fontId="17" fillId="4" borderId="0" xfId="7" applyFont="1" applyFill="1" applyProtection="1">
      <protection locked="0"/>
    </xf>
    <xf numFmtId="3" fontId="45" fillId="0" borderId="1" xfId="7" applyNumberFormat="1" applyFont="1" applyBorder="1" applyProtection="1">
      <protection locked="0"/>
    </xf>
    <xf numFmtId="0" fontId="45" fillId="4" borderId="0" xfId="7" applyFont="1" applyFill="1" applyAlignment="1" applyProtection="1">
      <alignment horizontal="center"/>
      <protection locked="0"/>
    </xf>
    <xf numFmtId="3" fontId="45" fillId="0" borderId="4" xfId="7" applyNumberFormat="1" applyFont="1" applyBorder="1" applyProtection="1">
      <protection locked="0"/>
    </xf>
    <xf numFmtId="0" fontId="15" fillId="0" borderId="1" xfId="7" applyFont="1" applyBorder="1" applyAlignment="1" applyProtection="1">
      <alignment horizontal="center"/>
      <protection locked="0"/>
    </xf>
    <xf numFmtId="0" fontId="15" fillId="0" borderId="7" xfId="7" applyFont="1" applyBorder="1" applyAlignment="1" applyProtection="1">
      <alignment horizontal="center"/>
      <protection locked="0"/>
    </xf>
    <xf numFmtId="3" fontId="50" fillId="4" borderId="11" xfId="7" applyNumberFormat="1" applyFont="1" applyFill="1" applyBorder="1" applyProtection="1">
      <protection locked="0"/>
    </xf>
    <xf numFmtId="0" fontId="13" fillId="0" borderId="6" xfId="7" applyFont="1" applyBorder="1" applyAlignment="1" applyProtection="1">
      <alignment horizontal="center"/>
      <protection locked="0"/>
    </xf>
    <xf numFmtId="169" fontId="15" fillId="0" borderId="6" xfId="7" applyNumberFormat="1" applyFont="1" applyBorder="1" applyAlignment="1" applyProtection="1">
      <alignment horizontal="center"/>
      <protection locked="0"/>
    </xf>
    <xf numFmtId="169" fontId="13" fillId="4" borderId="0" xfId="7" applyNumberFormat="1" applyFont="1" applyFill="1" applyAlignment="1" applyProtection="1">
      <alignment horizontal="center"/>
      <protection locked="0"/>
    </xf>
    <xf numFmtId="0" fontId="13" fillId="4" borderId="0" xfId="7" applyFont="1" applyFill="1" applyAlignment="1" applyProtection="1">
      <alignment horizontal="center"/>
      <protection locked="0"/>
    </xf>
    <xf numFmtId="0" fontId="45" fillId="0" borderId="7" xfId="7" applyFont="1" applyBorder="1" applyProtection="1">
      <protection locked="0"/>
    </xf>
    <xf numFmtId="4" fontId="30" fillId="4" borderId="7" xfId="7" applyNumberFormat="1" applyFont="1" applyFill="1" applyBorder="1" applyAlignment="1">
      <alignment horizontal="right"/>
    </xf>
    <xf numFmtId="4" fontId="30" fillId="4" borderId="7" xfId="7" applyNumberFormat="1" applyFont="1" applyFill="1" applyBorder="1" applyAlignment="1" applyProtection="1">
      <alignment horizontal="right"/>
      <protection locked="0"/>
    </xf>
    <xf numFmtId="4" fontId="30" fillId="4" borderId="3" xfId="7" applyNumberFormat="1" applyFont="1" applyFill="1" applyBorder="1" applyAlignment="1">
      <alignment horizontal="right"/>
    </xf>
    <xf numFmtId="4" fontId="30" fillId="4" borderId="4" xfId="7" applyNumberFormat="1" applyFont="1" applyFill="1" applyBorder="1" applyAlignment="1">
      <alignment horizontal="right"/>
    </xf>
    <xf numFmtId="0" fontId="30" fillId="0" borderId="3" xfId="7" applyFont="1" applyBorder="1" applyProtection="1">
      <protection locked="0"/>
    </xf>
    <xf numFmtId="3" fontId="30" fillId="4" borderId="3" xfId="7" applyNumberFormat="1" applyFont="1" applyFill="1" applyBorder="1" applyAlignment="1">
      <alignment horizontal="right"/>
    </xf>
    <xf numFmtId="4" fontId="30" fillId="0" borderId="3" xfId="7" applyNumberFormat="1" applyFont="1" applyBorder="1" applyAlignment="1">
      <alignment horizontal="right"/>
    </xf>
    <xf numFmtId="3" fontId="30" fillId="4" borderId="4" xfId="7" applyNumberFormat="1" applyFont="1" applyFill="1" applyBorder="1" applyAlignment="1">
      <alignment horizontal="right"/>
    </xf>
    <xf numFmtId="0" fontId="30" fillId="0" borderId="6" xfId="7" applyFont="1" applyBorder="1" applyProtection="1">
      <protection locked="0"/>
    </xf>
    <xf numFmtId="3" fontId="30" fillId="4" borderId="6" xfId="7" applyNumberFormat="1" applyFont="1" applyFill="1" applyBorder="1" applyAlignment="1">
      <alignment horizontal="right"/>
    </xf>
    <xf numFmtId="3" fontId="30" fillId="0" borderId="11" xfId="7" applyNumberFormat="1" applyFont="1" applyBorder="1" applyAlignment="1">
      <alignment horizontal="right"/>
    </xf>
    <xf numFmtId="3" fontId="30" fillId="4" borderId="11" xfId="7" applyNumberFormat="1" applyFont="1" applyFill="1" applyBorder="1" applyAlignment="1">
      <alignment horizontal="right"/>
    </xf>
    <xf numFmtId="166" fontId="30" fillId="0" borderId="3" xfId="847" applyNumberFormat="1" applyFont="1" applyBorder="1" applyAlignment="1">
      <alignment horizontal="right"/>
    </xf>
    <xf numFmtId="166" fontId="30" fillId="4" borderId="4" xfId="847" applyNumberFormat="1" applyFont="1" applyFill="1" applyBorder="1" applyAlignment="1">
      <alignment horizontal="right"/>
    </xf>
    <xf numFmtId="166" fontId="30" fillId="4" borderId="3" xfId="847" applyNumberFormat="1" applyFont="1" applyFill="1" applyBorder="1" applyAlignment="1">
      <alignment horizontal="right"/>
    </xf>
    <xf numFmtId="0" fontId="30" fillId="0" borderId="3" xfId="0" applyFont="1" applyBorder="1" applyAlignment="1">
      <alignment horizontal="right"/>
    </xf>
    <xf numFmtId="0" fontId="45" fillId="0" borderId="1" xfId="1" applyNumberFormat="1" applyFont="1" applyFill="1" applyBorder="1" applyAlignment="1" applyProtection="1">
      <alignment horizontal="center"/>
      <protection locked="0"/>
    </xf>
    <xf numFmtId="0" fontId="45" fillId="0" borderId="14" xfId="1" applyNumberFormat="1" applyFont="1" applyFill="1" applyBorder="1" applyAlignment="1" applyProtection="1">
      <alignment horizontal="center"/>
      <protection locked="0"/>
    </xf>
    <xf numFmtId="0" fontId="45" fillId="0" borderId="15" xfId="1" applyNumberFormat="1" applyFont="1" applyFill="1" applyBorder="1" applyAlignment="1" applyProtection="1">
      <alignment horizontal="center"/>
      <protection locked="0"/>
    </xf>
    <xf numFmtId="0" fontId="45" fillId="0" borderId="1" xfId="0" applyNumberFormat="1" applyFont="1" applyFill="1" applyBorder="1" applyAlignment="1" applyProtection="1">
      <alignment horizontal="center"/>
      <protection locked="0"/>
    </xf>
    <xf numFmtId="0" fontId="45" fillId="0" borderId="14" xfId="0" applyNumberFormat="1" applyFont="1" applyFill="1" applyBorder="1" applyAlignment="1" applyProtection="1">
      <alignment horizontal="center"/>
      <protection locked="0"/>
    </xf>
    <xf numFmtId="0" fontId="45" fillId="0" borderId="15" xfId="0" applyNumberFormat="1" applyFont="1" applyFill="1" applyBorder="1" applyAlignment="1" applyProtection="1">
      <alignment horizontal="center"/>
      <protection locked="0"/>
    </xf>
    <xf numFmtId="0" fontId="45" fillId="0" borderId="1" xfId="7" applyFont="1" applyFill="1" applyBorder="1" applyAlignment="1" applyProtection="1">
      <alignment horizontal="center"/>
      <protection locked="0"/>
    </xf>
    <xf numFmtId="0" fontId="45" fillId="0" borderId="14" xfId="7" applyFont="1" applyFill="1" applyBorder="1" applyAlignment="1" applyProtection="1">
      <alignment horizontal="center"/>
      <protection locked="0"/>
    </xf>
    <xf numFmtId="0" fontId="45" fillId="0" borderId="15" xfId="7" applyFont="1" applyFill="1" applyBorder="1" applyAlignment="1" applyProtection="1">
      <alignment horizontal="center"/>
      <protection locked="0"/>
    </xf>
    <xf numFmtId="0" fontId="13" fillId="0" borderId="6" xfId="0" applyFont="1" applyBorder="1" applyAlignment="1" applyProtection="1">
      <alignment horizontal="center"/>
      <protection locked="0"/>
    </xf>
    <xf numFmtId="3" fontId="30" fillId="0" borderId="3" xfId="0" applyNumberFormat="1" applyFont="1" applyFill="1" applyBorder="1" applyAlignment="1">
      <alignment horizontal="right"/>
    </xf>
    <xf numFmtId="0" fontId="45" fillId="0" borderId="1" xfId="0" applyNumberFormat="1" applyFont="1" applyFill="1" applyBorder="1" applyAlignment="1" applyProtection="1">
      <alignment horizontal="center"/>
      <protection locked="0"/>
    </xf>
    <xf numFmtId="0" fontId="45" fillId="0" borderId="14" xfId="0" applyNumberFormat="1" applyFont="1" applyFill="1" applyBorder="1" applyAlignment="1" applyProtection="1">
      <alignment horizontal="center"/>
      <protection locked="0"/>
    </xf>
    <xf numFmtId="0" fontId="45" fillId="0" borderId="15" xfId="0" applyNumberFormat="1" applyFont="1" applyFill="1" applyBorder="1" applyAlignment="1" applyProtection="1">
      <alignment horizontal="center"/>
      <protection locked="0"/>
    </xf>
    <xf numFmtId="0" fontId="45" fillId="0" borderId="1" xfId="7" applyFont="1" applyFill="1" applyBorder="1" applyAlignment="1" applyProtection="1">
      <alignment horizontal="center"/>
      <protection locked="0"/>
    </xf>
    <xf numFmtId="0" fontId="45" fillId="0" borderId="14" xfId="7" applyFont="1" applyFill="1" applyBorder="1" applyAlignment="1" applyProtection="1">
      <alignment horizontal="center"/>
      <protection locked="0"/>
    </xf>
    <xf numFmtId="0" fontId="45" fillId="0" borderId="15" xfId="7" applyFont="1" applyFill="1" applyBorder="1" applyAlignment="1" applyProtection="1">
      <alignment horizontal="center"/>
      <protection locked="0"/>
    </xf>
    <xf numFmtId="0" fontId="13" fillId="0" borderId="11" xfId="0" applyFont="1" applyBorder="1" applyAlignment="1" applyProtection="1">
      <alignment horizontal="center"/>
      <protection locked="0"/>
    </xf>
    <xf numFmtId="170" fontId="30" fillId="0" borderId="3" xfId="847" applyNumberFormat="1" applyFont="1" applyBorder="1" applyAlignment="1">
      <alignment horizontal="right"/>
    </xf>
    <xf numFmtId="0" fontId="13" fillId="0" borderId="6" xfId="0" applyFont="1" applyFill="1" applyBorder="1" applyAlignment="1" applyProtection="1">
      <alignment horizontal="center"/>
      <protection locked="0"/>
    </xf>
    <xf numFmtId="3" fontId="30" fillId="4" borderId="0" xfId="0" applyNumberFormat="1" applyFont="1" applyFill="1" applyAlignment="1">
      <alignment horizontal="right"/>
    </xf>
    <xf numFmtId="3" fontId="30" fillId="4" borderId="0" xfId="0" applyNumberFormat="1" applyFont="1" applyFill="1" applyAlignment="1" applyProtection="1">
      <alignment horizontal="right"/>
      <protection locked="0"/>
    </xf>
    <xf numFmtId="3" fontId="60" fillId="4" borderId="3" xfId="0" applyNumberFormat="1" applyFont="1" applyFill="1" applyBorder="1" applyAlignment="1">
      <alignment horizontal="right"/>
    </xf>
    <xf numFmtId="3" fontId="45" fillId="4" borderId="3" xfId="0" applyNumberFormat="1" applyFont="1" applyFill="1" applyBorder="1" applyAlignment="1">
      <alignment horizontal="right"/>
    </xf>
    <xf numFmtId="3" fontId="30" fillId="4" borderId="7" xfId="0" applyNumberFormat="1" applyFont="1" applyFill="1" applyBorder="1" applyAlignment="1">
      <alignment horizontal="right"/>
    </xf>
    <xf numFmtId="3" fontId="45" fillId="0" borderId="4" xfId="15" applyNumberFormat="1" applyFont="1" applyBorder="1" applyAlignment="1" applyProtection="1">
      <alignment horizontal="right"/>
      <protection locked="0"/>
    </xf>
    <xf numFmtId="3" fontId="45" fillId="0" borderId="11" xfId="15" applyNumberFormat="1" applyFont="1" applyBorder="1" applyAlignment="1" applyProtection="1">
      <alignment horizontal="right"/>
      <protection locked="0"/>
    </xf>
    <xf numFmtId="1" fontId="30" fillId="0" borderId="3" xfId="0" applyNumberFormat="1" applyFont="1" applyBorder="1" applyAlignment="1">
      <alignment horizontal="right"/>
    </xf>
    <xf numFmtId="0" fontId="45" fillId="0" borderId="1" xfId="1" applyNumberFormat="1" applyFont="1" applyFill="1" applyBorder="1" applyAlignment="1" applyProtection="1">
      <alignment horizontal="center"/>
      <protection locked="0"/>
    </xf>
    <xf numFmtId="0" fontId="45" fillId="0" borderId="14" xfId="1" applyNumberFormat="1" applyFont="1" applyFill="1" applyBorder="1" applyAlignment="1" applyProtection="1">
      <alignment horizontal="center"/>
      <protection locked="0"/>
    </xf>
    <xf numFmtId="0" fontId="45" fillId="0" borderId="15" xfId="1" applyNumberFormat="1" applyFont="1" applyFill="1" applyBorder="1" applyAlignment="1" applyProtection="1">
      <alignment horizontal="center"/>
      <protection locked="0"/>
    </xf>
    <xf numFmtId="0" fontId="45" fillId="0" borderId="1" xfId="0" applyNumberFormat="1" applyFont="1" applyFill="1" applyBorder="1" applyAlignment="1" applyProtection="1">
      <alignment horizontal="center"/>
      <protection locked="0"/>
    </xf>
    <xf numFmtId="0" fontId="45" fillId="0" borderId="14" xfId="0" applyNumberFormat="1" applyFont="1" applyFill="1" applyBorder="1" applyAlignment="1" applyProtection="1">
      <alignment horizontal="center"/>
      <protection locked="0"/>
    </xf>
    <xf numFmtId="0" fontId="45" fillId="0" borderId="15" xfId="0" applyNumberFormat="1" applyFont="1" applyFill="1" applyBorder="1" applyAlignment="1" applyProtection="1">
      <alignment horizontal="center"/>
      <protection locked="0"/>
    </xf>
    <xf numFmtId="3" fontId="30" fillId="4" borderId="1" xfId="15" applyNumberFormat="1" applyFont="1" applyFill="1" applyBorder="1" applyAlignment="1">
      <alignment horizontal="right"/>
    </xf>
    <xf numFmtId="3" fontId="30" fillId="4" borderId="4" xfId="847" applyNumberFormat="1" applyFont="1" applyFill="1" applyBorder="1" applyAlignment="1">
      <alignment horizontal="right"/>
    </xf>
    <xf numFmtId="3" fontId="30" fillId="0" borderId="4" xfId="847" applyNumberFormat="1" applyFont="1" applyBorder="1" applyAlignment="1">
      <alignment horizontal="right"/>
    </xf>
    <xf numFmtId="3" fontId="30" fillId="0" borderId="4" xfId="847" applyNumberFormat="1" applyFont="1" applyBorder="1" applyAlignment="1" applyProtection="1">
      <alignment horizontal="right"/>
      <protection locked="0"/>
    </xf>
    <xf numFmtId="3" fontId="30" fillId="0" borderId="3" xfId="0" quotePrefix="1" applyNumberFormat="1" applyFont="1" applyBorder="1" applyAlignment="1" applyProtection="1">
      <alignment horizontal="right"/>
      <protection locked="0"/>
    </xf>
    <xf numFmtId="3" fontId="17" fillId="0" borderId="8" xfId="1" applyNumberFormat="1" applyFont="1" applyFill="1" applyBorder="1"/>
    <xf numFmtId="3" fontId="15" fillId="0" borderId="6" xfId="1" applyNumberFormat="1" applyFont="1" applyFill="1" applyBorder="1"/>
    <xf numFmtId="3" fontId="15" fillId="0" borderId="11" xfId="1" applyNumberFormat="1" applyFont="1" applyFill="1" applyBorder="1"/>
    <xf numFmtId="14" fontId="30" fillId="0" borderId="0" xfId="1" applyNumberFormat="1" applyFont="1" applyAlignment="1">
      <alignment horizontal="center"/>
    </xf>
    <xf numFmtId="0" fontId="15" fillId="8" borderId="0" xfId="0" applyFont="1" applyFill="1" applyBorder="1" applyAlignment="1">
      <alignment horizontal="center"/>
    </xf>
    <xf numFmtId="0" fontId="15" fillId="8" borderId="2" xfId="0" applyFont="1" applyFill="1" applyBorder="1" applyAlignment="1">
      <alignment horizontal="center"/>
    </xf>
    <xf numFmtId="0" fontId="45" fillId="0" borderId="12" xfId="0" applyFont="1" applyBorder="1" applyAlignment="1">
      <alignment horizontal="left"/>
    </xf>
    <xf numFmtId="0" fontId="45" fillId="0" borderId="10"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15" fillId="8" borderId="4" xfId="0" applyFont="1" applyFill="1" applyBorder="1" applyAlignment="1">
      <alignment horizontal="center"/>
    </xf>
    <xf numFmtId="0" fontId="45" fillId="0" borderId="14" xfId="0" applyFont="1" applyBorder="1" applyAlignment="1">
      <alignment horizontal="center"/>
    </xf>
    <xf numFmtId="0" fontId="45" fillId="0" borderId="15" xfId="0" applyFont="1" applyBorder="1" applyAlignment="1">
      <alignment horizontal="center"/>
    </xf>
    <xf numFmtId="0" fontId="45" fillId="0" borderId="1" xfId="0" applyFont="1" applyBorder="1" applyAlignment="1">
      <alignment horizontal="center"/>
    </xf>
    <xf numFmtId="14" fontId="13" fillId="0" borderId="11" xfId="0" applyNumberFormat="1" applyFont="1" applyFill="1" applyBorder="1" applyAlignment="1">
      <alignment horizontal="center"/>
    </xf>
    <xf numFmtId="14" fontId="13" fillId="0" borderId="12" xfId="0" applyNumberFormat="1" applyFont="1" applyFill="1" applyBorder="1" applyAlignment="1">
      <alignment horizontal="center"/>
    </xf>
    <xf numFmtId="14" fontId="13" fillId="0" borderId="5" xfId="0" applyNumberFormat="1" applyFont="1" applyFill="1" applyBorder="1" applyAlignment="1">
      <alignment horizontal="center"/>
    </xf>
    <xf numFmtId="3" fontId="45" fillId="0" borderId="11" xfId="0" applyNumberFormat="1" applyFont="1" applyBorder="1" applyAlignment="1">
      <alignment horizontal="center"/>
    </xf>
    <xf numFmtId="3" fontId="45" fillId="0" borderId="12" xfId="0" applyNumberFormat="1" applyFont="1" applyBorder="1" applyAlignment="1">
      <alignment horizontal="center"/>
    </xf>
    <xf numFmtId="3" fontId="45" fillId="0" borderId="5" xfId="0" applyNumberFormat="1" applyFont="1" applyBorder="1" applyAlignment="1">
      <alignment horizontal="center"/>
    </xf>
    <xf numFmtId="0" fontId="15" fillId="0" borderId="10" xfId="1" applyFont="1" applyBorder="1" applyAlignment="1">
      <alignment horizontal="center"/>
    </xf>
    <xf numFmtId="0" fontId="15" fillId="0" borderId="8" xfId="1" applyFont="1" applyBorder="1" applyAlignment="1">
      <alignment horizontal="center"/>
    </xf>
    <xf numFmtId="0" fontId="15" fillId="0" borderId="9" xfId="1" applyFont="1" applyBorder="1" applyAlignment="1">
      <alignment horizontal="center"/>
    </xf>
    <xf numFmtId="0" fontId="13" fillId="0" borderId="0" xfId="1" applyFont="1" applyBorder="1" applyAlignment="1">
      <alignment horizontal="center"/>
    </xf>
    <xf numFmtId="0" fontId="13" fillId="0" borderId="0" xfId="1" applyFont="1" applyFill="1" applyBorder="1" applyAlignment="1">
      <alignment horizontal="center"/>
    </xf>
    <xf numFmtId="3" fontId="13" fillId="0" borderId="0" xfId="1" applyNumberFormat="1" applyFont="1" applyBorder="1" applyAlignment="1">
      <alignment horizontal="center"/>
    </xf>
    <xf numFmtId="3" fontId="15" fillId="0" borderId="10" xfId="1" applyNumberFormat="1" applyFont="1" applyBorder="1" applyAlignment="1">
      <alignment horizontal="center"/>
    </xf>
    <xf numFmtId="3" fontId="15" fillId="0" borderId="8" xfId="1" applyNumberFormat="1" applyFont="1" applyBorder="1" applyAlignment="1">
      <alignment horizontal="center"/>
    </xf>
    <xf numFmtId="3" fontId="13" fillId="0" borderId="12" xfId="1" applyNumberFormat="1" applyFont="1" applyBorder="1" applyAlignment="1">
      <alignment horizontal="center"/>
    </xf>
    <xf numFmtId="3" fontId="13" fillId="0" borderId="14" xfId="1" applyNumberFormat="1" applyFont="1" applyFill="1" applyBorder="1" applyAlignment="1">
      <alignment horizontal="center"/>
    </xf>
    <xf numFmtId="3" fontId="13" fillId="0" borderId="0" xfId="1" applyNumberFormat="1" applyFont="1" applyFill="1" applyBorder="1" applyAlignment="1">
      <alignment horizontal="center"/>
    </xf>
    <xf numFmtId="3" fontId="15" fillId="0" borderId="9" xfId="1" applyNumberFormat="1" applyFont="1" applyBorder="1" applyAlignment="1">
      <alignment horizontal="center"/>
    </xf>
    <xf numFmtId="0" fontId="45" fillId="0" borderId="1" xfId="1" applyNumberFormat="1" applyFont="1" applyFill="1" applyBorder="1" applyAlignment="1" applyProtection="1">
      <alignment horizontal="center"/>
      <protection locked="0"/>
    </xf>
    <xf numFmtId="0" fontId="45" fillId="0" borderId="14" xfId="1" applyNumberFormat="1" applyFont="1" applyFill="1" applyBorder="1" applyAlignment="1" applyProtection="1">
      <alignment horizontal="center"/>
      <protection locked="0"/>
    </xf>
    <xf numFmtId="0" fontId="45" fillId="0" borderId="15" xfId="1" applyNumberFormat="1" applyFont="1" applyFill="1" applyBorder="1" applyAlignment="1" applyProtection="1">
      <alignment horizontal="center"/>
      <protection locked="0"/>
    </xf>
    <xf numFmtId="0" fontId="45" fillId="0" borderId="11" xfId="1" applyNumberFormat="1" applyFont="1" applyFill="1" applyBorder="1" applyAlignment="1" applyProtection="1">
      <alignment horizontal="center"/>
      <protection locked="0"/>
    </xf>
    <xf numFmtId="0" fontId="45" fillId="0" borderId="12" xfId="1" applyNumberFormat="1" applyFont="1" applyFill="1" applyBorder="1" applyAlignment="1" applyProtection="1">
      <alignment horizontal="center"/>
      <protection locked="0"/>
    </xf>
    <xf numFmtId="0" fontId="45" fillId="0" borderId="5" xfId="1" applyNumberFormat="1" applyFont="1" applyFill="1" applyBorder="1" applyAlignment="1" applyProtection="1">
      <alignment horizontal="center"/>
      <protection locked="0"/>
    </xf>
    <xf numFmtId="0" fontId="45" fillId="0" borderId="1" xfId="1" applyFont="1" applyFill="1" applyBorder="1" applyAlignment="1" applyProtection="1">
      <alignment horizontal="center"/>
      <protection locked="0"/>
    </xf>
    <xf numFmtId="0" fontId="45" fillId="0" borderId="14" xfId="1" applyFont="1" applyFill="1" applyBorder="1" applyAlignment="1" applyProtection="1">
      <alignment horizontal="center"/>
      <protection locked="0"/>
    </xf>
    <xf numFmtId="0" fontId="45" fillId="0" borderId="15" xfId="1" applyFont="1" applyFill="1" applyBorder="1" applyAlignment="1" applyProtection="1">
      <alignment horizontal="center"/>
      <protection locked="0"/>
    </xf>
    <xf numFmtId="0" fontId="45" fillId="0" borderId="11" xfId="1" applyFont="1" applyFill="1" applyBorder="1" applyAlignment="1" applyProtection="1">
      <alignment horizontal="center"/>
      <protection locked="0"/>
    </xf>
    <xf numFmtId="0" fontId="45" fillId="0" borderId="12" xfId="1" applyFont="1" applyFill="1" applyBorder="1" applyAlignment="1" applyProtection="1">
      <alignment horizontal="center"/>
      <protection locked="0"/>
    </xf>
    <xf numFmtId="0" fontId="45" fillId="0" borderId="5" xfId="1" applyFont="1" applyFill="1" applyBorder="1" applyAlignment="1" applyProtection="1">
      <alignment horizontal="center"/>
      <protection locked="0"/>
    </xf>
    <xf numFmtId="0" fontId="45" fillId="0" borderId="11" xfId="0" applyNumberFormat="1" applyFont="1" applyFill="1" applyBorder="1" applyAlignment="1" applyProtection="1">
      <alignment horizontal="center"/>
      <protection locked="0"/>
    </xf>
    <xf numFmtId="0" fontId="45" fillId="0" borderId="12" xfId="0" applyNumberFormat="1" applyFont="1" applyFill="1" applyBorder="1" applyAlignment="1" applyProtection="1">
      <alignment horizontal="center"/>
      <protection locked="0"/>
    </xf>
    <xf numFmtId="0" fontId="45" fillId="0" borderId="5" xfId="0" applyNumberFormat="1" applyFont="1" applyFill="1" applyBorder="1" applyAlignment="1" applyProtection="1">
      <alignment horizontal="center"/>
      <protection locked="0"/>
    </xf>
    <xf numFmtId="0" fontId="45" fillId="4" borderId="0" xfId="0" applyNumberFormat="1" applyFont="1" applyFill="1" applyBorder="1" applyAlignment="1" applyProtection="1">
      <alignment horizontal="center"/>
      <protection locked="0"/>
    </xf>
    <xf numFmtId="0" fontId="45" fillId="0" borderId="1" xfId="0" applyNumberFormat="1" applyFont="1" applyFill="1" applyBorder="1" applyAlignment="1" applyProtection="1">
      <alignment horizontal="center"/>
      <protection locked="0"/>
    </xf>
    <xf numFmtId="0" fontId="45" fillId="0" borderId="14" xfId="0" applyNumberFormat="1" applyFont="1" applyFill="1" applyBorder="1" applyAlignment="1" applyProtection="1">
      <alignment horizontal="center"/>
      <protection locked="0"/>
    </xf>
    <xf numFmtId="0" fontId="45" fillId="0" borderId="15" xfId="0" applyNumberFormat="1" applyFont="1" applyFill="1" applyBorder="1" applyAlignment="1" applyProtection="1">
      <alignment horizontal="center"/>
      <protection locked="0"/>
    </xf>
    <xf numFmtId="0" fontId="45" fillId="4" borderId="0" xfId="7" applyFont="1" applyFill="1" applyAlignment="1" applyProtection="1">
      <alignment horizontal="center"/>
      <protection locked="0"/>
    </xf>
    <xf numFmtId="0" fontId="45" fillId="0" borderId="11" xfId="7" applyFont="1" applyFill="1" applyBorder="1" applyAlignment="1" applyProtection="1">
      <alignment horizontal="center"/>
      <protection locked="0"/>
    </xf>
    <xf numFmtId="0" fontId="45" fillId="0" borderId="12" xfId="7" applyFont="1" applyFill="1" applyBorder="1" applyAlignment="1" applyProtection="1">
      <alignment horizontal="center"/>
      <protection locked="0"/>
    </xf>
    <xf numFmtId="0" fontId="45" fillId="0" borderId="5" xfId="7" applyFont="1" applyFill="1" applyBorder="1" applyAlignment="1" applyProtection="1">
      <alignment horizontal="center"/>
      <protection locked="0"/>
    </xf>
    <xf numFmtId="0" fontId="45" fillId="0" borderId="11" xfId="7" applyFont="1" applyBorder="1" applyAlignment="1" applyProtection="1">
      <alignment horizontal="center"/>
      <protection locked="0"/>
    </xf>
    <xf numFmtId="0" fontId="45" fillId="0" borderId="12" xfId="7" applyFont="1" applyBorder="1" applyAlignment="1" applyProtection="1">
      <alignment horizontal="center"/>
      <protection locked="0"/>
    </xf>
    <xf numFmtId="0" fontId="45" fillId="0" borderId="5" xfId="7" applyFont="1" applyBorder="1" applyAlignment="1" applyProtection="1">
      <alignment horizontal="center"/>
      <protection locked="0"/>
    </xf>
    <xf numFmtId="0" fontId="45" fillId="0" borderId="1" xfId="7" applyFont="1" applyFill="1" applyBorder="1" applyAlignment="1" applyProtection="1">
      <alignment horizontal="center"/>
      <protection locked="0"/>
    </xf>
    <xf numFmtId="0" fontId="45" fillId="0" borderId="14" xfId="7" applyFont="1" applyFill="1" applyBorder="1" applyAlignment="1" applyProtection="1">
      <alignment horizontal="center"/>
      <protection locked="0"/>
    </xf>
    <xf numFmtId="0" fontId="45" fillId="0" borderId="15" xfId="7" applyFont="1" applyFill="1" applyBorder="1" applyAlignment="1" applyProtection="1">
      <alignment horizontal="center"/>
      <protection locked="0"/>
    </xf>
    <xf numFmtId="0" fontId="45" fillId="0" borderId="1" xfId="7" applyFont="1" applyBorder="1" applyAlignment="1" applyProtection="1">
      <alignment horizontal="center"/>
      <protection locked="0"/>
    </xf>
    <xf numFmtId="0" fontId="45" fillId="0" borderId="14" xfId="7" applyFont="1" applyBorder="1" applyAlignment="1" applyProtection="1">
      <alignment horizontal="center"/>
      <protection locked="0"/>
    </xf>
    <xf numFmtId="0" fontId="45" fillId="0" borderId="15" xfId="7" applyFont="1" applyBorder="1" applyAlignment="1" applyProtection="1">
      <alignment horizontal="center"/>
      <protection locked="0"/>
    </xf>
  </cellXfs>
  <cellStyles count="850">
    <cellStyle name="20 % – uthevingsfarge 2" xfId="844" builtinId="34"/>
    <cellStyle name="40% - uthevingsfarge 4 2" xfId="38" xr:uid="{00000000-0005-0000-0000-000001000000}"/>
    <cellStyle name="40% - uthevingsfarge 4 2 10" xfId="771" xr:uid="{00000000-0005-0000-0000-000002000000}"/>
    <cellStyle name="40% - uthevingsfarge 4 2 2" xfId="80" xr:uid="{00000000-0005-0000-0000-000003000000}"/>
    <cellStyle name="40% - uthevingsfarge 4 2 2 2" xfId="173" xr:uid="{00000000-0005-0000-0000-000004000000}"/>
    <cellStyle name="40% - uthevingsfarge 4 2 2 3" xfId="263" xr:uid="{00000000-0005-0000-0000-000005000000}"/>
    <cellStyle name="40% - uthevingsfarge 4 2 2 4" xfId="353" xr:uid="{00000000-0005-0000-0000-000006000000}"/>
    <cellStyle name="40% - uthevingsfarge 4 2 2 5" xfId="443" xr:uid="{00000000-0005-0000-0000-000007000000}"/>
    <cellStyle name="40% - uthevingsfarge 4 2 2 6" xfId="533" xr:uid="{00000000-0005-0000-0000-000008000000}"/>
    <cellStyle name="40% - uthevingsfarge 4 2 2 7" xfId="623" xr:uid="{00000000-0005-0000-0000-000009000000}"/>
    <cellStyle name="40% - uthevingsfarge 4 2 2 8" xfId="713" xr:uid="{00000000-0005-0000-0000-00000A000000}"/>
    <cellStyle name="40% - uthevingsfarge 4 2 2 9" xfId="810" xr:uid="{00000000-0005-0000-0000-00000B000000}"/>
    <cellStyle name="40% - uthevingsfarge 4 2 3" xfId="136" xr:uid="{00000000-0005-0000-0000-00000C000000}"/>
    <cellStyle name="40% - uthevingsfarge 4 2 4" xfId="226" xr:uid="{00000000-0005-0000-0000-00000D000000}"/>
    <cellStyle name="40% - uthevingsfarge 4 2 5" xfId="316" xr:uid="{00000000-0005-0000-0000-00000E000000}"/>
    <cellStyle name="40% - uthevingsfarge 4 2 6" xfId="406" xr:uid="{00000000-0005-0000-0000-00000F000000}"/>
    <cellStyle name="40% - uthevingsfarge 4 2 7" xfId="496" xr:uid="{00000000-0005-0000-0000-000010000000}"/>
    <cellStyle name="40% - uthevingsfarge 4 2 8" xfId="586" xr:uid="{00000000-0005-0000-0000-000011000000}"/>
    <cellStyle name="40% - uthevingsfarge 4 2 9" xfId="676" xr:uid="{00000000-0005-0000-0000-000012000000}"/>
    <cellStyle name="Hyperkobling" xfId="3" builtinId="8"/>
    <cellStyle name="Komma" xfId="2" builtinId="3"/>
    <cellStyle name="Komma 2" xfId="847" xr:uid="{00000000-0005-0000-0000-000015000000}"/>
    <cellStyle name="Komma 2 3" xfId="849" xr:uid="{0D7BB789-C0BC-4F58-B366-11FD845789ED}"/>
    <cellStyle name="Merknad 2" xfId="94" xr:uid="{00000000-0005-0000-0000-000016000000}"/>
    <cellStyle name="Normal" xfId="0" builtinId="0"/>
    <cellStyle name="Normal 10" xfId="31" xr:uid="{00000000-0005-0000-0000-000018000000}"/>
    <cellStyle name="Normal 10 10" xfId="670" xr:uid="{00000000-0005-0000-0000-000019000000}"/>
    <cellStyle name="Normal 10 11" xfId="765" xr:uid="{00000000-0005-0000-0000-00001A000000}"/>
    <cellStyle name="Normal 10 2" xfId="53" xr:uid="{00000000-0005-0000-0000-00001B000000}"/>
    <cellStyle name="Normal 10 2 10" xfId="785" xr:uid="{00000000-0005-0000-0000-00001C000000}"/>
    <cellStyle name="Normal 10 2 2" xfId="93" xr:uid="{00000000-0005-0000-0000-00001D000000}"/>
    <cellStyle name="Normal 10 2 2 10" xfId="823" xr:uid="{00000000-0005-0000-0000-00001E000000}"/>
    <cellStyle name="Normal 10 2 2 2" xfId="6" xr:uid="{00000000-0005-0000-0000-00001F000000}"/>
    <cellStyle name="Normal 10 2 2 2 2" xfId="116" xr:uid="{00000000-0005-0000-0000-000020000000}"/>
    <cellStyle name="Normal 10 2 2 3" xfId="186" xr:uid="{00000000-0005-0000-0000-000021000000}"/>
    <cellStyle name="Normal 10 2 2 4" xfId="276" xr:uid="{00000000-0005-0000-0000-000022000000}"/>
    <cellStyle name="Normal 10 2 2 5" xfId="366" xr:uid="{00000000-0005-0000-0000-000023000000}"/>
    <cellStyle name="Normal 10 2 2 6" xfId="456" xr:uid="{00000000-0005-0000-0000-000024000000}"/>
    <cellStyle name="Normal 10 2 2 7" xfId="546" xr:uid="{00000000-0005-0000-0000-000025000000}"/>
    <cellStyle name="Normal 10 2 2 8" xfId="636" xr:uid="{00000000-0005-0000-0000-000026000000}"/>
    <cellStyle name="Normal 10 2 2 9" xfId="726" xr:uid="{00000000-0005-0000-0000-000027000000}"/>
    <cellStyle name="Normal 10 2 3" xfId="149" xr:uid="{00000000-0005-0000-0000-000028000000}"/>
    <cellStyle name="Normal 10 2 4" xfId="239" xr:uid="{00000000-0005-0000-0000-000029000000}"/>
    <cellStyle name="Normal 10 2 5" xfId="329" xr:uid="{00000000-0005-0000-0000-00002A000000}"/>
    <cellStyle name="Normal 10 2 6" xfId="419" xr:uid="{00000000-0005-0000-0000-00002B000000}"/>
    <cellStyle name="Normal 10 2 7" xfId="509" xr:uid="{00000000-0005-0000-0000-00002C000000}"/>
    <cellStyle name="Normal 10 2 8" xfId="599" xr:uid="{00000000-0005-0000-0000-00002D000000}"/>
    <cellStyle name="Normal 10 2 9" xfId="689" xr:uid="{00000000-0005-0000-0000-00002E000000}"/>
    <cellStyle name="Normal 10 3" xfId="74" xr:uid="{00000000-0005-0000-0000-00002F000000}"/>
    <cellStyle name="Normal 10 3 2" xfId="167" xr:uid="{00000000-0005-0000-0000-000030000000}"/>
    <cellStyle name="Normal 10 3 3" xfId="257" xr:uid="{00000000-0005-0000-0000-000031000000}"/>
    <cellStyle name="Normal 10 3 4" xfId="347" xr:uid="{00000000-0005-0000-0000-000032000000}"/>
    <cellStyle name="Normal 10 3 5" xfId="437" xr:uid="{00000000-0005-0000-0000-000033000000}"/>
    <cellStyle name="Normal 10 3 6" xfId="527" xr:uid="{00000000-0005-0000-0000-000034000000}"/>
    <cellStyle name="Normal 10 3 7" xfId="617" xr:uid="{00000000-0005-0000-0000-000035000000}"/>
    <cellStyle name="Normal 10 3 8" xfId="707" xr:uid="{00000000-0005-0000-0000-000036000000}"/>
    <cellStyle name="Normal 10 3 9" xfId="804" xr:uid="{00000000-0005-0000-0000-000037000000}"/>
    <cellStyle name="Normal 10 4" xfId="130" xr:uid="{00000000-0005-0000-0000-000038000000}"/>
    <cellStyle name="Normal 10 5" xfId="220" xr:uid="{00000000-0005-0000-0000-000039000000}"/>
    <cellStyle name="Normal 10 6" xfId="310" xr:uid="{00000000-0005-0000-0000-00003A000000}"/>
    <cellStyle name="Normal 10 7" xfId="400" xr:uid="{00000000-0005-0000-0000-00003B000000}"/>
    <cellStyle name="Normal 10 8" xfId="490" xr:uid="{00000000-0005-0000-0000-00003C000000}"/>
    <cellStyle name="Normal 10 9" xfId="580" xr:uid="{00000000-0005-0000-0000-00003D000000}"/>
    <cellStyle name="Normal 11" xfId="35" xr:uid="{00000000-0005-0000-0000-00003E000000}"/>
    <cellStyle name="Normal 11 10" xfId="673" xr:uid="{00000000-0005-0000-0000-00003F000000}"/>
    <cellStyle name="Normal 11 11" xfId="768" xr:uid="{00000000-0005-0000-0000-000040000000}"/>
    <cellStyle name="Normal 11 2" xfId="57" xr:uid="{00000000-0005-0000-0000-000041000000}"/>
    <cellStyle name="Normal 11 2 10" xfId="788" xr:uid="{00000000-0005-0000-0000-000042000000}"/>
    <cellStyle name="Normal 11 2 2" xfId="97" xr:uid="{00000000-0005-0000-0000-000043000000}"/>
    <cellStyle name="Normal 11 2 2 2" xfId="189" xr:uid="{00000000-0005-0000-0000-000044000000}"/>
    <cellStyle name="Normal 11 2 2 3" xfId="279" xr:uid="{00000000-0005-0000-0000-000045000000}"/>
    <cellStyle name="Normal 11 2 2 4" xfId="369" xr:uid="{00000000-0005-0000-0000-000046000000}"/>
    <cellStyle name="Normal 11 2 2 5" xfId="459" xr:uid="{00000000-0005-0000-0000-000047000000}"/>
    <cellStyle name="Normal 11 2 2 6" xfId="549" xr:uid="{00000000-0005-0000-0000-000048000000}"/>
    <cellStyle name="Normal 11 2 2 7" xfId="639" xr:uid="{00000000-0005-0000-0000-000049000000}"/>
    <cellStyle name="Normal 11 2 2 8" xfId="729" xr:uid="{00000000-0005-0000-0000-00004A000000}"/>
    <cellStyle name="Normal 11 2 2 9" xfId="826" xr:uid="{00000000-0005-0000-0000-00004B000000}"/>
    <cellStyle name="Normal 11 2 3" xfId="152" xr:uid="{00000000-0005-0000-0000-00004C000000}"/>
    <cellStyle name="Normal 11 2 4" xfId="242" xr:uid="{00000000-0005-0000-0000-00004D000000}"/>
    <cellStyle name="Normal 11 2 5" xfId="332" xr:uid="{00000000-0005-0000-0000-00004E000000}"/>
    <cellStyle name="Normal 11 2 6" xfId="422" xr:uid="{00000000-0005-0000-0000-00004F000000}"/>
    <cellStyle name="Normal 11 2 7" xfId="512" xr:uid="{00000000-0005-0000-0000-000050000000}"/>
    <cellStyle name="Normal 11 2 8" xfId="602" xr:uid="{00000000-0005-0000-0000-000051000000}"/>
    <cellStyle name="Normal 11 2 9" xfId="692" xr:uid="{00000000-0005-0000-0000-000052000000}"/>
    <cellStyle name="Normal 11 3" xfId="77" xr:uid="{00000000-0005-0000-0000-000053000000}"/>
    <cellStyle name="Normal 11 3 2" xfId="170" xr:uid="{00000000-0005-0000-0000-000054000000}"/>
    <cellStyle name="Normal 11 3 3" xfId="260" xr:uid="{00000000-0005-0000-0000-000055000000}"/>
    <cellStyle name="Normal 11 3 4" xfId="350" xr:uid="{00000000-0005-0000-0000-000056000000}"/>
    <cellStyle name="Normal 11 3 5" xfId="440" xr:uid="{00000000-0005-0000-0000-000057000000}"/>
    <cellStyle name="Normal 11 3 6" xfId="530" xr:uid="{00000000-0005-0000-0000-000058000000}"/>
    <cellStyle name="Normal 11 3 7" xfId="620" xr:uid="{00000000-0005-0000-0000-000059000000}"/>
    <cellStyle name="Normal 11 3 8" xfId="710" xr:uid="{00000000-0005-0000-0000-00005A000000}"/>
    <cellStyle name="Normal 11 3 9" xfId="807" xr:uid="{00000000-0005-0000-0000-00005B000000}"/>
    <cellStyle name="Normal 11 4" xfId="133" xr:uid="{00000000-0005-0000-0000-00005C000000}"/>
    <cellStyle name="Normal 11 5" xfId="223" xr:uid="{00000000-0005-0000-0000-00005D000000}"/>
    <cellStyle name="Normal 11 6" xfId="313" xr:uid="{00000000-0005-0000-0000-00005E000000}"/>
    <cellStyle name="Normal 11 7" xfId="403" xr:uid="{00000000-0005-0000-0000-00005F000000}"/>
    <cellStyle name="Normal 11 8" xfId="493" xr:uid="{00000000-0005-0000-0000-000060000000}"/>
    <cellStyle name="Normal 11 9" xfId="583" xr:uid="{00000000-0005-0000-0000-000061000000}"/>
    <cellStyle name="Normal 12" xfId="100" xr:uid="{00000000-0005-0000-0000-000062000000}"/>
    <cellStyle name="Normal 12 2" xfId="192" xr:uid="{00000000-0005-0000-0000-000063000000}"/>
    <cellStyle name="Normal 12 3" xfId="282" xr:uid="{00000000-0005-0000-0000-000064000000}"/>
    <cellStyle name="Normal 12 4" xfId="372" xr:uid="{00000000-0005-0000-0000-000065000000}"/>
    <cellStyle name="Normal 12 5" xfId="462" xr:uid="{00000000-0005-0000-0000-000066000000}"/>
    <cellStyle name="Normal 12 6" xfId="552" xr:uid="{00000000-0005-0000-0000-000067000000}"/>
    <cellStyle name="Normal 12 7" xfId="642" xr:uid="{00000000-0005-0000-0000-000068000000}"/>
    <cellStyle name="Normal 12 8" xfId="732" xr:uid="{00000000-0005-0000-0000-000069000000}"/>
    <cellStyle name="Normal 12 9" xfId="829" xr:uid="{00000000-0005-0000-0000-00006A000000}"/>
    <cellStyle name="Normal 13" xfId="103" xr:uid="{00000000-0005-0000-0000-00006B000000}"/>
    <cellStyle name="Normal 13 2" xfId="195" xr:uid="{00000000-0005-0000-0000-00006C000000}"/>
    <cellStyle name="Normal 13 3" xfId="285" xr:uid="{00000000-0005-0000-0000-00006D000000}"/>
    <cellStyle name="Normal 13 4" xfId="375" xr:uid="{00000000-0005-0000-0000-00006E000000}"/>
    <cellStyle name="Normal 13 5" xfId="465" xr:uid="{00000000-0005-0000-0000-00006F000000}"/>
    <cellStyle name="Normal 13 6" xfId="555" xr:uid="{00000000-0005-0000-0000-000070000000}"/>
    <cellStyle name="Normal 13 7" xfId="645" xr:uid="{00000000-0005-0000-0000-000071000000}"/>
    <cellStyle name="Normal 13 8" xfId="735" xr:uid="{00000000-0005-0000-0000-000072000000}"/>
    <cellStyle name="Normal 13 9" xfId="832" xr:uid="{00000000-0005-0000-0000-000073000000}"/>
    <cellStyle name="Normal 14" xfId="106" xr:uid="{00000000-0005-0000-0000-000074000000}"/>
    <cellStyle name="Normal 14 2" xfId="198" xr:uid="{00000000-0005-0000-0000-000075000000}"/>
    <cellStyle name="Normal 14 3" xfId="288" xr:uid="{00000000-0005-0000-0000-000076000000}"/>
    <cellStyle name="Normal 14 4" xfId="378" xr:uid="{00000000-0005-0000-0000-000077000000}"/>
    <cellStyle name="Normal 14 5" xfId="468" xr:uid="{00000000-0005-0000-0000-000078000000}"/>
    <cellStyle name="Normal 14 6" xfId="558" xr:uid="{00000000-0005-0000-0000-000079000000}"/>
    <cellStyle name="Normal 14 7" xfId="648" xr:uid="{00000000-0005-0000-0000-00007A000000}"/>
    <cellStyle name="Normal 14 8" xfId="738" xr:uid="{00000000-0005-0000-0000-00007B000000}"/>
    <cellStyle name="Normal 14 9" xfId="835" xr:uid="{00000000-0005-0000-0000-00007C000000}"/>
    <cellStyle name="Normal 15" xfId="109" xr:uid="{00000000-0005-0000-0000-00007D000000}"/>
    <cellStyle name="Normal 15 2" xfId="201" xr:uid="{00000000-0005-0000-0000-00007E000000}"/>
    <cellStyle name="Normal 15 3" xfId="291" xr:uid="{00000000-0005-0000-0000-00007F000000}"/>
    <cellStyle name="Normal 15 4" xfId="381" xr:uid="{00000000-0005-0000-0000-000080000000}"/>
    <cellStyle name="Normal 15 5" xfId="471" xr:uid="{00000000-0005-0000-0000-000081000000}"/>
    <cellStyle name="Normal 15 6" xfId="561" xr:uid="{00000000-0005-0000-0000-000082000000}"/>
    <cellStyle name="Normal 15 7" xfId="651" xr:uid="{00000000-0005-0000-0000-000083000000}"/>
    <cellStyle name="Normal 15 8" xfId="741" xr:uid="{00000000-0005-0000-0000-000084000000}"/>
    <cellStyle name="Normal 15 9" xfId="838" xr:uid="{00000000-0005-0000-0000-000085000000}"/>
    <cellStyle name="Normal 16" xfId="112" xr:uid="{00000000-0005-0000-0000-000086000000}"/>
    <cellStyle name="Normal 16 2" xfId="204" xr:uid="{00000000-0005-0000-0000-000087000000}"/>
    <cellStyle name="Normal 16 3" xfId="294" xr:uid="{00000000-0005-0000-0000-000088000000}"/>
    <cellStyle name="Normal 16 4" xfId="384" xr:uid="{00000000-0005-0000-0000-000089000000}"/>
    <cellStyle name="Normal 16 5" xfId="474" xr:uid="{00000000-0005-0000-0000-00008A000000}"/>
    <cellStyle name="Normal 16 6" xfId="564" xr:uid="{00000000-0005-0000-0000-00008B000000}"/>
    <cellStyle name="Normal 16 7" xfId="654" xr:uid="{00000000-0005-0000-0000-00008C000000}"/>
    <cellStyle name="Normal 16 8" xfId="744" xr:uid="{00000000-0005-0000-0000-00008D000000}"/>
    <cellStyle name="Normal 16 9" xfId="841" xr:uid="{00000000-0005-0000-0000-00008E000000}"/>
    <cellStyle name="Normal 17" xfId="8" xr:uid="{00000000-0005-0000-0000-00008F000000}"/>
    <cellStyle name="Normal 18" xfId="10" xr:uid="{00000000-0005-0000-0000-000090000000}"/>
    <cellStyle name="Normal 19" xfId="117" xr:uid="{00000000-0005-0000-0000-000091000000}"/>
    <cellStyle name="Normal 2" xfId="1" xr:uid="{00000000-0005-0000-0000-000092000000}"/>
    <cellStyle name="Normal 2 2" xfId="7" xr:uid="{00000000-0005-0000-0000-000093000000}"/>
    <cellStyle name="Normal 2 3" xfId="20" xr:uid="{00000000-0005-0000-0000-000094000000}"/>
    <cellStyle name="Normal 2 4" xfId="39" xr:uid="{00000000-0005-0000-0000-000095000000}"/>
    <cellStyle name="Normal 2 5" xfId="60" xr:uid="{00000000-0005-0000-0000-000096000000}"/>
    <cellStyle name="Normal 20" xfId="207" xr:uid="{00000000-0005-0000-0000-000097000000}"/>
    <cellStyle name="Normal 21" xfId="297" xr:uid="{00000000-0005-0000-0000-000098000000}"/>
    <cellStyle name="Normal 22" xfId="387" xr:uid="{00000000-0005-0000-0000-000099000000}"/>
    <cellStyle name="Normal 23" xfId="477" xr:uid="{00000000-0005-0000-0000-00009A000000}"/>
    <cellStyle name="Normal 24" xfId="567" xr:uid="{00000000-0005-0000-0000-00009B000000}"/>
    <cellStyle name="Normal 25" xfId="657" xr:uid="{00000000-0005-0000-0000-00009C000000}"/>
    <cellStyle name="Normal 26" xfId="747" xr:uid="{00000000-0005-0000-0000-00009D000000}"/>
    <cellStyle name="Normal 3" xfId="4" xr:uid="{00000000-0005-0000-0000-00009E000000}"/>
    <cellStyle name="Normal 3 10" xfId="104" xr:uid="{00000000-0005-0000-0000-00009F000000}"/>
    <cellStyle name="Normal 3 10 2" xfId="196" xr:uid="{00000000-0005-0000-0000-0000A0000000}"/>
    <cellStyle name="Normal 3 10 3" xfId="286" xr:uid="{00000000-0005-0000-0000-0000A1000000}"/>
    <cellStyle name="Normal 3 10 4" xfId="376" xr:uid="{00000000-0005-0000-0000-0000A2000000}"/>
    <cellStyle name="Normal 3 10 5" xfId="466" xr:uid="{00000000-0005-0000-0000-0000A3000000}"/>
    <cellStyle name="Normal 3 10 6" xfId="556" xr:uid="{00000000-0005-0000-0000-0000A4000000}"/>
    <cellStyle name="Normal 3 10 7" xfId="646" xr:uid="{00000000-0005-0000-0000-0000A5000000}"/>
    <cellStyle name="Normal 3 10 8" xfId="736" xr:uid="{00000000-0005-0000-0000-0000A6000000}"/>
    <cellStyle name="Normal 3 10 9" xfId="833" xr:uid="{00000000-0005-0000-0000-0000A7000000}"/>
    <cellStyle name="Normal 3 11" xfId="107" xr:uid="{00000000-0005-0000-0000-0000A8000000}"/>
    <cellStyle name="Normal 3 11 2" xfId="199" xr:uid="{00000000-0005-0000-0000-0000A9000000}"/>
    <cellStyle name="Normal 3 11 3" xfId="289" xr:uid="{00000000-0005-0000-0000-0000AA000000}"/>
    <cellStyle name="Normal 3 11 4" xfId="379" xr:uid="{00000000-0005-0000-0000-0000AB000000}"/>
    <cellStyle name="Normal 3 11 5" xfId="469" xr:uid="{00000000-0005-0000-0000-0000AC000000}"/>
    <cellStyle name="Normal 3 11 6" xfId="559" xr:uid="{00000000-0005-0000-0000-0000AD000000}"/>
    <cellStyle name="Normal 3 11 7" xfId="649" xr:uid="{00000000-0005-0000-0000-0000AE000000}"/>
    <cellStyle name="Normal 3 11 8" xfId="739" xr:uid="{00000000-0005-0000-0000-0000AF000000}"/>
    <cellStyle name="Normal 3 11 9" xfId="836" xr:uid="{00000000-0005-0000-0000-0000B0000000}"/>
    <cellStyle name="Normal 3 12" xfId="110" xr:uid="{00000000-0005-0000-0000-0000B1000000}"/>
    <cellStyle name="Normal 3 12 2" xfId="202" xr:uid="{00000000-0005-0000-0000-0000B2000000}"/>
    <cellStyle name="Normal 3 12 3" xfId="292" xr:uid="{00000000-0005-0000-0000-0000B3000000}"/>
    <cellStyle name="Normal 3 12 4" xfId="382" xr:uid="{00000000-0005-0000-0000-0000B4000000}"/>
    <cellStyle name="Normal 3 12 5" xfId="472" xr:uid="{00000000-0005-0000-0000-0000B5000000}"/>
    <cellStyle name="Normal 3 12 6" xfId="562" xr:uid="{00000000-0005-0000-0000-0000B6000000}"/>
    <cellStyle name="Normal 3 12 7" xfId="652" xr:uid="{00000000-0005-0000-0000-0000B7000000}"/>
    <cellStyle name="Normal 3 12 8" xfId="742" xr:uid="{00000000-0005-0000-0000-0000B8000000}"/>
    <cellStyle name="Normal 3 12 9" xfId="839" xr:uid="{00000000-0005-0000-0000-0000B9000000}"/>
    <cellStyle name="Normal 3 13" xfId="113" xr:uid="{00000000-0005-0000-0000-0000BA000000}"/>
    <cellStyle name="Normal 3 13 2" xfId="205" xr:uid="{00000000-0005-0000-0000-0000BB000000}"/>
    <cellStyle name="Normal 3 13 3" xfId="295" xr:uid="{00000000-0005-0000-0000-0000BC000000}"/>
    <cellStyle name="Normal 3 13 4" xfId="385" xr:uid="{00000000-0005-0000-0000-0000BD000000}"/>
    <cellStyle name="Normal 3 13 5" xfId="475" xr:uid="{00000000-0005-0000-0000-0000BE000000}"/>
    <cellStyle name="Normal 3 13 6" xfId="565" xr:uid="{00000000-0005-0000-0000-0000BF000000}"/>
    <cellStyle name="Normal 3 13 7" xfId="655" xr:uid="{00000000-0005-0000-0000-0000C0000000}"/>
    <cellStyle name="Normal 3 13 8" xfId="745" xr:uid="{00000000-0005-0000-0000-0000C1000000}"/>
    <cellStyle name="Normal 3 13 9" xfId="842" xr:uid="{00000000-0005-0000-0000-0000C2000000}"/>
    <cellStyle name="Normal 3 14" xfId="11" xr:uid="{00000000-0005-0000-0000-0000C3000000}"/>
    <cellStyle name="Normal 3 15" xfId="118" xr:uid="{00000000-0005-0000-0000-0000C4000000}"/>
    <cellStyle name="Normal 3 16" xfId="208" xr:uid="{00000000-0005-0000-0000-0000C5000000}"/>
    <cellStyle name="Normal 3 17" xfId="298" xr:uid="{00000000-0005-0000-0000-0000C6000000}"/>
    <cellStyle name="Normal 3 18" xfId="388" xr:uid="{00000000-0005-0000-0000-0000C7000000}"/>
    <cellStyle name="Normal 3 19" xfId="478" xr:uid="{00000000-0005-0000-0000-0000C8000000}"/>
    <cellStyle name="Normal 3 2" xfId="23" xr:uid="{00000000-0005-0000-0000-0000C9000000}"/>
    <cellStyle name="Normal 3 2 10" xfId="662" xr:uid="{00000000-0005-0000-0000-0000CA000000}"/>
    <cellStyle name="Normal 3 2 11" xfId="757" xr:uid="{00000000-0005-0000-0000-0000CB000000}"/>
    <cellStyle name="Normal 3 2 2" xfId="45" xr:uid="{00000000-0005-0000-0000-0000CC000000}"/>
    <cellStyle name="Normal 3 2 2 10" xfId="777" xr:uid="{00000000-0005-0000-0000-0000CD000000}"/>
    <cellStyle name="Normal 3 2 2 2" xfId="85" xr:uid="{00000000-0005-0000-0000-0000CE000000}"/>
    <cellStyle name="Normal 3 2 2 2 2" xfId="178" xr:uid="{00000000-0005-0000-0000-0000CF000000}"/>
    <cellStyle name="Normal 3 2 2 2 3" xfId="268" xr:uid="{00000000-0005-0000-0000-0000D0000000}"/>
    <cellStyle name="Normal 3 2 2 2 4" xfId="358" xr:uid="{00000000-0005-0000-0000-0000D1000000}"/>
    <cellStyle name="Normal 3 2 2 2 5" xfId="448" xr:uid="{00000000-0005-0000-0000-0000D2000000}"/>
    <cellStyle name="Normal 3 2 2 2 6" xfId="538" xr:uid="{00000000-0005-0000-0000-0000D3000000}"/>
    <cellStyle name="Normal 3 2 2 2 7" xfId="628" xr:uid="{00000000-0005-0000-0000-0000D4000000}"/>
    <cellStyle name="Normal 3 2 2 2 8" xfId="718" xr:uid="{00000000-0005-0000-0000-0000D5000000}"/>
    <cellStyle name="Normal 3 2 2 2 9" xfId="815" xr:uid="{00000000-0005-0000-0000-0000D6000000}"/>
    <cellStyle name="Normal 3 2 2 3" xfId="141" xr:uid="{00000000-0005-0000-0000-0000D7000000}"/>
    <cellStyle name="Normal 3 2 2 4" xfId="231" xr:uid="{00000000-0005-0000-0000-0000D8000000}"/>
    <cellStyle name="Normal 3 2 2 5" xfId="321" xr:uid="{00000000-0005-0000-0000-0000D9000000}"/>
    <cellStyle name="Normal 3 2 2 6" xfId="411" xr:uid="{00000000-0005-0000-0000-0000DA000000}"/>
    <cellStyle name="Normal 3 2 2 7" xfId="501" xr:uid="{00000000-0005-0000-0000-0000DB000000}"/>
    <cellStyle name="Normal 3 2 2 8" xfId="591" xr:uid="{00000000-0005-0000-0000-0000DC000000}"/>
    <cellStyle name="Normal 3 2 2 9" xfId="681" xr:uid="{00000000-0005-0000-0000-0000DD000000}"/>
    <cellStyle name="Normal 3 2 3" xfId="66" xr:uid="{00000000-0005-0000-0000-0000DE000000}"/>
    <cellStyle name="Normal 3 2 3 2" xfId="159" xr:uid="{00000000-0005-0000-0000-0000DF000000}"/>
    <cellStyle name="Normal 3 2 3 3" xfId="249" xr:uid="{00000000-0005-0000-0000-0000E0000000}"/>
    <cellStyle name="Normal 3 2 3 4" xfId="339" xr:uid="{00000000-0005-0000-0000-0000E1000000}"/>
    <cellStyle name="Normal 3 2 3 5" xfId="429" xr:uid="{00000000-0005-0000-0000-0000E2000000}"/>
    <cellStyle name="Normal 3 2 3 6" xfId="519" xr:uid="{00000000-0005-0000-0000-0000E3000000}"/>
    <cellStyle name="Normal 3 2 3 7" xfId="609" xr:uid="{00000000-0005-0000-0000-0000E4000000}"/>
    <cellStyle name="Normal 3 2 3 8" xfId="699" xr:uid="{00000000-0005-0000-0000-0000E5000000}"/>
    <cellStyle name="Normal 3 2 3 9" xfId="796" xr:uid="{00000000-0005-0000-0000-0000E6000000}"/>
    <cellStyle name="Normal 3 2 4" xfId="122" xr:uid="{00000000-0005-0000-0000-0000E7000000}"/>
    <cellStyle name="Normal 3 2 5" xfId="212" xr:uid="{00000000-0005-0000-0000-0000E8000000}"/>
    <cellStyle name="Normal 3 2 6" xfId="302" xr:uid="{00000000-0005-0000-0000-0000E9000000}"/>
    <cellStyle name="Normal 3 2 7" xfId="392" xr:uid="{00000000-0005-0000-0000-0000EA000000}"/>
    <cellStyle name="Normal 3 2 8" xfId="482" xr:uid="{00000000-0005-0000-0000-0000EB000000}"/>
    <cellStyle name="Normal 3 2 9" xfId="572" xr:uid="{00000000-0005-0000-0000-0000EC000000}"/>
    <cellStyle name="Normal 3 20" xfId="568" xr:uid="{00000000-0005-0000-0000-0000ED000000}"/>
    <cellStyle name="Normal 3 21" xfId="658" xr:uid="{00000000-0005-0000-0000-0000EE000000}"/>
    <cellStyle name="Normal 3 22" xfId="748" xr:uid="{00000000-0005-0000-0000-0000EF000000}"/>
    <cellStyle name="Normal 3 3" xfId="26" xr:uid="{00000000-0005-0000-0000-0000F0000000}"/>
    <cellStyle name="Normal 3 3 10" xfId="665" xr:uid="{00000000-0005-0000-0000-0000F1000000}"/>
    <cellStyle name="Normal 3 3 11" xfId="760" xr:uid="{00000000-0005-0000-0000-0000F2000000}"/>
    <cellStyle name="Normal 3 3 2" xfId="48" xr:uid="{00000000-0005-0000-0000-0000F3000000}"/>
    <cellStyle name="Normal 3 3 2 10" xfId="780" xr:uid="{00000000-0005-0000-0000-0000F4000000}"/>
    <cellStyle name="Normal 3 3 2 2" xfId="88" xr:uid="{00000000-0005-0000-0000-0000F5000000}"/>
    <cellStyle name="Normal 3 3 2 2 2" xfId="181" xr:uid="{00000000-0005-0000-0000-0000F6000000}"/>
    <cellStyle name="Normal 3 3 2 2 3" xfId="271" xr:uid="{00000000-0005-0000-0000-0000F7000000}"/>
    <cellStyle name="Normal 3 3 2 2 4" xfId="361" xr:uid="{00000000-0005-0000-0000-0000F8000000}"/>
    <cellStyle name="Normal 3 3 2 2 5" xfId="451" xr:uid="{00000000-0005-0000-0000-0000F9000000}"/>
    <cellStyle name="Normal 3 3 2 2 6" xfId="541" xr:uid="{00000000-0005-0000-0000-0000FA000000}"/>
    <cellStyle name="Normal 3 3 2 2 7" xfId="631" xr:uid="{00000000-0005-0000-0000-0000FB000000}"/>
    <cellStyle name="Normal 3 3 2 2 8" xfId="721" xr:uid="{00000000-0005-0000-0000-0000FC000000}"/>
    <cellStyle name="Normal 3 3 2 2 9" xfId="818" xr:uid="{00000000-0005-0000-0000-0000FD000000}"/>
    <cellStyle name="Normal 3 3 2 3" xfId="144" xr:uid="{00000000-0005-0000-0000-0000FE000000}"/>
    <cellStyle name="Normal 3 3 2 4" xfId="234" xr:uid="{00000000-0005-0000-0000-0000FF000000}"/>
    <cellStyle name="Normal 3 3 2 5" xfId="324" xr:uid="{00000000-0005-0000-0000-000000010000}"/>
    <cellStyle name="Normal 3 3 2 6" xfId="414" xr:uid="{00000000-0005-0000-0000-000001010000}"/>
    <cellStyle name="Normal 3 3 2 7" xfId="504" xr:uid="{00000000-0005-0000-0000-000002010000}"/>
    <cellStyle name="Normal 3 3 2 8" xfId="594" xr:uid="{00000000-0005-0000-0000-000003010000}"/>
    <cellStyle name="Normal 3 3 2 9" xfId="684" xr:uid="{00000000-0005-0000-0000-000004010000}"/>
    <cellStyle name="Normal 3 3 3" xfId="69" xr:uid="{00000000-0005-0000-0000-000005010000}"/>
    <cellStyle name="Normal 3 3 3 2" xfId="162" xr:uid="{00000000-0005-0000-0000-000006010000}"/>
    <cellStyle name="Normal 3 3 3 3" xfId="252" xr:uid="{00000000-0005-0000-0000-000007010000}"/>
    <cellStyle name="Normal 3 3 3 4" xfId="342" xr:uid="{00000000-0005-0000-0000-000008010000}"/>
    <cellStyle name="Normal 3 3 3 5" xfId="432" xr:uid="{00000000-0005-0000-0000-000009010000}"/>
    <cellStyle name="Normal 3 3 3 6" xfId="522" xr:uid="{00000000-0005-0000-0000-00000A010000}"/>
    <cellStyle name="Normal 3 3 3 7" xfId="612" xr:uid="{00000000-0005-0000-0000-00000B010000}"/>
    <cellStyle name="Normal 3 3 3 8" xfId="702" xr:uid="{00000000-0005-0000-0000-00000C010000}"/>
    <cellStyle name="Normal 3 3 3 9" xfId="799" xr:uid="{00000000-0005-0000-0000-00000D010000}"/>
    <cellStyle name="Normal 3 3 4" xfId="125" xr:uid="{00000000-0005-0000-0000-00000E010000}"/>
    <cellStyle name="Normal 3 3 5" xfId="215" xr:uid="{00000000-0005-0000-0000-00000F010000}"/>
    <cellStyle name="Normal 3 3 6" xfId="305" xr:uid="{00000000-0005-0000-0000-000010010000}"/>
    <cellStyle name="Normal 3 3 7" xfId="395" xr:uid="{00000000-0005-0000-0000-000011010000}"/>
    <cellStyle name="Normal 3 3 8" xfId="485" xr:uid="{00000000-0005-0000-0000-000012010000}"/>
    <cellStyle name="Normal 3 3 9" xfId="575" xr:uid="{00000000-0005-0000-0000-000013010000}"/>
    <cellStyle name="Normal 3 4" xfId="29" xr:uid="{00000000-0005-0000-0000-000014010000}"/>
    <cellStyle name="Normal 3 4 10" xfId="668" xr:uid="{00000000-0005-0000-0000-000015010000}"/>
    <cellStyle name="Normal 3 4 11" xfId="763" xr:uid="{00000000-0005-0000-0000-000016010000}"/>
    <cellStyle name="Normal 3 4 2" xfId="51" xr:uid="{00000000-0005-0000-0000-000017010000}"/>
    <cellStyle name="Normal 3 4 2 10" xfId="783" xr:uid="{00000000-0005-0000-0000-000018010000}"/>
    <cellStyle name="Normal 3 4 2 2" xfId="91" xr:uid="{00000000-0005-0000-0000-000019010000}"/>
    <cellStyle name="Normal 3 4 2 2 2" xfId="184" xr:uid="{00000000-0005-0000-0000-00001A010000}"/>
    <cellStyle name="Normal 3 4 2 2 3" xfId="274" xr:uid="{00000000-0005-0000-0000-00001B010000}"/>
    <cellStyle name="Normal 3 4 2 2 4" xfId="364" xr:uid="{00000000-0005-0000-0000-00001C010000}"/>
    <cellStyle name="Normal 3 4 2 2 5" xfId="454" xr:uid="{00000000-0005-0000-0000-00001D010000}"/>
    <cellStyle name="Normal 3 4 2 2 6" xfId="544" xr:uid="{00000000-0005-0000-0000-00001E010000}"/>
    <cellStyle name="Normal 3 4 2 2 7" xfId="634" xr:uid="{00000000-0005-0000-0000-00001F010000}"/>
    <cellStyle name="Normal 3 4 2 2 8" xfId="724" xr:uid="{00000000-0005-0000-0000-000020010000}"/>
    <cellStyle name="Normal 3 4 2 2 9" xfId="821" xr:uid="{00000000-0005-0000-0000-000021010000}"/>
    <cellStyle name="Normal 3 4 2 3" xfId="147" xr:uid="{00000000-0005-0000-0000-000022010000}"/>
    <cellStyle name="Normal 3 4 2 4" xfId="237" xr:uid="{00000000-0005-0000-0000-000023010000}"/>
    <cellStyle name="Normal 3 4 2 5" xfId="327" xr:uid="{00000000-0005-0000-0000-000024010000}"/>
    <cellStyle name="Normal 3 4 2 6" xfId="417" xr:uid="{00000000-0005-0000-0000-000025010000}"/>
    <cellStyle name="Normal 3 4 2 7" xfId="507" xr:uid="{00000000-0005-0000-0000-000026010000}"/>
    <cellStyle name="Normal 3 4 2 8" xfId="597" xr:uid="{00000000-0005-0000-0000-000027010000}"/>
    <cellStyle name="Normal 3 4 2 9" xfId="687" xr:uid="{00000000-0005-0000-0000-000028010000}"/>
    <cellStyle name="Normal 3 4 3" xfId="72" xr:uid="{00000000-0005-0000-0000-000029010000}"/>
    <cellStyle name="Normal 3 4 3 2" xfId="165" xr:uid="{00000000-0005-0000-0000-00002A010000}"/>
    <cellStyle name="Normal 3 4 3 3" xfId="255" xr:uid="{00000000-0005-0000-0000-00002B010000}"/>
    <cellStyle name="Normal 3 4 3 4" xfId="345" xr:uid="{00000000-0005-0000-0000-00002C010000}"/>
    <cellStyle name="Normal 3 4 3 5" xfId="435" xr:uid="{00000000-0005-0000-0000-00002D010000}"/>
    <cellStyle name="Normal 3 4 3 6" xfId="525" xr:uid="{00000000-0005-0000-0000-00002E010000}"/>
    <cellStyle name="Normal 3 4 3 7" xfId="615" xr:uid="{00000000-0005-0000-0000-00002F010000}"/>
    <cellStyle name="Normal 3 4 3 8" xfId="705" xr:uid="{00000000-0005-0000-0000-000030010000}"/>
    <cellStyle name="Normal 3 4 3 9" xfId="802" xr:uid="{00000000-0005-0000-0000-000031010000}"/>
    <cellStyle name="Normal 3 4 4" xfId="128" xr:uid="{00000000-0005-0000-0000-000032010000}"/>
    <cellStyle name="Normal 3 4 5" xfId="218" xr:uid="{00000000-0005-0000-0000-000033010000}"/>
    <cellStyle name="Normal 3 4 6" xfId="308" xr:uid="{00000000-0005-0000-0000-000034010000}"/>
    <cellStyle name="Normal 3 4 7" xfId="398" xr:uid="{00000000-0005-0000-0000-000035010000}"/>
    <cellStyle name="Normal 3 4 8" xfId="488" xr:uid="{00000000-0005-0000-0000-000036010000}"/>
    <cellStyle name="Normal 3 4 9" xfId="578" xr:uid="{00000000-0005-0000-0000-000037010000}"/>
    <cellStyle name="Normal 3 5" xfId="33" xr:uid="{00000000-0005-0000-0000-000038010000}"/>
    <cellStyle name="Normal 3 5 10" xfId="671" xr:uid="{00000000-0005-0000-0000-000039010000}"/>
    <cellStyle name="Normal 3 5 11" xfId="766" xr:uid="{00000000-0005-0000-0000-00003A010000}"/>
    <cellStyle name="Normal 3 5 2" xfId="55" xr:uid="{00000000-0005-0000-0000-00003B010000}"/>
    <cellStyle name="Normal 3 5 2 10" xfId="786" xr:uid="{00000000-0005-0000-0000-00003C010000}"/>
    <cellStyle name="Normal 3 5 2 2" xfId="95" xr:uid="{00000000-0005-0000-0000-00003D010000}"/>
    <cellStyle name="Normal 3 5 2 2 2" xfId="187" xr:uid="{00000000-0005-0000-0000-00003E010000}"/>
    <cellStyle name="Normal 3 5 2 2 3" xfId="277" xr:uid="{00000000-0005-0000-0000-00003F010000}"/>
    <cellStyle name="Normal 3 5 2 2 4" xfId="367" xr:uid="{00000000-0005-0000-0000-000040010000}"/>
    <cellStyle name="Normal 3 5 2 2 5" xfId="457" xr:uid="{00000000-0005-0000-0000-000041010000}"/>
    <cellStyle name="Normal 3 5 2 2 6" xfId="547" xr:uid="{00000000-0005-0000-0000-000042010000}"/>
    <cellStyle name="Normal 3 5 2 2 7" xfId="637" xr:uid="{00000000-0005-0000-0000-000043010000}"/>
    <cellStyle name="Normal 3 5 2 2 8" xfId="727" xr:uid="{00000000-0005-0000-0000-000044010000}"/>
    <cellStyle name="Normal 3 5 2 2 9" xfId="824" xr:uid="{00000000-0005-0000-0000-000045010000}"/>
    <cellStyle name="Normal 3 5 2 3" xfId="150" xr:uid="{00000000-0005-0000-0000-000046010000}"/>
    <cellStyle name="Normal 3 5 2 4" xfId="240" xr:uid="{00000000-0005-0000-0000-000047010000}"/>
    <cellStyle name="Normal 3 5 2 5" xfId="330" xr:uid="{00000000-0005-0000-0000-000048010000}"/>
    <cellStyle name="Normal 3 5 2 6" xfId="420" xr:uid="{00000000-0005-0000-0000-000049010000}"/>
    <cellStyle name="Normal 3 5 2 7" xfId="510" xr:uid="{00000000-0005-0000-0000-00004A010000}"/>
    <cellStyle name="Normal 3 5 2 8" xfId="600" xr:uid="{00000000-0005-0000-0000-00004B010000}"/>
    <cellStyle name="Normal 3 5 2 9" xfId="690" xr:uid="{00000000-0005-0000-0000-00004C010000}"/>
    <cellStyle name="Normal 3 5 3" xfId="75" xr:uid="{00000000-0005-0000-0000-00004D010000}"/>
    <cellStyle name="Normal 3 5 3 2" xfId="168" xr:uid="{00000000-0005-0000-0000-00004E010000}"/>
    <cellStyle name="Normal 3 5 3 3" xfId="258" xr:uid="{00000000-0005-0000-0000-00004F010000}"/>
    <cellStyle name="Normal 3 5 3 4" xfId="348" xr:uid="{00000000-0005-0000-0000-000050010000}"/>
    <cellStyle name="Normal 3 5 3 5" xfId="438" xr:uid="{00000000-0005-0000-0000-000051010000}"/>
    <cellStyle name="Normal 3 5 3 6" xfId="528" xr:uid="{00000000-0005-0000-0000-000052010000}"/>
    <cellStyle name="Normal 3 5 3 7" xfId="618" xr:uid="{00000000-0005-0000-0000-000053010000}"/>
    <cellStyle name="Normal 3 5 3 8" xfId="708" xr:uid="{00000000-0005-0000-0000-000054010000}"/>
    <cellStyle name="Normal 3 5 3 9" xfId="805" xr:uid="{00000000-0005-0000-0000-000055010000}"/>
    <cellStyle name="Normal 3 5 4" xfId="131" xr:uid="{00000000-0005-0000-0000-000056010000}"/>
    <cellStyle name="Normal 3 5 5" xfId="221" xr:uid="{00000000-0005-0000-0000-000057010000}"/>
    <cellStyle name="Normal 3 5 6" xfId="311" xr:uid="{00000000-0005-0000-0000-000058010000}"/>
    <cellStyle name="Normal 3 5 7" xfId="401" xr:uid="{00000000-0005-0000-0000-000059010000}"/>
    <cellStyle name="Normal 3 5 8" xfId="491" xr:uid="{00000000-0005-0000-0000-00005A010000}"/>
    <cellStyle name="Normal 3 5 9" xfId="581" xr:uid="{00000000-0005-0000-0000-00005B010000}"/>
    <cellStyle name="Normal 3 6" xfId="36" xr:uid="{00000000-0005-0000-0000-00005C010000}"/>
    <cellStyle name="Normal 3 6 10" xfId="674" xr:uid="{00000000-0005-0000-0000-00005D010000}"/>
    <cellStyle name="Normal 3 6 11" xfId="769" xr:uid="{00000000-0005-0000-0000-00005E010000}"/>
    <cellStyle name="Normal 3 6 2" xfId="58" xr:uid="{00000000-0005-0000-0000-00005F010000}"/>
    <cellStyle name="Normal 3 6 2 10" xfId="789" xr:uid="{00000000-0005-0000-0000-000060010000}"/>
    <cellStyle name="Normal 3 6 2 2" xfId="98" xr:uid="{00000000-0005-0000-0000-000061010000}"/>
    <cellStyle name="Normal 3 6 2 2 2" xfId="190" xr:uid="{00000000-0005-0000-0000-000062010000}"/>
    <cellStyle name="Normal 3 6 2 2 3" xfId="280" xr:uid="{00000000-0005-0000-0000-000063010000}"/>
    <cellStyle name="Normal 3 6 2 2 4" xfId="370" xr:uid="{00000000-0005-0000-0000-000064010000}"/>
    <cellStyle name="Normal 3 6 2 2 5" xfId="460" xr:uid="{00000000-0005-0000-0000-000065010000}"/>
    <cellStyle name="Normal 3 6 2 2 6" xfId="550" xr:uid="{00000000-0005-0000-0000-000066010000}"/>
    <cellStyle name="Normal 3 6 2 2 7" xfId="640" xr:uid="{00000000-0005-0000-0000-000067010000}"/>
    <cellStyle name="Normal 3 6 2 2 8" xfId="730" xr:uid="{00000000-0005-0000-0000-000068010000}"/>
    <cellStyle name="Normal 3 6 2 2 9" xfId="827" xr:uid="{00000000-0005-0000-0000-000069010000}"/>
    <cellStyle name="Normal 3 6 2 3" xfId="153" xr:uid="{00000000-0005-0000-0000-00006A010000}"/>
    <cellStyle name="Normal 3 6 2 4" xfId="243" xr:uid="{00000000-0005-0000-0000-00006B010000}"/>
    <cellStyle name="Normal 3 6 2 5" xfId="333" xr:uid="{00000000-0005-0000-0000-00006C010000}"/>
    <cellStyle name="Normal 3 6 2 6" xfId="423" xr:uid="{00000000-0005-0000-0000-00006D010000}"/>
    <cellStyle name="Normal 3 6 2 7" xfId="513" xr:uid="{00000000-0005-0000-0000-00006E010000}"/>
    <cellStyle name="Normal 3 6 2 8" xfId="603" xr:uid="{00000000-0005-0000-0000-00006F010000}"/>
    <cellStyle name="Normal 3 6 2 9" xfId="693" xr:uid="{00000000-0005-0000-0000-000070010000}"/>
    <cellStyle name="Normal 3 6 3" xfId="78" xr:uid="{00000000-0005-0000-0000-000071010000}"/>
    <cellStyle name="Normal 3 6 3 2" xfId="171" xr:uid="{00000000-0005-0000-0000-000072010000}"/>
    <cellStyle name="Normal 3 6 3 3" xfId="261" xr:uid="{00000000-0005-0000-0000-000073010000}"/>
    <cellStyle name="Normal 3 6 3 4" xfId="351" xr:uid="{00000000-0005-0000-0000-000074010000}"/>
    <cellStyle name="Normal 3 6 3 5" xfId="441" xr:uid="{00000000-0005-0000-0000-000075010000}"/>
    <cellStyle name="Normal 3 6 3 6" xfId="531" xr:uid="{00000000-0005-0000-0000-000076010000}"/>
    <cellStyle name="Normal 3 6 3 7" xfId="621" xr:uid="{00000000-0005-0000-0000-000077010000}"/>
    <cellStyle name="Normal 3 6 3 8" xfId="711" xr:uid="{00000000-0005-0000-0000-000078010000}"/>
    <cellStyle name="Normal 3 6 3 9" xfId="808" xr:uid="{00000000-0005-0000-0000-000079010000}"/>
    <cellStyle name="Normal 3 6 4" xfId="134" xr:uid="{00000000-0005-0000-0000-00007A010000}"/>
    <cellStyle name="Normal 3 6 5" xfId="224" xr:uid="{00000000-0005-0000-0000-00007B010000}"/>
    <cellStyle name="Normal 3 6 6" xfId="314" xr:uid="{00000000-0005-0000-0000-00007C010000}"/>
    <cellStyle name="Normal 3 6 7" xfId="404" xr:uid="{00000000-0005-0000-0000-00007D010000}"/>
    <cellStyle name="Normal 3 6 8" xfId="494" xr:uid="{00000000-0005-0000-0000-00007E010000}"/>
    <cellStyle name="Normal 3 6 9" xfId="584" xr:uid="{00000000-0005-0000-0000-00007F010000}"/>
    <cellStyle name="Normal 3 7" xfId="42" xr:uid="{00000000-0005-0000-0000-000080010000}"/>
    <cellStyle name="Normal 3 7 10" xfId="774" xr:uid="{00000000-0005-0000-0000-000081010000}"/>
    <cellStyle name="Normal 3 7 2" xfId="82" xr:uid="{00000000-0005-0000-0000-000082010000}"/>
    <cellStyle name="Normal 3 7 2 2" xfId="175" xr:uid="{00000000-0005-0000-0000-000083010000}"/>
    <cellStyle name="Normal 3 7 2 3" xfId="265" xr:uid="{00000000-0005-0000-0000-000084010000}"/>
    <cellStyle name="Normal 3 7 2 4" xfId="355" xr:uid="{00000000-0005-0000-0000-000085010000}"/>
    <cellStyle name="Normal 3 7 2 5" xfId="445" xr:uid="{00000000-0005-0000-0000-000086010000}"/>
    <cellStyle name="Normal 3 7 2 6" xfId="535" xr:uid="{00000000-0005-0000-0000-000087010000}"/>
    <cellStyle name="Normal 3 7 2 7" xfId="625" xr:uid="{00000000-0005-0000-0000-000088010000}"/>
    <cellStyle name="Normal 3 7 2 8" xfId="715" xr:uid="{00000000-0005-0000-0000-000089010000}"/>
    <cellStyle name="Normal 3 7 2 9" xfId="812" xr:uid="{00000000-0005-0000-0000-00008A010000}"/>
    <cellStyle name="Normal 3 7 3" xfId="138" xr:uid="{00000000-0005-0000-0000-00008B010000}"/>
    <cellStyle name="Normal 3 7 4" xfId="228" xr:uid="{00000000-0005-0000-0000-00008C010000}"/>
    <cellStyle name="Normal 3 7 5" xfId="318" xr:uid="{00000000-0005-0000-0000-00008D010000}"/>
    <cellStyle name="Normal 3 7 6" xfId="408" xr:uid="{00000000-0005-0000-0000-00008E010000}"/>
    <cellStyle name="Normal 3 7 7" xfId="498" xr:uid="{00000000-0005-0000-0000-00008F010000}"/>
    <cellStyle name="Normal 3 7 8" xfId="588" xr:uid="{00000000-0005-0000-0000-000090010000}"/>
    <cellStyle name="Normal 3 7 9" xfId="678" xr:uid="{00000000-0005-0000-0000-000091010000}"/>
    <cellStyle name="Normal 3 8" xfId="63" xr:uid="{00000000-0005-0000-0000-000092010000}"/>
    <cellStyle name="Normal 3 8 2" xfId="156" xr:uid="{00000000-0005-0000-0000-000093010000}"/>
    <cellStyle name="Normal 3 8 3" xfId="246" xr:uid="{00000000-0005-0000-0000-000094010000}"/>
    <cellStyle name="Normal 3 8 4" xfId="336" xr:uid="{00000000-0005-0000-0000-000095010000}"/>
    <cellStyle name="Normal 3 8 5" xfId="426" xr:uid="{00000000-0005-0000-0000-000096010000}"/>
    <cellStyle name="Normal 3 8 6" xfId="516" xr:uid="{00000000-0005-0000-0000-000097010000}"/>
    <cellStyle name="Normal 3 8 7" xfId="606" xr:uid="{00000000-0005-0000-0000-000098010000}"/>
    <cellStyle name="Normal 3 8 8" xfId="696" xr:uid="{00000000-0005-0000-0000-000099010000}"/>
    <cellStyle name="Normal 3 8 9" xfId="793" xr:uid="{00000000-0005-0000-0000-00009A010000}"/>
    <cellStyle name="Normal 3 9" xfId="101" xr:uid="{00000000-0005-0000-0000-00009B010000}"/>
    <cellStyle name="Normal 3 9 2" xfId="193" xr:uid="{00000000-0005-0000-0000-00009C010000}"/>
    <cellStyle name="Normal 3 9 3" xfId="283" xr:uid="{00000000-0005-0000-0000-00009D010000}"/>
    <cellStyle name="Normal 3 9 4" xfId="373" xr:uid="{00000000-0005-0000-0000-00009E010000}"/>
    <cellStyle name="Normal 3 9 5" xfId="463" xr:uid="{00000000-0005-0000-0000-00009F010000}"/>
    <cellStyle name="Normal 3 9 6" xfId="553" xr:uid="{00000000-0005-0000-0000-0000A0010000}"/>
    <cellStyle name="Normal 3 9 7" xfId="643" xr:uid="{00000000-0005-0000-0000-0000A1010000}"/>
    <cellStyle name="Normal 3 9 8" xfId="733" xr:uid="{00000000-0005-0000-0000-0000A2010000}"/>
    <cellStyle name="Normal 3 9 9" xfId="830" xr:uid="{00000000-0005-0000-0000-0000A3010000}"/>
    <cellStyle name="Normal 4" xfId="12" xr:uid="{00000000-0005-0000-0000-0000A4010000}"/>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6" xfId="18" xr:uid="{00000000-0005-0000-0000-0000AA010000}"/>
    <cellStyle name="Normal 6 10" xfId="660" xr:uid="{00000000-0005-0000-0000-0000AB010000}"/>
    <cellStyle name="Normal 6 11" xfId="754" xr:uid="{00000000-0005-0000-0000-0000AC010000}"/>
    <cellStyle name="Normal 6 2" xfId="41" xr:uid="{00000000-0005-0000-0000-0000AD010000}"/>
    <cellStyle name="Normal 6 2 10" xfId="773" xr:uid="{00000000-0005-0000-0000-0000AE010000}"/>
    <cellStyle name="Normal 6 2 2" xfId="81" xr:uid="{00000000-0005-0000-0000-0000AF010000}"/>
    <cellStyle name="Normal 6 2 2 2" xfId="174" xr:uid="{00000000-0005-0000-0000-0000B0010000}"/>
    <cellStyle name="Normal 6 2 2 3" xfId="264" xr:uid="{00000000-0005-0000-0000-0000B1010000}"/>
    <cellStyle name="Normal 6 2 2 4" xfId="354" xr:uid="{00000000-0005-0000-0000-0000B2010000}"/>
    <cellStyle name="Normal 6 2 2 5" xfId="444" xr:uid="{00000000-0005-0000-0000-0000B3010000}"/>
    <cellStyle name="Normal 6 2 2 6" xfId="534" xr:uid="{00000000-0005-0000-0000-0000B4010000}"/>
    <cellStyle name="Normal 6 2 2 7" xfId="624" xr:uid="{00000000-0005-0000-0000-0000B5010000}"/>
    <cellStyle name="Normal 6 2 2 8" xfId="714" xr:uid="{00000000-0005-0000-0000-0000B6010000}"/>
    <cellStyle name="Normal 6 2 2 9" xfId="811" xr:uid="{00000000-0005-0000-0000-0000B7010000}"/>
    <cellStyle name="Normal 6 2 3" xfId="137" xr:uid="{00000000-0005-0000-0000-0000B8010000}"/>
    <cellStyle name="Normal 6 2 4" xfId="227" xr:uid="{00000000-0005-0000-0000-0000B9010000}"/>
    <cellStyle name="Normal 6 2 5" xfId="317" xr:uid="{00000000-0005-0000-0000-0000BA010000}"/>
    <cellStyle name="Normal 6 2 6" xfId="407" xr:uid="{00000000-0005-0000-0000-0000BB010000}"/>
    <cellStyle name="Normal 6 2 7" xfId="497" xr:uid="{00000000-0005-0000-0000-0000BC010000}"/>
    <cellStyle name="Normal 6 2 8" xfId="587" xr:uid="{00000000-0005-0000-0000-0000BD010000}"/>
    <cellStyle name="Normal 6 2 9" xfId="677" xr:uid="{00000000-0005-0000-0000-0000BE010000}"/>
    <cellStyle name="Normal 6 3" xfId="62" xr:uid="{00000000-0005-0000-0000-0000BF010000}"/>
    <cellStyle name="Normal 6 3 2" xfId="155" xr:uid="{00000000-0005-0000-0000-0000C0010000}"/>
    <cellStyle name="Normal 6 3 3" xfId="245" xr:uid="{00000000-0005-0000-0000-0000C1010000}"/>
    <cellStyle name="Normal 6 3 4" xfId="335" xr:uid="{00000000-0005-0000-0000-0000C2010000}"/>
    <cellStyle name="Normal 6 3 5" xfId="425" xr:uid="{00000000-0005-0000-0000-0000C3010000}"/>
    <cellStyle name="Normal 6 3 6" xfId="515" xr:uid="{00000000-0005-0000-0000-0000C4010000}"/>
    <cellStyle name="Normal 6 3 7" xfId="605" xr:uid="{00000000-0005-0000-0000-0000C5010000}"/>
    <cellStyle name="Normal 6 3 8" xfId="695" xr:uid="{00000000-0005-0000-0000-0000C6010000}"/>
    <cellStyle name="Normal 6 3 9" xfId="792" xr:uid="{00000000-0005-0000-0000-0000C7010000}"/>
    <cellStyle name="Normal 6 4" xfId="120" xr:uid="{00000000-0005-0000-0000-0000C8010000}"/>
    <cellStyle name="Normal 6 5" xfId="210" xr:uid="{00000000-0005-0000-0000-0000C9010000}"/>
    <cellStyle name="Normal 6 6" xfId="300" xr:uid="{00000000-0005-0000-0000-0000CA010000}"/>
    <cellStyle name="Normal 6 7" xfId="390" xr:uid="{00000000-0005-0000-0000-0000CB010000}"/>
    <cellStyle name="Normal 6 8" xfId="480" xr:uid="{00000000-0005-0000-0000-0000CC010000}"/>
    <cellStyle name="Normal 6 9" xfId="570" xr:uid="{00000000-0005-0000-0000-0000CD010000}"/>
    <cellStyle name="Normal 7" xfId="22" xr:uid="{00000000-0005-0000-0000-0000CE010000}"/>
    <cellStyle name="Normal 7 10" xfId="661" xr:uid="{00000000-0005-0000-0000-0000CF010000}"/>
    <cellStyle name="Normal 7 11" xfId="756" xr:uid="{00000000-0005-0000-0000-0000D0010000}"/>
    <cellStyle name="Normal 7 2" xfId="44" xr:uid="{00000000-0005-0000-0000-0000D1010000}"/>
    <cellStyle name="Normal 7 2 10" xfId="776" xr:uid="{00000000-0005-0000-0000-0000D2010000}"/>
    <cellStyle name="Normal 7 2 2" xfId="84" xr:uid="{00000000-0005-0000-0000-0000D3010000}"/>
    <cellStyle name="Normal 7 2 2 2" xfId="177" xr:uid="{00000000-0005-0000-0000-0000D4010000}"/>
    <cellStyle name="Normal 7 2 2 3" xfId="267" xr:uid="{00000000-0005-0000-0000-0000D5010000}"/>
    <cellStyle name="Normal 7 2 2 4" xfId="357" xr:uid="{00000000-0005-0000-0000-0000D6010000}"/>
    <cellStyle name="Normal 7 2 2 5" xfId="447" xr:uid="{00000000-0005-0000-0000-0000D7010000}"/>
    <cellStyle name="Normal 7 2 2 6" xfId="537" xr:uid="{00000000-0005-0000-0000-0000D8010000}"/>
    <cellStyle name="Normal 7 2 2 7" xfId="627" xr:uid="{00000000-0005-0000-0000-0000D9010000}"/>
    <cellStyle name="Normal 7 2 2 8" xfId="717" xr:uid="{00000000-0005-0000-0000-0000DA010000}"/>
    <cellStyle name="Normal 7 2 2 9" xfId="814" xr:uid="{00000000-0005-0000-0000-0000DB010000}"/>
    <cellStyle name="Normal 7 2 3" xfId="140" xr:uid="{00000000-0005-0000-0000-0000DC010000}"/>
    <cellStyle name="Normal 7 2 4" xfId="230" xr:uid="{00000000-0005-0000-0000-0000DD010000}"/>
    <cellStyle name="Normal 7 2 5" xfId="320" xr:uid="{00000000-0005-0000-0000-0000DE010000}"/>
    <cellStyle name="Normal 7 2 6" xfId="410" xr:uid="{00000000-0005-0000-0000-0000DF010000}"/>
    <cellStyle name="Normal 7 2 7" xfId="500" xr:uid="{00000000-0005-0000-0000-0000E0010000}"/>
    <cellStyle name="Normal 7 2 8" xfId="590" xr:uid="{00000000-0005-0000-0000-0000E1010000}"/>
    <cellStyle name="Normal 7 2 9" xfId="680" xr:uid="{00000000-0005-0000-0000-0000E2010000}"/>
    <cellStyle name="Normal 7 3" xfId="65" xr:uid="{00000000-0005-0000-0000-0000E3010000}"/>
    <cellStyle name="Normal 7 3 2" xfId="158" xr:uid="{00000000-0005-0000-0000-0000E4010000}"/>
    <cellStyle name="Normal 7 3 3" xfId="248" xr:uid="{00000000-0005-0000-0000-0000E5010000}"/>
    <cellStyle name="Normal 7 3 4" xfId="338" xr:uid="{00000000-0005-0000-0000-0000E6010000}"/>
    <cellStyle name="Normal 7 3 5" xfId="428" xr:uid="{00000000-0005-0000-0000-0000E7010000}"/>
    <cellStyle name="Normal 7 3 6" xfId="518" xr:uid="{00000000-0005-0000-0000-0000E8010000}"/>
    <cellStyle name="Normal 7 3 7" xfId="608" xr:uid="{00000000-0005-0000-0000-0000E9010000}"/>
    <cellStyle name="Normal 7 3 8" xfId="698" xr:uid="{00000000-0005-0000-0000-0000EA010000}"/>
    <cellStyle name="Normal 7 3 9" xfId="795" xr:uid="{00000000-0005-0000-0000-0000EB010000}"/>
    <cellStyle name="Normal 7 4" xfId="121" xr:uid="{00000000-0005-0000-0000-0000EC010000}"/>
    <cellStyle name="Normal 7 5" xfId="211" xr:uid="{00000000-0005-0000-0000-0000ED010000}"/>
    <cellStyle name="Normal 7 6" xfId="301" xr:uid="{00000000-0005-0000-0000-0000EE010000}"/>
    <cellStyle name="Normal 7 7" xfId="391" xr:uid="{00000000-0005-0000-0000-0000EF010000}"/>
    <cellStyle name="Normal 7 8" xfId="481" xr:uid="{00000000-0005-0000-0000-0000F0010000}"/>
    <cellStyle name="Normal 7 9" xfId="571" xr:uid="{00000000-0005-0000-0000-0000F1010000}"/>
    <cellStyle name="Normal 8" xfId="25" xr:uid="{00000000-0005-0000-0000-0000F2010000}"/>
    <cellStyle name="Normal 8 10" xfId="664" xr:uid="{00000000-0005-0000-0000-0000F3010000}"/>
    <cellStyle name="Normal 8 11" xfId="759" xr:uid="{00000000-0005-0000-0000-0000F4010000}"/>
    <cellStyle name="Normal 8 2" xfId="47" xr:uid="{00000000-0005-0000-0000-0000F5010000}"/>
    <cellStyle name="Normal 8 2 10" xfId="779" xr:uid="{00000000-0005-0000-0000-0000F6010000}"/>
    <cellStyle name="Normal 8 2 2" xfId="87" xr:uid="{00000000-0005-0000-0000-0000F7010000}"/>
    <cellStyle name="Normal 8 2 2 2" xfId="180" xr:uid="{00000000-0005-0000-0000-0000F8010000}"/>
    <cellStyle name="Normal 8 2 2 3" xfId="270" xr:uid="{00000000-0005-0000-0000-0000F9010000}"/>
    <cellStyle name="Normal 8 2 2 4" xfId="360" xr:uid="{00000000-0005-0000-0000-0000FA010000}"/>
    <cellStyle name="Normal 8 2 2 5" xfId="450" xr:uid="{00000000-0005-0000-0000-0000FB010000}"/>
    <cellStyle name="Normal 8 2 2 6" xfId="540" xr:uid="{00000000-0005-0000-0000-0000FC010000}"/>
    <cellStyle name="Normal 8 2 2 7" xfId="630" xr:uid="{00000000-0005-0000-0000-0000FD010000}"/>
    <cellStyle name="Normal 8 2 2 8" xfId="720" xr:uid="{00000000-0005-0000-0000-0000FE010000}"/>
    <cellStyle name="Normal 8 2 2 9" xfId="817" xr:uid="{00000000-0005-0000-0000-0000FF010000}"/>
    <cellStyle name="Normal 8 2 3" xfId="143" xr:uid="{00000000-0005-0000-0000-000000020000}"/>
    <cellStyle name="Normal 8 2 4" xfId="233" xr:uid="{00000000-0005-0000-0000-000001020000}"/>
    <cellStyle name="Normal 8 2 5" xfId="323" xr:uid="{00000000-0005-0000-0000-000002020000}"/>
    <cellStyle name="Normal 8 2 6" xfId="413" xr:uid="{00000000-0005-0000-0000-000003020000}"/>
    <cellStyle name="Normal 8 2 7" xfId="503" xr:uid="{00000000-0005-0000-0000-000004020000}"/>
    <cellStyle name="Normal 8 2 8" xfId="593" xr:uid="{00000000-0005-0000-0000-000005020000}"/>
    <cellStyle name="Normal 8 2 9" xfId="683" xr:uid="{00000000-0005-0000-0000-000006020000}"/>
    <cellStyle name="Normal 8 3" xfId="68" xr:uid="{00000000-0005-0000-0000-000007020000}"/>
    <cellStyle name="Normal 8 3 2" xfId="161" xr:uid="{00000000-0005-0000-0000-000008020000}"/>
    <cellStyle name="Normal 8 3 3" xfId="251" xr:uid="{00000000-0005-0000-0000-000009020000}"/>
    <cellStyle name="Normal 8 3 4" xfId="341" xr:uid="{00000000-0005-0000-0000-00000A020000}"/>
    <cellStyle name="Normal 8 3 5" xfId="431" xr:uid="{00000000-0005-0000-0000-00000B020000}"/>
    <cellStyle name="Normal 8 3 6" xfId="521" xr:uid="{00000000-0005-0000-0000-00000C020000}"/>
    <cellStyle name="Normal 8 3 7" xfId="611" xr:uid="{00000000-0005-0000-0000-00000D020000}"/>
    <cellStyle name="Normal 8 3 8" xfId="701" xr:uid="{00000000-0005-0000-0000-00000E020000}"/>
    <cellStyle name="Normal 8 3 9" xfId="798" xr:uid="{00000000-0005-0000-0000-00000F020000}"/>
    <cellStyle name="Normal 8 4" xfId="124" xr:uid="{00000000-0005-0000-0000-000010020000}"/>
    <cellStyle name="Normal 8 5" xfId="214" xr:uid="{00000000-0005-0000-0000-000011020000}"/>
    <cellStyle name="Normal 8 6" xfId="304" xr:uid="{00000000-0005-0000-0000-000012020000}"/>
    <cellStyle name="Normal 8 7" xfId="394" xr:uid="{00000000-0005-0000-0000-000013020000}"/>
    <cellStyle name="Normal 8 8" xfId="484" xr:uid="{00000000-0005-0000-0000-000014020000}"/>
    <cellStyle name="Normal 8 9" xfId="574" xr:uid="{00000000-0005-0000-0000-000015020000}"/>
    <cellStyle name="Normal 9" xfId="28" xr:uid="{00000000-0005-0000-0000-000016020000}"/>
    <cellStyle name="Normal 9 10" xfId="667" xr:uid="{00000000-0005-0000-0000-000017020000}"/>
    <cellStyle name="Normal 9 11" xfId="762" xr:uid="{00000000-0005-0000-0000-000018020000}"/>
    <cellStyle name="Normal 9 2" xfId="50" xr:uid="{00000000-0005-0000-0000-000019020000}"/>
    <cellStyle name="Normal 9 2 10" xfId="782" xr:uid="{00000000-0005-0000-0000-00001A020000}"/>
    <cellStyle name="Normal 9 2 2" xfId="90" xr:uid="{00000000-0005-0000-0000-00001B020000}"/>
    <cellStyle name="Normal 9 2 2 2" xfId="183" xr:uid="{00000000-0005-0000-0000-00001C020000}"/>
    <cellStyle name="Normal 9 2 2 3" xfId="273" xr:uid="{00000000-0005-0000-0000-00001D020000}"/>
    <cellStyle name="Normal 9 2 2 4" xfId="363" xr:uid="{00000000-0005-0000-0000-00001E020000}"/>
    <cellStyle name="Normal 9 2 2 5" xfId="453" xr:uid="{00000000-0005-0000-0000-00001F020000}"/>
    <cellStyle name="Normal 9 2 2 6" xfId="543" xr:uid="{00000000-0005-0000-0000-000020020000}"/>
    <cellStyle name="Normal 9 2 2 7" xfId="633" xr:uid="{00000000-0005-0000-0000-000021020000}"/>
    <cellStyle name="Normal 9 2 2 8" xfId="723" xr:uid="{00000000-0005-0000-0000-000022020000}"/>
    <cellStyle name="Normal 9 2 2 9" xfId="820" xr:uid="{00000000-0005-0000-0000-000023020000}"/>
    <cellStyle name="Normal 9 2 3" xfId="146" xr:uid="{00000000-0005-0000-0000-000024020000}"/>
    <cellStyle name="Normal 9 2 4" xfId="236" xr:uid="{00000000-0005-0000-0000-000025020000}"/>
    <cellStyle name="Normal 9 2 5" xfId="326" xr:uid="{00000000-0005-0000-0000-000026020000}"/>
    <cellStyle name="Normal 9 2 6" xfId="416" xr:uid="{00000000-0005-0000-0000-000027020000}"/>
    <cellStyle name="Normal 9 2 7" xfId="506" xr:uid="{00000000-0005-0000-0000-000028020000}"/>
    <cellStyle name="Normal 9 2 8" xfId="596" xr:uid="{00000000-0005-0000-0000-000029020000}"/>
    <cellStyle name="Normal 9 2 9" xfId="686" xr:uid="{00000000-0005-0000-0000-00002A020000}"/>
    <cellStyle name="Normal 9 3" xfId="71" xr:uid="{00000000-0005-0000-0000-00002B020000}"/>
    <cellStyle name="Normal 9 3 2" xfId="164" xr:uid="{00000000-0005-0000-0000-00002C020000}"/>
    <cellStyle name="Normal 9 3 3" xfId="254" xr:uid="{00000000-0005-0000-0000-00002D020000}"/>
    <cellStyle name="Normal 9 3 4" xfId="344" xr:uid="{00000000-0005-0000-0000-00002E020000}"/>
    <cellStyle name="Normal 9 3 5" xfId="434" xr:uid="{00000000-0005-0000-0000-00002F020000}"/>
    <cellStyle name="Normal 9 3 6" xfId="524" xr:uid="{00000000-0005-0000-0000-000030020000}"/>
    <cellStyle name="Normal 9 3 7" xfId="614" xr:uid="{00000000-0005-0000-0000-000031020000}"/>
    <cellStyle name="Normal 9 3 8" xfId="704" xr:uid="{00000000-0005-0000-0000-000032020000}"/>
    <cellStyle name="Normal 9 3 9" xfId="801" xr:uid="{00000000-0005-0000-0000-000033020000}"/>
    <cellStyle name="Normal 9 4" xfId="127" xr:uid="{00000000-0005-0000-0000-000034020000}"/>
    <cellStyle name="Normal 9 5" xfId="217" xr:uid="{00000000-0005-0000-0000-000035020000}"/>
    <cellStyle name="Normal 9 6" xfId="307" xr:uid="{00000000-0005-0000-0000-000036020000}"/>
    <cellStyle name="Normal 9 7" xfId="397" xr:uid="{00000000-0005-0000-0000-000037020000}"/>
    <cellStyle name="Normal 9 8" xfId="487" xr:uid="{00000000-0005-0000-0000-000038020000}"/>
    <cellStyle name="Normal 9 9" xfId="577" xr:uid="{00000000-0005-0000-0000-000039020000}"/>
    <cellStyle name="Normal_Forslag" xfId="845" xr:uid="{00000000-0005-0000-0000-00003A020000}"/>
    <cellStyle name="Tusenskille 2" xfId="14" xr:uid="{00000000-0005-0000-0000-00003C020000}"/>
    <cellStyle name="Tusenskille 2 2" xfId="15" xr:uid="{00000000-0005-0000-0000-00003D020000}"/>
    <cellStyle name="Tusenskille 2 2 2" xfId="751" xr:uid="{00000000-0005-0000-0000-00003E020000}"/>
    <cellStyle name="Tusenskille 2 2 3" xfId="848" xr:uid="{F77FA10F-B946-43D0-BDB2-55CEFCE8EA1F}"/>
    <cellStyle name="Tusenskille 2 3" xfId="21" xr:uid="{00000000-0005-0000-0000-00003F020000}"/>
    <cellStyle name="Tusenskille 2 3 2" xfId="755" xr:uid="{00000000-0005-0000-0000-000040020000}"/>
    <cellStyle name="Tusenskille 2 4" xfId="40" xr:uid="{00000000-0005-0000-0000-000041020000}"/>
    <cellStyle name="Tusenskille 2 4 2" xfId="772" xr:uid="{00000000-0005-0000-0000-000042020000}"/>
    <cellStyle name="Tusenskille 2 5" xfId="61" xr:uid="{00000000-0005-0000-0000-000043020000}"/>
    <cellStyle name="Tusenskille 2 5 2" xfId="791" xr:uid="{00000000-0005-0000-0000-000044020000}"/>
    <cellStyle name="Tusenskille 2 6" xfId="750" xr:uid="{00000000-0005-0000-0000-000045020000}"/>
    <cellStyle name="Tusenskille 3" xfId="16" xr:uid="{00000000-0005-0000-0000-000046020000}"/>
    <cellStyle name="Tusenskille 3 10" xfId="105" xr:uid="{00000000-0005-0000-0000-000047020000}"/>
    <cellStyle name="Tusenskille 3 10 2" xfId="197" xr:uid="{00000000-0005-0000-0000-000048020000}"/>
    <cellStyle name="Tusenskille 3 10 3" xfId="287" xr:uid="{00000000-0005-0000-0000-000049020000}"/>
    <cellStyle name="Tusenskille 3 10 4" xfId="377" xr:uid="{00000000-0005-0000-0000-00004A020000}"/>
    <cellStyle name="Tusenskille 3 10 5" xfId="467" xr:uid="{00000000-0005-0000-0000-00004B020000}"/>
    <cellStyle name="Tusenskille 3 10 6" xfId="557" xr:uid="{00000000-0005-0000-0000-00004C020000}"/>
    <cellStyle name="Tusenskille 3 10 7" xfId="647" xr:uid="{00000000-0005-0000-0000-00004D020000}"/>
    <cellStyle name="Tusenskille 3 10 8" xfId="737" xr:uid="{00000000-0005-0000-0000-00004E020000}"/>
    <cellStyle name="Tusenskille 3 10 9" xfId="834" xr:uid="{00000000-0005-0000-0000-00004F020000}"/>
    <cellStyle name="Tusenskille 3 11" xfId="108" xr:uid="{00000000-0005-0000-0000-000050020000}"/>
    <cellStyle name="Tusenskille 3 11 2" xfId="200" xr:uid="{00000000-0005-0000-0000-000051020000}"/>
    <cellStyle name="Tusenskille 3 11 3" xfId="290" xr:uid="{00000000-0005-0000-0000-000052020000}"/>
    <cellStyle name="Tusenskille 3 11 4" xfId="380" xr:uid="{00000000-0005-0000-0000-000053020000}"/>
    <cellStyle name="Tusenskille 3 11 5" xfId="470" xr:uid="{00000000-0005-0000-0000-000054020000}"/>
    <cellStyle name="Tusenskille 3 11 6" xfId="560" xr:uid="{00000000-0005-0000-0000-000055020000}"/>
    <cellStyle name="Tusenskille 3 11 7" xfId="650" xr:uid="{00000000-0005-0000-0000-000056020000}"/>
    <cellStyle name="Tusenskille 3 11 8" xfId="740" xr:uid="{00000000-0005-0000-0000-000057020000}"/>
    <cellStyle name="Tusenskille 3 11 9" xfId="837" xr:uid="{00000000-0005-0000-0000-000058020000}"/>
    <cellStyle name="Tusenskille 3 12" xfId="111" xr:uid="{00000000-0005-0000-0000-000059020000}"/>
    <cellStyle name="Tusenskille 3 12 2" xfId="203" xr:uid="{00000000-0005-0000-0000-00005A020000}"/>
    <cellStyle name="Tusenskille 3 12 3" xfId="293" xr:uid="{00000000-0005-0000-0000-00005B020000}"/>
    <cellStyle name="Tusenskille 3 12 4" xfId="383" xr:uid="{00000000-0005-0000-0000-00005C020000}"/>
    <cellStyle name="Tusenskille 3 12 5" xfId="473" xr:uid="{00000000-0005-0000-0000-00005D020000}"/>
    <cellStyle name="Tusenskille 3 12 6" xfId="563" xr:uid="{00000000-0005-0000-0000-00005E020000}"/>
    <cellStyle name="Tusenskille 3 12 7" xfId="653" xr:uid="{00000000-0005-0000-0000-00005F020000}"/>
    <cellStyle name="Tusenskille 3 12 8" xfId="743" xr:uid="{00000000-0005-0000-0000-000060020000}"/>
    <cellStyle name="Tusenskille 3 12 9" xfId="840" xr:uid="{00000000-0005-0000-0000-000061020000}"/>
    <cellStyle name="Tusenskille 3 13" xfId="114" xr:uid="{00000000-0005-0000-0000-000062020000}"/>
    <cellStyle name="Tusenskille 3 13 2" xfId="206" xr:uid="{00000000-0005-0000-0000-000063020000}"/>
    <cellStyle name="Tusenskille 3 13 3" xfId="296" xr:uid="{00000000-0005-0000-0000-000064020000}"/>
    <cellStyle name="Tusenskille 3 13 4" xfId="386" xr:uid="{00000000-0005-0000-0000-000065020000}"/>
    <cellStyle name="Tusenskille 3 13 5" xfId="476" xr:uid="{00000000-0005-0000-0000-000066020000}"/>
    <cellStyle name="Tusenskille 3 13 6" xfId="566" xr:uid="{00000000-0005-0000-0000-000067020000}"/>
    <cellStyle name="Tusenskille 3 13 7" xfId="656" xr:uid="{00000000-0005-0000-0000-000068020000}"/>
    <cellStyle name="Tusenskille 3 13 8" xfId="746" xr:uid="{00000000-0005-0000-0000-000069020000}"/>
    <cellStyle name="Tusenskille 3 13 9" xfId="843" xr:uid="{00000000-0005-0000-0000-00006A020000}"/>
    <cellStyle name="Tusenskille 3 14" xfId="119" xr:uid="{00000000-0005-0000-0000-00006B020000}"/>
    <cellStyle name="Tusenskille 3 15" xfId="209" xr:uid="{00000000-0005-0000-0000-00006C020000}"/>
    <cellStyle name="Tusenskille 3 16" xfId="299" xr:uid="{00000000-0005-0000-0000-00006D020000}"/>
    <cellStyle name="Tusenskille 3 17" xfId="389" xr:uid="{00000000-0005-0000-0000-00006E020000}"/>
    <cellStyle name="Tusenskille 3 18" xfId="479" xr:uid="{00000000-0005-0000-0000-00006F020000}"/>
    <cellStyle name="Tusenskille 3 19" xfId="569" xr:uid="{00000000-0005-0000-0000-000070020000}"/>
    <cellStyle name="Tusenskille 3 2" xfId="24" xr:uid="{00000000-0005-0000-0000-000071020000}"/>
    <cellStyle name="Tusenskille 3 2 10" xfId="663" xr:uid="{00000000-0005-0000-0000-000072020000}"/>
    <cellStyle name="Tusenskille 3 2 11" xfId="758" xr:uid="{00000000-0005-0000-0000-000073020000}"/>
    <cellStyle name="Tusenskille 3 2 2" xfId="46" xr:uid="{00000000-0005-0000-0000-000074020000}"/>
    <cellStyle name="Tusenskille 3 2 2 10" xfId="778" xr:uid="{00000000-0005-0000-0000-000075020000}"/>
    <cellStyle name="Tusenskille 3 2 2 2" xfId="86" xr:uid="{00000000-0005-0000-0000-000076020000}"/>
    <cellStyle name="Tusenskille 3 2 2 2 2" xfId="179" xr:uid="{00000000-0005-0000-0000-000077020000}"/>
    <cellStyle name="Tusenskille 3 2 2 2 3" xfId="269" xr:uid="{00000000-0005-0000-0000-000078020000}"/>
    <cellStyle name="Tusenskille 3 2 2 2 4" xfId="359" xr:uid="{00000000-0005-0000-0000-000079020000}"/>
    <cellStyle name="Tusenskille 3 2 2 2 5" xfId="449" xr:uid="{00000000-0005-0000-0000-00007A020000}"/>
    <cellStyle name="Tusenskille 3 2 2 2 6" xfId="539" xr:uid="{00000000-0005-0000-0000-00007B020000}"/>
    <cellStyle name="Tusenskille 3 2 2 2 7" xfId="629" xr:uid="{00000000-0005-0000-0000-00007C020000}"/>
    <cellStyle name="Tusenskille 3 2 2 2 8" xfId="719" xr:uid="{00000000-0005-0000-0000-00007D020000}"/>
    <cellStyle name="Tusenskille 3 2 2 2 9" xfId="816" xr:uid="{00000000-0005-0000-0000-00007E020000}"/>
    <cellStyle name="Tusenskille 3 2 2 3" xfId="142" xr:uid="{00000000-0005-0000-0000-00007F020000}"/>
    <cellStyle name="Tusenskille 3 2 2 4" xfId="232" xr:uid="{00000000-0005-0000-0000-000080020000}"/>
    <cellStyle name="Tusenskille 3 2 2 5" xfId="322" xr:uid="{00000000-0005-0000-0000-000081020000}"/>
    <cellStyle name="Tusenskille 3 2 2 6" xfId="412" xr:uid="{00000000-0005-0000-0000-000082020000}"/>
    <cellStyle name="Tusenskille 3 2 2 7" xfId="502" xr:uid="{00000000-0005-0000-0000-000083020000}"/>
    <cellStyle name="Tusenskille 3 2 2 8" xfId="592" xr:uid="{00000000-0005-0000-0000-000084020000}"/>
    <cellStyle name="Tusenskille 3 2 2 9" xfId="682" xr:uid="{00000000-0005-0000-0000-000085020000}"/>
    <cellStyle name="Tusenskille 3 2 3" xfId="67" xr:uid="{00000000-0005-0000-0000-000086020000}"/>
    <cellStyle name="Tusenskille 3 2 3 2" xfId="160" xr:uid="{00000000-0005-0000-0000-000087020000}"/>
    <cellStyle name="Tusenskille 3 2 3 3" xfId="250" xr:uid="{00000000-0005-0000-0000-000088020000}"/>
    <cellStyle name="Tusenskille 3 2 3 4" xfId="340" xr:uid="{00000000-0005-0000-0000-000089020000}"/>
    <cellStyle name="Tusenskille 3 2 3 5" xfId="430" xr:uid="{00000000-0005-0000-0000-00008A020000}"/>
    <cellStyle name="Tusenskille 3 2 3 6" xfId="520" xr:uid="{00000000-0005-0000-0000-00008B020000}"/>
    <cellStyle name="Tusenskille 3 2 3 7" xfId="610" xr:uid="{00000000-0005-0000-0000-00008C020000}"/>
    <cellStyle name="Tusenskille 3 2 3 8" xfId="700" xr:uid="{00000000-0005-0000-0000-00008D020000}"/>
    <cellStyle name="Tusenskille 3 2 3 9" xfId="797" xr:uid="{00000000-0005-0000-0000-00008E020000}"/>
    <cellStyle name="Tusenskille 3 2 4" xfId="123" xr:uid="{00000000-0005-0000-0000-00008F020000}"/>
    <cellStyle name="Tusenskille 3 2 5" xfId="213" xr:uid="{00000000-0005-0000-0000-000090020000}"/>
    <cellStyle name="Tusenskille 3 2 6" xfId="303" xr:uid="{00000000-0005-0000-0000-000091020000}"/>
    <cellStyle name="Tusenskille 3 2 7" xfId="393" xr:uid="{00000000-0005-0000-0000-000092020000}"/>
    <cellStyle name="Tusenskille 3 2 8" xfId="483" xr:uid="{00000000-0005-0000-0000-000093020000}"/>
    <cellStyle name="Tusenskille 3 2 9" xfId="573" xr:uid="{00000000-0005-0000-0000-000094020000}"/>
    <cellStyle name="Tusenskille 3 20" xfId="659" xr:uid="{00000000-0005-0000-0000-000095020000}"/>
    <cellStyle name="Tusenskille 3 21" xfId="752" xr:uid="{00000000-0005-0000-0000-000096020000}"/>
    <cellStyle name="Tusenskille 3 3" xfId="27" xr:uid="{00000000-0005-0000-0000-000097020000}"/>
    <cellStyle name="Tusenskille 3 3 10" xfId="666" xr:uid="{00000000-0005-0000-0000-000098020000}"/>
    <cellStyle name="Tusenskille 3 3 11" xfId="761" xr:uid="{00000000-0005-0000-0000-000099020000}"/>
    <cellStyle name="Tusenskille 3 3 2" xfId="49" xr:uid="{00000000-0005-0000-0000-00009A020000}"/>
    <cellStyle name="Tusenskille 3 3 2 10" xfId="781" xr:uid="{00000000-0005-0000-0000-00009B020000}"/>
    <cellStyle name="Tusenskille 3 3 2 2" xfId="89" xr:uid="{00000000-0005-0000-0000-00009C020000}"/>
    <cellStyle name="Tusenskille 3 3 2 2 2" xfId="182" xr:uid="{00000000-0005-0000-0000-00009D020000}"/>
    <cellStyle name="Tusenskille 3 3 2 2 3" xfId="272" xr:uid="{00000000-0005-0000-0000-00009E020000}"/>
    <cellStyle name="Tusenskille 3 3 2 2 4" xfId="362" xr:uid="{00000000-0005-0000-0000-00009F020000}"/>
    <cellStyle name="Tusenskille 3 3 2 2 5" xfId="452" xr:uid="{00000000-0005-0000-0000-0000A0020000}"/>
    <cellStyle name="Tusenskille 3 3 2 2 6" xfId="542" xr:uid="{00000000-0005-0000-0000-0000A1020000}"/>
    <cellStyle name="Tusenskille 3 3 2 2 7" xfId="632" xr:uid="{00000000-0005-0000-0000-0000A2020000}"/>
    <cellStyle name="Tusenskille 3 3 2 2 8" xfId="722" xr:uid="{00000000-0005-0000-0000-0000A3020000}"/>
    <cellStyle name="Tusenskille 3 3 2 2 9" xfId="819" xr:uid="{00000000-0005-0000-0000-0000A4020000}"/>
    <cellStyle name="Tusenskille 3 3 2 3" xfId="145" xr:uid="{00000000-0005-0000-0000-0000A5020000}"/>
    <cellStyle name="Tusenskille 3 3 2 4" xfId="235" xr:uid="{00000000-0005-0000-0000-0000A6020000}"/>
    <cellStyle name="Tusenskille 3 3 2 5" xfId="325" xr:uid="{00000000-0005-0000-0000-0000A7020000}"/>
    <cellStyle name="Tusenskille 3 3 2 6" xfId="415" xr:uid="{00000000-0005-0000-0000-0000A8020000}"/>
    <cellStyle name="Tusenskille 3 3 2 7" xfId="505" xr:uid="{00000000-0005-0000-0000-0000A9020000}"/>
    <cellStyle name="Tusenskille 3 3 2 8" xfId="595" xr:uid="{00000000-0005-0000-0000-0000AA020000}"/>
    <cellStyle name="Tusenskille 3 3 2 9" xfId="685" xr:uid="{00000000-0005-0000-0000-0000AB020000}"/>
    <cellStyle name="Tusenskille 3 3 3" xfId="70" xr:uid="{00000000-0005-0000-0000-0000AC020000}"/>
    <cellStyle name="Tusenskille 3 3 3 2" xfId="163" xr:uid="{00000000-0005-0000-0000-0000AD020000}"/>
    <cellStyle name="Tusenskille 3 3 3 3" xfId="253" xr:uid="{00000000-0005-0000-0000-0000AE020000}"/>
    <cellStyle name="Tusenskille 3 3 3 4" xfId="343" xr:uid="{00000000-0005-0000-0000-0000AF020000}"/>
    <cellStyle name="Tusenskille 3 3 3 5" xfId="433" xr:uid="{00000000-0005-0000-0000-0000B0020000}"/>
    <cellStyle name="Tusenskille 3 3 3 6" xfId="523" xr:uid="{00000000-0005-0000-0000-0000B1020000}"/>
    <cellStyle name="Tusenskille 3 3 3 7" xfId="613" xr:uid="{00000000-0005-0000-0000-0000B2020000}"/>
    <cellStyle name="Tusenskille 3 3 3 8" xfId="703" xr:uid="{00000000-0005-0000-0000-0000B3020000}"/>
    <cellStyle name="Tusenskille 3 3 3 9" xfId="800" xr:uid="{00000000-0005-0000-0000-0000B4020000}"/>
    <cellStyle name="Tusenskille 3 3 4" xfId="126" xr:uid="{00000000-0005-0000-0000-0000B5020000}"/>
    <cellStyle name="Tusenskille 3 3 5" xfId="216" xr:uid="{00000000-0005-0000-0000-0000B6020000}"/>
    <cellStyle name="Tusenskille 3 3 6" xfId="306" xr:uid="{00000000-0005-0000-0000-0000B7020000}"/>
    <cellStyle name="Tusenskille 3 3 7" xfId="396" xr:uid="{00000000-0005-0000-0000-0000B8020000}"/>
    <cellStyle name="Tusenskille 3 3 8" xfId="486" xr:uid="{00000000-0005-0000-0000-0000B9020000}"/>
    <cellStyle name="Tusenskille 3 3 9" xfId="576" xr:uid="{00000000-0005-0000-0000-0000BA020000}"/>
    <cellStyle name="Tusenskille 3 4" xfId="30" xr:uid="{00000000-0005-0000-0000-0000BB020000}"/>
    <cellStyle name="Tusenskille 3 4 10" xfId="669" xr:uid="{00000000-0005-0000-0000-0000BC020000}"/>
    <cellStyle name="Tusenskille 3 4 11" xfId="764" xr:uid="{00000000-0005-0000-0000-0000BD020000}"/>
    <cellStyle name="Tusenskille 3 4 2" xfId="52" xr:uid="{00000000-0005-0000-0000-0000BE020000}"/>
    <cellStyle name="Tusenskille 3 4 2 10" xfId="784" xr:uid="{00000000-0005-0000-0000-0000BF020000}"/>
    <cellStyle name="Tusenskille 3 4 2 2" xfId="92" xr:uid="{00000000-0005-0000-0000-0000C0020000}"/>
    <cellStyle name="Tusenskille 3 4 2 2 2" xfId="185" xr:uid="{00000000-0005-0000-0000-0000C1020000}"/>
    <cellStyle name="Tusenskille 3 4 2 2 3" xfId="275" xr:uid="{00000000-0005-0000-0000-0000C2020000}"/>
    <cellStyle name="Tusenskille 3 4 2 2 4" xfId="365" xr:uid="{00000000-0005-0000-0000-0000C3020000}"/>
    <cellStyle name="Tusenskille 3 4 2 2 5" xfId="455" xr:uid="{00000000-0005-0000-0000-0000C4020000}"/>
    <cellStyle name="Tusenskille 3 4 2 2 6" xfId="545" xr:uid="{00000000-0005-0000-0000-0000C5020000}"/>
    <cellStyle name="Tusenskille 3 4 2 2 7" xfId="635" xr:uid="{00000000-0005-0000-0000-0000C6020000}"/>
    <cellStyle name="Tusenskille 3 4 2 2 8" xfId="725" xr:uid="{00000000-0005-0000-0000-0000C7020000}"/>
    <cellStyle name="Tusenskille 3 4 2 2 9" xfId="822" xr:uid="{00000000-0005-0000-0000-0000C8020000}"/>
    <cellStyle name="Tusenskille 3 4 2 3" xfId="148" xr:uid="{00000000-0005-0000-0000-0000C9020000}"/>
    <cellStyle name="Tusenskille 3 4 2 4" xfId="238" xr:uid="{00000000-0005-0000-0000-0000CA020000}"/>
    <cellStyle name="Tusenskille 3 4 2 5" xfId="328" xr:uid="{00000000-0005-0000-0000-0000CB020000}"/>
    <cellStyle name="Tusenskille 3 4 2 6" xfId="418" xr:uid="{00000000-0005-0000-0000-0000CC020000}"/>
    <cellStyle name="Tusenskille 3 4 2 7" xfId="508" xr:uid="{00000000-0005-0000-0000-0000CD020000}"/>
    <cellStyle name="Tusenskille 3 4 2 8" xfId="598" xr:uid="{00000000-0005-0000-0000-0000CE020000}"/>
    <cellStyle name="Tusenskille 3 4 2 9" xfId="688" xr:uid="{00000000-0005-0000-0000-0000CF020000}"/>
    <cellStyle name="Tusenskille 3 4 3" xfId="73" xr:uid="{00000000-0005-0000-0000-0000D0020000}"/>
    <cellStyle name="Tusenskille 3 4 3 2" xfId="166" xr:uid="{00000000-0005-0000-0000-0000D1020000}"/>
    <cellStyle name="Tusenskille 3 4 3 3" xfId="256" xr:uid="{00000000-0005-0000-0000-0000D2020000}"/>
    <cellStyle name="Tusenskille 3 4 3 4" xfId="346" xr:uid="{00000000-0005-0000-0000-0000D3020000}"/>
    <cellStyle name="Tusenskille 3 4 3 5" xfId="436" xr:uid="{00000000-0005-0000-0000-0000D4020000}"/>
    <cellStyle name="Tusenskille 3 4 3 6" xfId="526" xr:uid="{00000000-0005-0000-0000-0000D5020000}"/>
    <cellStyle name="Tusenskille 3 4 3 7" xfId="616" xr:uid="{00000000-0005-0000-0000-0000D6020000}"/>
    <cellStyle name="Tusenskille 3 4 3 8" xfId="706" xr:uid="{00000000-0005-0000-0000-0000D7020000}"/>
    <cellStyle name="Tusenskille 3 4 3 9" xfId="803" xr:uid="{00000000-0005-0000-0000-0000D8020000}"/>
    <cellStyle name="Tusenskille 3 4 4" xfId="129" xr:uid="{00000000-0005-0000-0000-0000D9020000}"/>
    <cellStyle name="Tusenskille 3 4 5" xfId="219" xr:uid="{00000000-0005-0000-0000-0000DA020000}"/>
    <cellStyle name="Tusenskille 3 4 6" xfId="309" xr:uid="{00000000-0005-0000-0000-0000DB020000}"/>
    <cellStyle name="Tusenskille 3 4 7" xfId="399" xr:uid="{00000000-0005-0000-0000-0000DC020000}"/>
    <cellStyle name="Tusenskille 3 4 8" xfId="489" xr:uid="{00000000-0005-0000-0000-0000DD020000}"/>
    <cellStyle name="Tusenskille 3 4 9" xfId="579" xr:uid="{00000000-0005-0000-0000-0000DE020000}"/>
    <cellStyle name="Tusenskille 3 5" xfId="34" xr:uid="{00000000-0005-0000-0000-0000DF020000}"/>
    <cellStyle name="Tusenskille 3 5 10" xfId="672" xr:uid="{00000000-0005-0000-0000-0000E0020000}"/>
    <cellStyle name="Tusenskille 3 5 11" xfId="767" xr:uid="{00000000-0005-0000-0000-0000E1020000}"/>
    <cellStyle name="Tusenskille 3 5 2" xfId="56" xr:uid="{00000000-0005-0000-0000-0000E2020000}"/>
    <cellStyle name="Tusenskille 3 5 2 10" xfId="787" xr:uid="{00000000-0005-0000-0000-0000E3020000}"/>
    <cellStyle name="Tusenskille 3 5 2 2" xfId="96" xr:uid="{00000000-0005-0000-0000-0000E4020000}"/>
    <cellStyle name="Tusenskille 3 5 2 2 2" xfId="188" xr:uid="{00000000-0005-0000-0000-0000E5020000}"/>
    <cellStyle name="Tusenskille 3 5 2 2 3" xfId="278" xr:uid="{00000000-0005-0000-0000-0000E6020000}"/>
    <cellStyle name="Tusenskille 3 5 2 2 4" xfId="368" xr:uid="{00000000-0005-0000-0000-0000E7020000}"/>
    <cellStyle name="Tusenskille 3 5 2 2 5" xfId="458" xr:uid="{00000000-0005-0000-0000-0000E8020000}"/>
    <cellStyle name="Tusenskille 3 5 2 2 6" xfId="548" xr:uid="{00000000-0005-0000-0000-0000E9020000}"/>
    <cellStyle name="Tusenskille 3 5 2 2 7" xfId="638" xr:uid="{00000000-0005-0000-0000-0000EA020000}"/>
    <cellStyle name="Tusenskille 3 5 2 2 8" xfId="728" xr:uid="{00000000-0005-0000-0000-0000EB020000}"/>
    <cellStyle name="Tusenskille 3 5 2 2 9" xfId="825" xr:uid="{00000000-0005-0000-0000-0000EC020000}"/>
    <cellStyle name="Tusenskille 3 5 2 3" xfId="151" xr:uid="{00000000-0005-0000-0000-0000ED020000}"/>
    <cellStyle name="Tusenskille 3 5 2 4" xfId="241" xr:uid="{00000000-0005-0000-0000-0000EE020000}"/>
    <cellStyle name="Tusenskille 3 5 2 5" xfId="331" xr:uid="{00000000-0005-0000-0000-0000EF020000}"/>
    <cellStyle name="Tusenskille 3 5 2 6" xfId="421" xr:uid="{00000000-0005-0000-0000-0000F0020000}"/>
    <cellStyle name="Tusenskille 3 5 2 7" xfId="511" xr:uid="{00000000-0005-0000-0000-0000F1020000}"/>
    <cellStyle name="Tusenskille 3 5 2 8" xfId="601" xr:uid="{00000000-0005-0000-0000-0000F2020000}"/>
    <cellStyle name="Tusenskille 3 5 2 9" xfId="691" xr:uid="{00000000-0005-0000-0000-0000F3020000}"/>
    <cellStyle name="Tusenskille 3 5 3" xfId="76" xr:uid="{00000000-0005-0000-0000-0000F4020000}"/>
    <cellStyle name="Tusenskille 3 5 3 2" xfId="169" xr:uid="{00000000-0005-0000-0000-0000F5020000}"/>
    <cellStyle name="Tusenskille 3 5 3 3" xfId="259" xr:uid="{00000000-0005-0000-0000-0000F6020000}"/>
    <cellStyle name="Tusenskille 3 5 3 4" xfId="349" xr:uid="{00000000-0005-0000-0000-0000F7020000}"/>
    <cellStyle name="Tusenskille 3 5 3 5" xfId="439" xr:uid="{00000000-0005-0000-0000-0000F8020000}"/>
    <cellStyle name="Tusenskille 3 5 3 6" xfId="529" xr:uid="{00000000-0005-0000-0000-0000F9020000}"/>
    <cellStyle name="Tusenskille 3 5 3 7" xfId="619" xr:uid="{00000000-0005-0000-0000-0000FA020000}"/>
    <cellStyle name="Tusenskille 3 5 3 8" xfId="709" xr:uid="{00000000-0005-0000-0000-0000FB020000}"/>
    <cellStyle name="Tusenskille 3 5 3 9" xfId="806" xr:uid="{00000000-0005-0000-0000-0000FC020000}"/>
    <cellStyle name="Tusenskille 3 5 4" xfId="132" xr:uid="{00000000-0005-0000-0000-0000FD020000}"/>
    <cellStyle name="Tusenskille 3 5 5" xfId="222" xr:uid="{00000000-0005-0000-0000-0000FE020000}"/>
    <cellStyle name="Tusenskille 3 5 6" xfId="312" xr:uid="{00000000-0005-0000-0000-0000FF020000}"/>
    <cellStyle name="Tusenskille 3 5 7" xfId="402" xr:uid="{00000000-0005-0000-0000-000000030000}"/>
    <cellStyle name="Tusenskille 3 5 8" xfId="492" xr:uid="{00000000-0005-0000-0000-000001030000}"/>
    <cellStyle name="Tusenskille 3 5 9" xfId="582" xr:uid="{00000000-0005-0000-0000-000002030000}"/>
    <cellStyle name="Tusenskille 3 6" xfId="37" xr:uid="{00000000-0005-0000-0000-000003030000}"/>
    <cellStyle name="Tusenskille 3 6 10" xfId="675" xr:uid="{00000000-0005-0000-0000-000004030000}"/>
    <cellStyle name="Tusenskille 3 6 11" xfId="770" xr:uid="{00000000-0005-0000-0000-000005030000}"/>
    <cellStyle name="Tusenskille 3 6 2" xfId="59" xr:uid="{00000000-0005-0000-0000-000006030000}"/>
    <cellStyle name="Tusenskille 3 6 2 10" xfId="790" xr:uid="{00000000-0005-0000-0000-000007030000}"/>
    <cellStyle name="Tusenskille 3 6 2 2" xfId="99" xr:uid="{00000000-0005-0000-0000-000008030000}"/>
    <cellStyle name="Tusenskille 3 6 2 2 2" xfId="191" xr:uid="{00000000-0005-0000-0000-000009030000}"/>
    <cellStyle name="Tusenskille 3 6 2 2 3" xfId="281" xr:uid="{00000000-0005-0000-0000-00000A030000}"/>
    <cellStyle name="Tusenskille 3 6 2 2 4" xfId="371" xr:uid="{00000000-0005-0000-0000-00000B030000}"/>
    <cellStyle name="Tusenskille 3 6 2 2 5" xfId="461" xr:uid="{00000000-0005-0000-0000-00000C030000}"/>
    <cellStyle name="Tusenskille 3 6 2 2 6" xfId="551" xr:uid="{00000000-0005-0000-0000-00000D030000}"/>
    <cellStyle name="Tusenskille 3 6 2 2 7" xfId="641" xr:uid="{00000000-0005-0000-0000-00000E030000}"/>
    <cellStyle name="Tusenskille 3 6 2 2 8" xfId="731" xr:uid="{00000000-0005-0000-0000-00000F030000}"/>
    <cellStyle name="Tusenskille 3 6 2 2 9" xfId="828" xr:uid="{00000000-0005-0000-0000-000010030000}"/>
    <cellStyle name="Tusenskille 3 6 2 3" xfId="154" xr:uid="{00000000-0005-0000-0000-000011030000}"/>
    <cellStyle name="Tusenskille 3 6 2 4" xfId="244" xr:uid="{00000000-0005-0000-0000-000012030000}"/>
    <cellStyle name="Tusenskille 3 6 2 5" xfId="334" xr:uid="{00000000-0005-0000-0000-000013030000}"/>
    <cellStyle name="Tusenskille 3 6 2 6" xfId="424" xr:uid="{00000000-0005-0000-0000-000014030000}"/>
    <cellStyle name="Tusenskille 3 6 2 7" xfId="514" xr:uid="{00000000-0005-0000-0000-000015030000}"/>
    <cellStyle name="Tusenskille 3 6 2 8" xfId="604" xr:uid="{00000000-0005-0000-0000-000016030000}"/>
    <cellStyle name="Tusenskille 3 6 2 9" xfId="694" xr:uid="{00000000-0005-0000-0000-000017030000}"/>
    <cellStyle name="Tusenskille 3 6 3" xfId="79" xr:uid="{00000000-0005-0000-0000-000018030000}"/>
    <cellStyle name="Tusenskille 3 6 3 2" xfId="172" xr:uid="{00000000-0005-0000-0000-000019030000}"/>
    <cellStyle name="Tusenskille 3 6 3 3" xfId="262" xr:uid="{00000000-0005-0000-0000-00001A030000}"/>
    <cellStyle name="Tusenskille 3 6 3 4" xfId="352" xr:uid="{00000000-0005-0000-0000-00001B030000}"/>
    <cellStyle name="Tusenskille 3 6 3 5" xfId="442" xr:uid="{00000000-0005-0000-0000-00001C030000}"/>
    <cellStyle name="Tusenskille 3 6 3 6" xfId="532" xr:uid="{00000000-0005-0000-0000-00001D030000}"/>
    <cellStyle name="Tusenskille 3 6 3 7" xfId="622" xr:uid="{00000000-0005-0000-0000-00001E030000}"/>
    <cellStyle name="Tusenskille 3 6 3 8" xfId="712" xr:uid="{00000000-0005-0000-0000-00001F030000}"/>
    <cellStyle name="Tusenskille 3 6 3 9" xfId="809" xr:uid="{00000000-0005-0000-0000-000020030000}"/>
    <cellStyle name="Tusenskille 3 6 4" xfId="135" xr:uid="{00000000-0005-0000-0000-000021030000}"/>
    <cellStyle name="Tusenskille 3 6 5" xfId="225" xr:uid="{00000000-0005-0000-0000-000022030000}"/>
    <cellStyle name="Tusenskille 3 6 6" xfId="315" xr:uid="{00000000-0005-0000-0000-000023030000}"/>
    <cellStyle name="Tusenskille 3 6 7" xfId="405" xr:uid="{00000000-0005-0000-0000-000024030000}"/>
    <cellStyle name="Tusenskille 3 6 8" xfId="495" xr:uid="{00000000-0005-0000-0000-000025030000}"/>
    <cellStyle name="Tusenskille 3 6 9" xfId="585" xr:uid="{00000000-0005-0000-0000-000026030000}"/>
    <cellStyle name="Tusenskille 3 7" xfId="43" xr:uid="{00000000-0005-0000-0000-000027030000}"/>
    <cellStyle name="Tusenskille 3 7 10" xfId="775" xr:uid="{00000000-0005-0000-0000-000028030000}"/>
    <cellStyle name="Tusenskille 3 7 2" xfId="83" xr:uid="{00000000-0005-0000-0000-000029030000}"/>
    <cellStyle name="Tusenskille 3 7 2 2" xfId="176" xr:uid="{00000000-0005-0000-0000-00002A030000}"/>
    <cellStyle name="Tusenskille 3 7 2 3" xfId="266" xr:uid="{00000000-0005-0000-0000-00002B030000}"/>
    <cellStyle name="Tusenskille 3 7 2 4" xfId="356" xr:uid="{00000000-0005-0000-0000-00002C030000}"/>
    <cellStyle name="Tusenskille 3 7 2 5" xfId="446" xr:uid="{00000000-0005-0000-0000-00002D030000}"/>
    <cellStyle name="Tusenskille 3 7 2 6" xfId="536" xr:uid="{00000000-0005-0000-0000-00002E030000}"/>
    <cellStyle name="Tusenskille 3 7 2 7" xfId="626" xr:uid="{00000000-0005-0000-0000-00002F030000}"/>
    <cellStyle name="Tusenskille 3 7 2 8" xfId="716" xr:uid="{00000000-0005-0000-0000-000030030000}"/>
    <cellStyle name="Tusenskille 3 7 2 9" xfId="813" xr:uid="{00000000-0005-0000-0000-000031030000}"/>
    <cellStyle name="Tusenskille 3 7 3" xfId="139" xr:uid="{00000000-0005-0000-0000-000032030000}"/>
    <cellStyle name="Tusenskille 3 7 4" xfId="229" xr:uid="{00000000-0005-0000-0000-000033030000}"/>
    <cellStyle name="Tusenskille 3 7 5" xfId="319" xr:uid="{00000000-0005-0000-0000-000034030000}"/>
    <cellStyle name="Tusenskille 3 7 6" xfId="409" xr:uid="{00000000-0005-0000-0000-000035030000}"/>
    <cellStyle name="Tusenskille 3 7 7" xfId="499" xr:uid="{00000000-0005-0000-0000-000036030000}"/>
    <cellStyle name="Tusenskille 3 7 8" xfId="589" xr:uid="{00000000-0005-0000-0000-000037030000}"/>
    <cellStyle name="Tusenskille 3 7 9" xfId="679" xr:uid="{00000000-0005-0000-0000-000038030000}"/>
    <cellStyle name="Tusenskille 3 8" xfId="64" xr:uid="{00000000-0005-0000-0000-000039030000}"/>
    <cellStyle name="Tusenskille 3 8 2" xfId="157" xr:uid="{00000000-0005-0000-0000-00003A030000}"/>
    <cellStyle name="Tusenskille 3 8 3" xfId="247" xr:uid="{00000000-0005-0000-0000-00003B030000}"/>
    <cellStyle name="Tusenskille 3 8 4" xfId="337" xr:uid="{00000000-0005-0000-0000-00003C030000}"/>
    <cellStyle name="Tusenskille 3 8 5" xfId="427" xr:uid="{00000000-0005-0000-0000-00003D030000}"/>
    <cellStyle name="Tusenskille 3 8 6" xfId="517" xr:uid="{00000000-0005-0000-0000-00003E030000}"/>
    <cellStyle name="Tusenskille 3 8 7" xfId="607" xr:uid="{00000000-0005-0000-0000-00003F030000}"/>
    <cellStyle name="Tusenskille 3 8 8" xfId="697" xr:uid="{00000000-0005-0000-0000-000040030000}"/>
    <cellStyle name="Tusenskille 3 8 9" xfId="794" xr:uid="{00000000-0005-0000-0000-000041030000}"/>
    <cellStyle name="Tusenskille 3 9" xfId="102" xr:uid="{00000000-0005-0000-0000-000042030000}"/>
    <cellStyle name="Tusenskille 3 9 2" xfId="194" xr:uid="{00000000-0005-0000-0000-000043030000}"/>
    <cellStyle name="Tusenskille 3 9 3" xfId="284" xr:uid="{00000000-0005-0000-0000-000044030000}"/>
    <cellStyle name="Tusenskille 3 9 4" xfId="374" xr:uid="{00000000-0005-0000-0000-000045030000}"/>
    <cellStyle name="Tusenskille 3 9 5" xfId="464" xr:uid="{00000000-0005-0000-0000-000046030000}"/>
    <cellStyle name="Tusenskille 3 9 6" xfId="554" xr:uid="{00000000-0005-0000-0000-000047030000}"/>
    <cellStyle name="Tusenskille 3 9 7" xfId="644" xr:uid="{00000000-0005-0000-0000-000048030000}"/>
    <cellStyle name="Tusenskille 3 9 8" xfId="734" xr:uid="{00000000-0005-0000-0000-000049030000}"/>
    <cellStyle name="Tusenskille 3 9 9" xfId="831" xr:uid="{00000000-0005-0000-0000-00004A030000}"/>
    <cellStyle name="Tusenskille 4" xfId="17" xr:uid="{00000000-0005-0000-0000-00004B030000}"/>
    <cellStyle name="Tusenskille 4 2" xfId="753" xr:uid="{00000000-0005-0000-0000-00004C030000}"/>
    <cellStyle name="Tusenskille 5" xfId="13" xr:uid="{00000000-0005-0000-0000-00004D030000}"/>
    <cellStyle name="Tusenskille 5 2" xfId="749" xr:uid="{00000000-0005-0000-0000-00004E030000}"/>
    <cellStyle name="Tusenskille 6" xfId="115" xr:uid="{00000000-0005-0000-0000-00004F030000}"/>
    <cellStyle name="TusenskilleFjernNull" xfId="846" xr:uid="{00000000-0005-0000-0000-000050030000}"/>
  </cellStyles>
  <dxfs count="6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Figurer!$M$8</c:f>
              <c:strCache>
                <c:ptCount val="1"/>
                <c:pt idx="0">
                  <c:v>2019</c:v>
                </c:pt>
              </c:strCache>
            </c:strRef>
          </c:tx>
          <c:invertIfNegative val="0"/>
          <c:cat>
            <c:strRef>
              <c:f>Figurer!$L$9:$L$31</c:f>
              <c:strCache>
                <c:ptCount val="23"/>
                <c:pt idx="0">
                  <c:v>Danica Pensjon</c:v>
                </c:pt>
                <c:pt idx="1">
                  <c:v>DNB Liv</c:v>
                </c:pt>
                <c:pt idx="2">
                  <c:v>Eika Forsikring</c:v>
                </c:pt>
                <c:pt idx="3">
                  <c:v>Fremtind Livsfors</c:v>
                </c:pt>
                <c:pt idx="4">
                  <c:v>Frende Livsfors</c:v>
                </c:pt>
                <c:pt idx="5">
                  <c:v>Frende Skade</c:v>
                </c:pt>
                <c:pt idx="6">
                  <c:v>Gjensidige Fors</c:v>
                </c:pt>
                <c:pt idx="7">
                  <c:v>Gjensidige Pensj</c:v>
                </c:pt>
                <c:pt idx="8">
                  <c:v>Handelsb Liv</c:v>
                </c:pt>
                <c:pt idx="9">
                  <c:v>If Skadefors</c:v>
                </c:pt>
                <c:pt idx="10">
                  <c:v>Insr</c:v>
                </c:pt>
                <c:pt idx="11">
                  <c:v>KLP</c:v>
                </c:pt>
                <c:pt idx="12">
                  <c:v>KLP Bedriftsp</c:v>
                </c:pt>
                <c:pt idx="13">
                  <c:v>KLP Skadef</c:v>
                </c:pt>
                <c:pt idx="14">
                  <c:v>Landkreditt Fors.</c:v>
                </c:pt>
                <c:pt idx="15">
                  <c:v>Nordea Liv</c:v>
                </c:pt>
                <c:pt idx="16">
                  <c:v>OPF</c:v>
                </c:pt>
                <c:pt idx="17">
                  <c:v>Protector Fors</c:v>
                </c:pt>
                <c:pt idx="18">
                  <c:v>SpareBank 1</c:v>
                </c:pt>
                <c:pt idx="19">
                  <c:v>Storebrand </c:v>
                </c:pt>
                <c:pt idx="20">
                  <c:v>Telenor Fors</c:v>
                </c:pt>
                <c:pt idx="21">
                  <c:v>Tryg Fors</c:v>
                </c:pt>
                <c:pt idx="22">
                  <c:v>WaterCircles F</c:v>
                </c:pt>
              </c:strCache>
            </c:strRef>
          </c:cat>
          <c:val>
            <c:numRef>
              <c:f>Figurer!$M$9:$M$31</c:f>
              <c:numCache>
                <c:formatCode>#,##0</c:formatCode>
                <c:ptCount val="23"/>
                <c:pt idx="0">
                  <c:v>106551.42599999999</c:v>
                </c:pt>
                <c:pt idx="1">
                  <c:v>1720403.8</c:v>
                </c:pt>
                <c:pt idx="2">
                  <c:v>73468</c:v>
                </c:pt>
                <c:pt idx="3">
                  <c:v>0</c:v>
                </c:pt>
                <c:pt idx="4">
                  <c:v>493427</c:v>
                </c:pt>
                <c:pt idx="5">
                  <c:v>1699</c:v>
                </c:pt>
                <c:pt idx="6">
                  <c:v>1031602</c:v>
                </c:pt>
                <c:pt idx="7">
                  <c:v>201661</c:v>
                </c:pt>
                <c:pt idx="8">
                  <c:v>9227.8753499999984</c:v>
                </c:pt>
                <c:pt idx="9">
                  <c:v>152402.34600000002</c:v>
                </c:pt>
                <c:pt idx="10">
                  <c:v>4425.9740000000002</c:v>
                </c:pt>
                <c:pt idx="11">
                  <c:v>6685288.0742199998</c:v>
                </c:pt>
                <c:pt idx="12">
                  <c:v>23364</c:v>
                </c:pt>
                <c:pt idx="13">
                  <c:v>136835</c:v>
                </c:pt>
                <c:pt idx="14">
                  <c:v>22249</c:v>
                </c:pt>
                <c:pt idx="15">
                  <c:v>643709.20639581443</c:v>
                </c:pt>
                <c:pt idx="16">
                  <c:v>973969.14500999998</c:v>
                </c:pt>
                <c:pt idx="17">
                  <c:v>174427.98112853389</c:v>
                </c:pt>
                <c:pt idx="18">
                  <c:v>894213.30877</c:v>
                </c:pt>
                <c:pt idx="19">
                  <c:v>2180985.9240000001</c:v>
                </c:pt>
                <c:pt idx="20">
                  <c:v>0</c:v>
                </c:pt>
                <c:pt idx="21">
                  <c:v>497838</c:v>
                </c:pt>
              </c:numCache>
            </c:numRef>
          </c:val>
          <c:extLst>
            <c:ext xmlns:c16="http://schemas.microsoft.com/office/drawing/2014/chart" uri="{C3380CC4-5D6E-409C-BE32-E72D297353CC}">
              <c16:uniqueId val="{00000002-93AE-4CD9-98AD-A52686D1F9FB}"/>
            </c:ext>
          </c:extLst>
        </c:ser>
        <c:ser>
          <c:idx val="1"/>
          <c:order val="1"/>
          <c:tx>
            <c:strRef>
              <c:f>Figurer!$N$8</c:f>
              <c:strCache>
                <c:ptCount val="1"/>
                <c:pt idx="0">
                  <c:v>2020</c:v>
                </c:pt>
              </c:strCache>
            </c:strRef>
          </c:tx>
          <c:invertIfNegative val="0"/>
          <c:cat>
            <c:strRef>
              <c:f>Figurer!$L$9:$L$31</c:f>
              <c:strCache>
                <c:ptCount val="23"/>
                <c:pt idx="0">
                  <c:v>Danica Pensjon</c:v>
                </c:pt>
                <c:pt idx="1">
                  <c:v>DNB Liv</c:v>
                </c:pt>
                <c:pt idx="2">
                  <c:v>Eika Forsikring</c:v>
                </c:pt>
                <c:pt idx="3">
                  <c:v>Fremtind Livsfors</c:v>
                </c:pt>
                <c:pt idx="4">
                  <c:v>Frende Livsfors</c:v>
                </c:pt>
                <c:pt idx="5">
                  <c:v>Frende Skade</c:v>
                </c:pt>
                <c:pt idx="6">
                  <c:v>Gjensidige Fors</c:v>
                </c:pt>
                <c:pt idx="7">
                  <c:v>Gjensidige Pensj</c:v>
                </c:pt>
                <c:pt idx="8">
                  <c:v>Handelsb Liv</c:v>
                </c:pt>
                <c:pt idx="9">
                  <c:v>If Skadefors</c:v>
                </c:pt>
                <c:pt idx="10">
                  <c:v>Insr</c:v>
                </c:pt>
                <c:pt idx="11">
                  <c:v>KLP</c:v>
                </c:pt>
                <c:pt idx="12">
                  <c:v>KLP Bedriftsp</c:v>
                </c:pt>
                <c:pt idx="13">
                  <c:v>KLP Skadef</c:v>
                </c:pt>
                <c:pt idx="14">
                  <c:v>Landkreditt Fors.</c:v>
                </c:pt>
                <c:pt idx="15">
                  <c:v>Nordea Liv</c:v>
                </c:pt>
                <c:pt idx="16">
                  <c:v>OPF</c:v>
                </c:pt>
                <c:pt idx="17">
                  <c:v>Protector Fors</c:v>
                </c:pt>
                <c:pt idx="18">
                  <c:v>SpareBank 1</c:v>
                </c:pt>
                <c:pt idx="19">
                  <c:v>Storebrand </c:v>
                </c:pt>
                <c:pt idx="20">
                  <c:v>Telenor Fors</c:v>
                </c:pt>
                <c:pt idx="21">
                  <c:v>Tryg Fors</c:v>
                </c:pt>
                <c:pt idx="22">
                  <c:v>WaterCircles F</c:v>
                </c:pt>
              </c:strCache>
            </c:strRef>
          </c:cat>
          <c:val>
            <c:numRef>
              <c:f>Figurer!$N$9:$N$31</c:f>
              <c:numCache>
                <c:formatCode>#,##0</c:formatCode>
                <c:ptCount val="23"/>
                <c:pt idx="0">
                  <c:v>109603.56300000001</c:v>
                </c:pt>
                <c:pt idx="1">
                  <c:v>1392573.169</c:v>
                </c:pt>
                <c:pt idx="2">
                  <c:v>79343</c:v>
                </c:pt>
                <c:pt idx="3">
                  <c:v>825203.29516999994</c:v>
                </c:pt>
                <c:pt idx="4">
                  <c:v>508634</c:v>
                </c:pt>
                <c:pt idx="5">
                  <c:v>838</c:v>
                </c:pt>
                <c:pt idx="6">
                  <c:v>1082036</c:v>
                </c:pt>
                <c:pt idx="7">
                  <c:v>209361</c:v>
                </c:pt>
                <c:pt idx="8">
                  <c:v>8969.8688000000002</c:v>
                </c:pt>
                <c:pt idx="9">
                  <c:v>161371.50700000001</c:v>
                </c:pt>
                <c:pt idx="10">
                  <c:v>3495.9480000000003</c:v>
                </c:pt>
                <c:pt idx="11">
                  <c:v>7072533.2508100001</c:v>
                </c:pt>
                <c:pt idx="12">
                  <c:v>24444</c:v>
                </c:pt>
                <c:pt idx="13">
                  <c:v>156137.83600000001</c:v>
                </c:pt>
                <c:pt idx="14">
                  <c:v>30906</c:v>
                </c:pt>
                <c:pt idx="15">
                  <c:v>629530.54245577473</c:v>
                </c:pt>
                <c:pt idx="16">
                  <c:v>595788.33617999998</c:v>
                </c:pt>
                <c:pt idx="17">
                  <c:v>196210.82700126772</c:v>
                </c:pt>
                <c:pt idx="18">
                  <c:v>250321.98676</c:v>
                </c:pt>
                <c:pt idx="19">
                  <c:v>2540938.0070000002</c:v>
                </c:pt>
                <c:pt idx="20">
                  <c:v>0</c:v>
                </c:pt>
                <c:pt idx="21">
                  <c:v>510830.81199999998</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Figurer!$M$37</c:f>
              <c:strCache>
                <c:ptCount val="1"/>
                <c:pt idx="0">
                  <c:v>2019</c:v>
                </c:pt>
              </c:strCache>
            </c:strRef>
          </c:tx>
          <c:invertIfNegative val="0"/>
          <c:cat>
            <c:strRef>
              <c:f>Figurer!$L$38:$L$47</c:f>
              <c:strCache>
                <c:ptCount val="10"/>
                <c:pt idx="0">
                  <c:v>Danica Pensjon</c:v>
                </c:pt>
                <c:pt idx="1">
                  <c:v>DNB Liv</c:v>
                </c:pt>
                <c:pt idx="2">
                  <c:v>Frende Livsfors</c:v>
                </c:pt>
                <c:pt idx="3">
                  <c:v>Gjensidige Pensj</c:v>
                </c:pt>
                <c:pt idx="4">
                  <c:v>KLP</c:v>
                </c:pt>
                <c:pt idx="5">
                  <c:v>KLP Bedriftsp</c:v>
                </c:pt>
                <c:pt idx="6">
                  <c:v>Nordea Liv</c:v>
                </c:pt>
                <c:pt idx="7">
                  <c:v>SHB Liv</c:v>
                </c:pt>
                <c:pt idx="8">
                  <c:v>SpareBank 1</c:v>
                </c:pt>
                <c:pt idx="9">
                  <c:v>Storebrand</c:v>
                </c:pt>
              </c:strCache>
            </c:strRef>
          </c:cat>
          <c:val>
            <c:numRef>
              <c:f>Figurer!$M$38:$M$47</c:f>
              <c:numCache>
                <c:formatCode>#,##0</c:formatCode>
                <c:ptCount val="10"/>
                <c:pt idx="0">
                  <c:v>506748.04200000002</c:v>
                </c:pt>
                <c:pt idx="1">
                  <c:v>2408062</c:v>
                </c:pt>
                <c:pt idx="2">
                  <c:v>96311</c:v>
                </c:pt>
                <c:pt idx="3">
                  <c:v>781465</c:v>
                </c:pt>
                <c:pt idx="4">
                  <c:v>19489.256000000001</c:v>
                </c:pt>
                <c:pt idx="5">
                  <c:v>135943</c:v>
                </c:pt>
                <c:pt idx="6">
                  <c:v>3083447.26988</c:v>
                </c:pt>
                <c:pt idx="7">
                  <c:v>38700.716099999998</c:v>
                </c:pt>
                <c:pt idx="8">
                  <c:v>1073722.1763800001</c:v>
                </c:pt>
                <c:pt idx="9">
                  <c:v>2762007.8890000004</c:v>
                </c:pt>
              </c:numCache>
            </c:numRef>
          </c:val>
          <c:extLst>
            <c:ext xmlns:c16="http://schemas.microsoft.com/office/drawing/2014/chart" uri="{C3380CC4-5D6E-409C-BE32-E72D297353CC}">
              <c16:uniqueId val="{00000000-3971-4F9A-B5A3-CF52C774B823}"/>
            </c:ext>
          </c:extLst>
        </c:ser>
        <c:ser>
          <c:idx val="1"/>
          <c:order val="1"/>
          <c:tx>
            <c:strRef>
              <c:f>Figurer!$N$37</c:f>
              <c:strCache>
                <c:ptCount val="1"/>
                <c:pt idx="0">
                  <c:v>2020</c:v>
                </c:pt>
              </c:strCache>
            </c:strRef>
          </c:tx>
          <c:invertIfNegative val="0"/>
          <c:cat>
            <c:strRef>
              <c:f>Figurer!$L$38:$L$47</c:f>
              <c:strCache>
                <c:ptCount val="10"/>
                <c:pt idx="0">
                  <c:v>Danica Pensjon</c:v>
                </c:pt>
                <c:pt idx="1">
                  <c:v>DNB Liv</c:v>
                </c:pt>
                <c:pt idx="2">
                  <c:v>Frende Livsfors</c:v>
                </c:pt>
                <c:pt idx="3">
                  <c:v>Gjensidige Pensj</c:v>
                </c:pt>
                <c:pt idx="4">
                  <c:v>KLP</c:v>
                </c:pt>
                <c:pt idx="5">
                  <c:v>KLP Bedriftsp</c:v>
                </c:pt>
                <c:pt idx="6">
                  <c:v>Nordea Liv</c:v>
                </c:pt>
                <c:pt idx="7">
                  <c:v>SHB Liv</c:v>
                </c:pt>
                <c:pt idx="8">
                  <c:v>SpareBank 1</c:v>
                </c:pt>
                <c:pt idx="9">
                  <c:v>Storebrand</c:v>
                </c:pt>
              </c:strCache>
            </c:strRef>
          </c:cat>
          <c:val>
            <c:numRef>
              <c:f>Figurer!$N$38:$N$47</c:f>
              <c:numCache>
                <c:formatCode>#,##0</c:formatCode>
                <c:ptCount val="10"/>
                <c:pt idx="0">
                  <c:v>556076.75199999998</c:v>
                </c:pt>
                <c:pt idx="1">
                  <c:v>2457225.304</c:v>
                </c:pt>
                <c:pt idx="2">
                  <c:v>105771</c:v>
                </c:pt>
                <c:pt idx="3">
                  <c:v>826908</c:v>
                </c:pt>
                <c:pt idx="4">
                  <c:v>13284.058000000001</c:v>
                </c:pt>
                <c:pt idx="5">
                  <c:v>155790</c:v>
                </c:pt>
                <c:pt idx="6">
                  <c:v>3056093.7786399997</c:v>
                </c:pt>
                <c:pt idx="7">
                  <c:v>40693.550899999995</c:v>
                </c:pt>
                <c:pt idx="8">
                  <c:v>1184786.1743300001</c:v>
                </c:pt>
                <c:pt idx="9">
                  <c:v>3276242.0279999999</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Figurer!$M$58</c:f>
              <c:strCache>
                <c:ptCount val="1"/>
                <c:pt idx="0">
                  <c:v>2019</c:v>
                </c:pt>
              </c:strCache>
            </c:strRef>
          </c:tx>
          <c:invertIfNegative val="0"/>
          <c:cat>
            <c:strRef>
              <c:f>Figurer!$L$59:$L$81</c:f>
              <c:strCache>
                <c:ptCount val="23"/>
                <c:pt idx="0">
                  <c:v>Danica Pensjon</c:v>
                </c:pt>
                <c:pt idx="1">
                  <c:v>DNB Liv</c:v>
                </c:pt>
                <c:pt idx="2">
                  <c:v>Eika Forsikring</c:v>
                </c:pt>
                <c:pt idx="3">
                  <c:v>Fremtind Livsfors</c:v>
                </c:pt>
                <c:pt idx="4">
                  <c:v>Frende Livsfors</c:v>
                </c:pt>
                <c:pt idx="5">
                  <c:v>Frende Skadefors</c:v>
                </c:pt>
                <c:pt idx="6">
                  <c:v>Gjensidige Fors</c:v>
                </c:pt>
                <c:pt idx="7">
                  <c:v>Gjensidige Pensj</c:v>
                </c:pt>
                <c:pt idx="8">
                  <c:v>Handelsb Liv</c:v>
                </c:pt>
                <c:pt idx="9">
                  <c:v>If Skadefors</c:v>
                </c:pt>
                <c:pt idx="10">
                  <c:v>Insr</c:v>
                </c:pt>
                <c:pt idx="11">
                  <c:v>KLP</c:v>
                </c:pt>
                <c:pt idx="12">
                  <c:v>KLP Bedriftsp</c:v>
                </c:pt>
                <c:pt idx="13">
                  <c:v>KLP Skadef</c:v>
                </c:pt>
                <c:pt idx="14">
                  <c:v>Landkreditt Fors</c:v>
                </c:pt>
                <c:pt idx="15">
                  <c:v>Nordea Liv</c:v>
                </c:pt>
                <c:pt idx="16">
                  <c:v>OPF</c:v>
                </c:pt>
                <c:pt idx="17">
                  <c:v>Protector Fors</c:v>
                </c:pt>
                <c:pt idx="18">
                  <c:v>SpareBank 1</c:v>
                </c:pt>
                <c:pt idx="19">
                  <c:v>Storebrand </c:v>
                </c:pt>
                <c:pt idx="20">
                  <c:v>Telenor Forsikring</c:v>
                </c:pt>
                <c:pt idx="21">
                  <c:v>Tryg</c:v>
                </c:pt>
                <c:pt idx="22">
                  <c:v>WaterCircles Forsikring</c:v>
                </c:pt>
              </c:strCache>
            </c:strRef>
          </c:cat>
          <c:val>
            <c:numRef>
              <c:f>Figurer!$M$59:$M$81</c:f>
              <c:numCache>
                <c:formatCode>#,##0</c:formatCode>
                <c:ptCount val="23"/>
                <c:pt idx="0">
                  <c:v>1186547.58</c:v>
                </c:pt>
                <c:pt idx="1">
                  <c:v>200343540.27200001</c:v>
                </c:pt>
                <c:pt idx="2">
                  <c:v>0</c:v>
                </c:pt>
                <c:pt idx="3">
                  <c:v>0</c:v>
                </c:pt>
                <c:pt idx="4">
                  <c:v>1154102.79</c:v>
                </c:pt>
                <c:pt idx="5">
                  <c:v>0</c:v>
                </c:pt>
                <c:pt idx="6">
                  <c:v>0</c:v>
                </c:pt>
                <c:pt idx="7">
                  <c:v>6798454</c:v>
                </c:pt>
                <c:pt idx="8">
                  <c:v>24156.061791620199</c:v>
                </c:pt>
                <c:pt idx="9">
                  <c:v>0</c:v>
                </c:pt>
                <c:pt idx="10">
                  <c:v>2618.067</c:v>
                </c:pt>
                <c:pt idx="11">
                  <c:v>477264053.30385</c:v>
                </c:pt>
                <c:pt idx="12">
                  <c:v>1573553</c:v>
                </c:pt>
                <c:pt idx="13">
                  <c:v>23088</c:v>
                </c:pt>
                <c:pt idx="14">
                  <c:v>0</c:v>
                </c:pt>
                <c:pt idx="15">
                  <c:v>50874850.312231541</c:v>
                </c:pt>
                <c:pt idx="16">
                  <c:v>75420758.385900304</c:v>
                </c:pt>
                <c:pt idx="17">
                  <c:v>0</c:v>
                </c:pt>
                <c:pt idx="18">
                  <c:v>20077494.383109998</c:v>
                </c:pt>
                <c:pt idx="19">
                  <c:v>181276652.00800002</c:v>
                </c:pt>
                <c:pt idx="20">
                  <c:v>0</c:v>
                </c:pt>
                <c:pt idx="21">
                  <c:v>0</c:v>
                </c:pt>
                <c:pt idx="22">
                  <c:v>0</c:v>
                </c:pt>
              </c:numCache>
            </c:numRef>
          </c:val>
          <c:extLst>
            <c:ext xmlns:c16="http://schemas.microsoft.com/office/drawing/2014/chart" uri="{C3380CC4-5D6E-409C-BE32-E72D297353CC}">
              <c16:uniqueId val="{00000000-F5D7-4882-A9B6-45C2F0317A05}"/>
            </c:ext>
          </c:extLst>
        </c:ser>
        <c:ser>
          <c:idx val="1"/>
          <c:order val="1"/>
          <c:tx>
            <c:strRef>
              <c:f>Figurer!$N$58</c:f>
              <c:strCache>
                <c:ptCount val="1"/>
                <c:pt idx="0">
                  <c:v>2020</c:v>
                </c:pt>
              </c:strCache>
            </c:strRef>
          </c:tx>
          <c:invertIfNegative val="0"/>
          <c:cat>
            <c:strRef>
              <c:f>Figurer!$L$59:$L$81</c:f>
              <c:strCache>
                <c:ptCount val="23"/>
                <c:pt idx="0">
                  <c:v>Danica Pensjon</c:v>
                </c:pt>
                <c:pt idx="1">
                  <c:v>DNB Liv</c:v>
                </c:pt>
                <c:pt idx="2">
                  <c:v>Eika Forsikring</c:v>
                </c:pt>
                <c:pt idx="3">
                  <c:v>Fremtind Livsfors</c:v>
                </c:pt>
                <c:pt idx="4">
                  <c:v>Frende Livsfors</c:v>
                </c:pt>
                <c:pt idx="5">
                  <c:v>Frende Skadefors</c:v>
                </c:pt>
                <c:pt idx="6">
                  <c:v>Gjensidige Fors</c:v>
                </c:pt>
                <c:pt idx="7">
                  <c:v>Gjensidige Pensj</c:v>
                </c:pt>
                <c:pt idx="8">
                  <c:v>Handelsb Liv</c:v>
                </c:pt>
                <c:pt idx="9">
                  <c:v>If Skadefors</c:v>
                </c:pt>
                <c:pt idx="10">
                  <c:v>Insr</c:v>
                </c:pt>
                <c:pt idx="11">
                  <c:v>KLP</c:v>
                </c:pt>
                <c:pt idx="12">
                  <c:v>KLP Bedriftsp</c:v>
                </c:pt>
                <c:pt idx="13">
                  <c:v>KLP Skadef</c:v>
                </c:pt>
                <c:pt idx="14">
                  <c:v>Landkreditt Fors</c:v>
                </c:pt>
                <c:pt idx="15">
                  <c:v>Nordea Liv</c:v>
                </c:pt>
                <c:pt idx="16">
                  <c:v>OPF</c:v>
                </c:pt>
                <c:pt idx="17">
                  <c:v>Protector Fors</c:v>
                </c:pt>
                <c:pt idx="18">
                  <c:v>SpareBank 1</c:v>
                </c:pt>
                <c:pt idx="19">
                  <c:v>Storebrand </c:v>
                </c:pt>
                <c:pt idx="20">
                  <c:v>Telenor Forsikring</c:v>
                </c:pt>
                <c:pt idx="21">
                  <c:v>Tryg</c:v>
                </c:pt>
                <c:pt idx="22">
                  <c:v>WaterCircles Forsikring</c:v>
                </c:pt>
              </c:strCache>
            </c:strRef>
          </c:cat>
          <c:val>
            <c:numRef>
              <c:f>Figurer!$N$59:$N$81</c:f>
              <c:numCache>
                <c:formatCode>#,##0</c:formatCode>
                <c:ptCount val="23"/>
                <c:pt idx="0">
                  <c:v>1183791.0419999999</c:v>
                </c:pt>
                <c:pt idx="1">
                  <c:v>197164195.84099999</c:v>
                </c:pt>
                <c:pt idx="2">
                  <c:v>0</c:v>
                </c:pt>
                <c:pt idx="3">
                  <c:v>0</c:v>
                </c:pt>
                <c:pt idx="4">
                  <c:v>1243833</c:v>
                </c:pt>
                <c:pt idx="5">
                  <c:v>0</c:v>
                </c:pt>
                <c:pt idx="6">
                  <c:v>0</c:v>
                </c:pt>
                <c:pt idx="7">
                  <c:v>7256412</c:v>
                </c:pt>
                <c:pt idx="8">
                  <c:v>27018.357819261299</c:v>
                </c:pt>
                <c:pt idx="9">
                  <c:v>0</c:v>
                </c:pt>
                <c:pt idx="10">
                  <c:v>0</c:v>
                </c:pt>
                <c:pt idx="11">
                  <c:v>508505466.93022001</c:v>
                </c:pt>
                <c:pt idx="12">
                  <c:v>1780872</c:v>
                </c:pt>
                <c:pt idx="13">
                  <c:v>39904.18694</c:v>
                </c:pt>
                <c:pt idx="14">
                  <c:v>0</c:v>
                </c:pt>
                <c:pt idx="15">
                  <c:v>51184490.000153631</c:v>
                </c:pt>
                <c:pt idx="16">
                  <c:v>78512396.264768496</c:v>
                </c:pt>
                <c:pt idx="17">
                  <c:v>0</c:v>
                </c:pt>
                <c:pt idx="18">
                  <c:v>19224127.527090002</c:v>
                </c:pt>
                <c:pt idx="19">
                  <c:v>182275775.57800004</c:v>
                </c:pt>
                <c:pt idx="20">
                  <c:v>0</c:v>
                </c:pt>
                <c:pt idx="21">
                  <c:v>0</c:v>
                </c:pt>
                <c:pt idx="22">
                  <c:v>0</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Figurer!$M$87</c:f>
              <c:strCache>
                <c:ptCount val="1"/>
                <c:pt idx="0">
                  <c:v>2019</c:v>
                </c:pt>
              </c:strCache>
            </c:strRef>
          </c:tx>
          <c:invertIfNegative val="0"/>
          <c:cat>
            <c:strRef>
              <c:f>Figurer!$L$88:$L$97</c:f>
              <c:strCache>
                <c:ptCount val="10"/>
                <c:pt idx="0">
                  <c:v>Danica Pensjon</c:v>
                </c:pt>
                <c:pt idx="1">
                  <c:v>DNB Liv</c:v>
                </c:pt>
                <c:pt idx="2">
                  <c:v>Frende Livsfors</c:v>
                </c:pt>
                <c:pt idx="3">
                  <c:v>Gjensidige Pensj</c:v>
                </c:pt>
                <c:pt idx="4">
                  <c:v>KLP</c:v>
                </c:pt>
                <c:pt idx="5">
                  <c:v>KLP Bedriftsp</c:v>
                </c:pt>
                <c:pt idx="6">
                  <c:v>Nordea Liv</c:v>
                </c:pt>
                <c:pt idx="7">
                  <c:v>SHB Liv</c:v>
                </c:pt>
                <c:pt idx="8">
                  <c:v>SpareBank 1</c:v>
                </c:pt>
                <c:pt idx="9">
                  <c:v>Storebrand</c:v>
                </c:pt>
              </c:strCache>
            </c:strRef>
          </c:cat>
          <c:val>
            <c:numRef>
              <c:f>Figurer!$M$88:$M$97</c:f>
              <c:numCache>
                <c:formatCode>#,##0</c:formatCode>
                <c:ptCount val="10"/>
                <c:pt idx="0">
                  <c:v>18231058.762000002</c:v>
                </c:pt>
                <c:pt idx="1">
                  <c:v>85192428.625</c:v>
                </c:pt>
                <c:pt idx="2">
                  <c:v>3631130</c:v>
                </c:pt>
                <c:pt idx="3">
                  <c:v>26882141</c:v>
                </c:pt>
                <c:pt idx="4">
                  <c:v>2497218.77415</c:v>
                </c:pt>
                <c:pt idx="5">
                  <c:v>3934107</c:v>
                </c:pt>
                <c:pt idx="6">
                  <c:v>64970069.999999896</c:v>
                </c:pt>
                <c:pt idx="7">
                  <c:v>2236863.3610899998</c:v>
                </c:pt>
                <c:pt idx="8">
                  <c:v>30793410.668050002</c:v>
                </c:pt>
                <c:pt idx="9">
                  <c:v>99882666.639999986</c:v>
                </c:pt>
              </c:numCache>
            </c:numRef>
          </c:val>
          <c:extLst>
            <c:ext xmlns:c16="http://schemas.microsoft.com/office/drawing/2014/chart" uri="{C3380CC4-5D6E-409C-BE32-E72D297353CC}">
              <c16:uniqueId val="{00000000-62B1-4395-80F9-424B1553CC96}"/>
            </c:ext>
          </c:extLst>
        </c:ser>
        <c:ser>
          <c:idx val="1"/>
          <c:order val="1"/>
          <c:tx>
            <c:strRef>
              <c:f>Figurer!$N$87</c:f>
              <c:strCache>
                <c:ptCount val="1"/>
                <c:pt idx="0">
                  <c:v>2020</c:v>
                </c:pt>
              </c:strCache>
            </c:strRef>
          </c:tx>
          <c:invertIfNegative val="0"/>
          <c:cat>
            <c:strRef>
              <c:f>Figurer!$L$88:$L$97</c:f>
              <c:strCache>
                <c:ptCount val="10"/>
                <c:pt idx="0">
                  <c:v>Danica Pensjon</c:v>
                </c:pt>
                <c:pt idx="1">
                  <c:v>DNB Liv</c:v>
                </c:pt>
                <c:pt idx="2">
                  <c:v>Frende Livsfors</c:v>
                </c:pt>
                <c:pt idx="3">
                  <c:v>Gjensidige Pensj</c:v>
                </c:pt>
                <c:pt idx="4">
                  <c:v>KLP</c:v>
                </c:pt>
                <c:pt idx="5">
                  <c:v>KLP Bedriftsp</c:v>
                </c:pt>
                <c:pt idx="6">
                  <c:v>Nordea Liv</c:v>
                </c:pt>
                <c:pt idx="7">
                  <c:v>SHB Liv</c:v>
                </c:pt>
                <c:pt idx="8">
                  <c:v>SpareBank 1</c:v>
                </c:pt>
                <c:pt idx="9">
                  <c:v>Storebrand</c:v>
                </c:pt>
              </c:strCache>
            </c:strRef>
          </c:cat>
          <c:val>
            <c:numRef>
              <c:f>Figurer!$N$88:$N$97</c:f>
              <c:numCache>
                <c:formatCode>#,##0</c:formatCode>
                <c:ptCount val="10"/>
                <c:pt idx="0">
                  <c:v>18526269.5</c:v>
                </c:pt>
                <c:pt idx="1">
                  <c:v>84790630.706</c:v>
                </c:pt>
                <c:pt idx="2">
                  <c:v>3863942</c:v>
                </c:pt>
                <c:pt idx="3">
                  <c:v>26207073</c:v>
                </c:pt>
                <c:pt idx="4">
                  <c:v>2151789.0251500001</c:v>
                </c:pt>
                <c:pt idx="5">
                  <c:v>4535748</c:v>
                </c:pt>
                <c:pt idx="6">
                  <c:v>70145270</c:v>
                </c:pt>
                <c:pt idx="7">
                  <c:v>2269628.5062499996</c:v>
                </c:pt>
                <c:pt idx="8">
                  <c:v>31469716.431260001</c:v>
                </c:pt>
                <c:pt idx="9">
                  <c:v>105148557.005</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Figurer!$M$110</c:f>
              <c:strCache>
                <c:ptCount val="1"/>
                <c:pt idx="0">
                  <c:v>2019</c:v>
                </c:pt>
              </c:strCache>
            </c:strRef>
          </c:tx>
          <c:invertIfNegative val="0"/>
          <c:cat>
            <c:strRef>
              <c:f>Figurer!$L$111:$L$118</c:f>
              <c:strCache>
                <c:ptCount val="8"/>
                <c:pt idx="0">
                  <c:v>Danica Pensjon</c:v>
                </c:pt>
                <c:pt idx="1">
                  <c:v>DNB Liv</c:v>
                </c:pt>
                <c:pt idx="2">
                  <c:v>Gjensidige Pensj</c:v>
                </c:pt>
                <c:pt idx="3">
                  <c:v>KLP</c:v>
                </c:pt>
                <c:pt idx="4">
                  <c:v>KLP Bedriftsp</c:v>
                </c:pt>
                <c:pt idx="5">
                  <c:v>Nordea Liv</c:v>
                </c:pt>
                <c:pt idx="6">
                  <c:v>SpareBank 1</c:v>
                </c:pt>
                <c:pt idx="7">
                  <c:v>Storebrand </c:v>
                </c:pt>
              </c:strCache>
            </c:strRef>
          </c:cat>
          <c:val>
            <c:numRef>
              <c:f>Figurer!$M$111:$M$118</c:f>
              <c:numCache>
                <c:formatCode>#,##0</c:formatCode>
                <c:ptCount val="8"/>
                <c:pt idx="0">
                  <c:v>-1576.8909999999996</c:v>
                </c:pt>
                <c:pt idx="1">
                  <c:v>33779</c:v>
                </c:pt>
                <c:pt idx="2">
                  <c:v>20554</c:v>
                </c:pt>
                <c:pt idx="3">
                  <c:v>-248299.76699999999</c:v>
                </c:pt>
                <c:pt idx="4">
                  <c:v>-14</c:v>
                </c:pt>
                <c:pt idx="5">
                  <c:v>-22302.415059999901</c:v>
                </c:pt>
                <c:pt idx="6">
                  <c:v>-5187.3273599999993</c:v>
                </c:pt>
                <c:pt idx="7">
                  <c:v>-72397.951000000001</c:v>
                </c:pt>
              </c:numCache>
            </c:numRef>
          </c:val>
          <c:extLst>
            <c:ext xmlns:c16="http://schemas.microsoft.com/office/drawing/2014/chart" uri="{C3380CC4-5D6E-409C-BE32-E72D297353CC}">
              <c16:uniqueId val="{00000000-2BF8-4278-857F-91A0E7196849}"/>
            </c:ext>
          </c:extLst>
        </c:ser>
        <c:ser>
          <c:idx val="1"/>
          <c:order val="1"/>
          <c:tx>
            <c:strRef>
              <c:f>Figurer!$N$110</c:f>
              <c:strCache>
                <c:ptCount val="1"/>
                <c:pt idx="0">
                  <c:v>2020</c:v>
                </c:pt>
              </c:strCache>
            </c:strRef>
          </c:tx>
          <c:invertIfNegative val="0"/>
          <c:cat>
            <c:strRef>
              <c:f>Figurer!$L$111:$L$118</c:f>
              <c:strCache>
                <c:ptCount val="8"/>
                <c:pt idx="0">
                  <c:v>Danica Pensjon</c:v>
                </c:pt>
                <c:pt idx="1">
                  <c:v>DNB Liv</c:v>
                </c:pt>
                <c:pt idx="2">
                  <c:v>Gjensidige Pensj</c:v>
                </c:pt>
                <c:pt idx="3">
                  <c:v>KLP</c:v>
                </c:pt>
                <c:pt idx="4">
                  <c:v>KLP Bedriftsp</c:v>
                </c:pt>
                <c:pt idx="5">
                  <c:v>Nordea Liv</c:v>
                </c:pt>
                <c:pt idx="6">
                  <c:v>SpareBank 1</c:v>
                </c:pt>
                <c:pt idx="7">
                  <c:v>Storebrand </c:v>
                </c:pt>
              </c:strCache>
            </c:strRef>
          </c:cat>
          <c:val>
            <c:numRef>
              <c:f>Figurer!$N$111:$N$118</c:f>
              <c:numCache>
                <c:formatCode>#,##0</c:formatCode>
                <c:ptCount val="8"/>
                <c:pt idx="0">
                  <c:v>12646.075999999999</c:v>
                </c:pt>
                <c:pt idx="1">
                  <c:v>-237818</c:v>
                </c:pt>
                <c:pt idx="2">
                  <c:v>-54730</c:v>
                </c:pt>
                <c:pt idx="3">
                  <c:v>-3411565.2769999998</c:v>
                </c:pt>
                <c:pt idx="4">
                  <c:v>3182</c:v>
                </c:pt>
                <c:pt idx="5">
                  <c:v>-3278</c:v>
                </c:pt>
                <c:pt idx="6">
                  <c:v>3146.3897800000004</c:v>
                </c:pt>
                <c:pt idx="7">
                  <c:v>260683.62500000003</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Figurer!$M$134</c:f>
              <c:strCache>
                <c:ptCount val="1"/>
                <c:pt idx="0">
                  <c:v>2019</c:v>
                </c:pt>
              </c:strCache>
            </c:strRef>
          </c:tx>
          <c:invertIfNegative val="0"/>
          <c:cat>
            <c:strRef>
              <c:f>Figurer!$L$135:$L$143</c:f>
              <c:strCache>
                <c:ptCount val="9"/>
                <c:pt idx="0">
                  <c:v>Danica Pensjon</c:v>
                </c:pt>
                <c:pt idx="1">
                  <c:v>DNB Liv</c:v>
                </c:pt>
                <c:pt idx="2">
                  <c:v>Frende Livsfors</c:v>
                </c:pt>
                <c:pt idx="3">
                  <c:v>Gjensidige Pensj</c:v>
                </c:pt>
                <c:pt idx="4">
                  <c:v>KLP Bedriftsp</c:v>
                </c:pt>
                <c:pt idx="5">
                  <c:v>Nordea Liv</c:v>
                </c:pt>
                <c:pt idx="6">
                  <c:v>SHB Liv</c:v>
                </c:pt>
                <c:pt idx="7">
                  <c:v>SpareBank 1</c:v>
                </c:pt>
                <c:pt idx="8">
                  <c:v>Storebrand</c:v>
                </c:pt>
              </c:strCache>
            </c:strRef>
          </c:cat>
          <c:val>
            <c:numRef>
              <c:f>Figurer!$M$135:$M$143</c:f>
              <c:numCache>
                <c:formatCode>#,##0</c:formatCode>
                <c:ptCount val="9"/>
                <c:pt idx="0">
                  <c:v>-16045.73000000001</c:v>
                </c:pt>
                <c:pt idx="1">
                  <c:v>510695</c:v>
                </c:pt>
                <c:pt idx="2">
                  <c:v>13609.839</c:v>
                </c:pt>
                <c:pt idx="3">
                  <c:v>445335</c:v>
                </c:pt>
                <c:pt idx="4">
                  <c:v>173001</c:v>
                </c:pt>
                <c:pt idx="5">
                  <c:v>7302.415059999912</c:v>
                </c:pt>
                <c:pt idx="6">
                  <c:v>18484.602370000001</c:v>
                </c:pt>
                <c:pt idx="7">
                  <c:v>160465.41979000001</c:v>
                </c:pt>
                <c:pt idx="8">
                  <c:v>-1365161.726</c:v>
                </c:pt>
              </c:numCache>
            </c:numRef>
          </c:val>
          <c:extLst>
            <c:ext xmlns:c16="http://schemas.microsoft.com/office/drawing/2014/chart" uri="{C3380CC4-5D6E-409C-BE32-E72D297353CC}">
              <c16:uniqueId val="{00000000-B400-4C26-965B-0553A4A37873}"/>
            </c:ext>
          </c:extLst>
        </c:ser>
        <c:ser>
          <c:idx val="1"/>
          <c:order val="1"/>
          <c:tx>
            <c:strRef>
              <c:f>Figurer!$N$134</c:f>
              <c:strCache>
                <c:ptCount val="1"/>
                <c:pt idx="0">
                  <c:v>2020</c:v>
                </c:pt>
              </c:strCache>
            </c:strRef>
          </c:tx>
          <c:invertIfNegative val="0"/>
          <c:cat>
            <c:strRef>
              <c:f>Figurer!$L$135:$L$143</c:f>
              <c:strCache>
                <c:ptCount val="9"/>
                <c:pt idx="0">
                  <c:v>Danica Pensjon</c:v>
                </c:pt>
                <c:pt idx="1">
                  <c:v>DNB Liv</c:v>
                </c:pt>
                <c:pt idx="2">
                  <c:v>Frende Livsfors</c:v>
                </c:pt>
                <c:pt idx="3">
                  <c:v>Gjensidige Pensj</c:v>
                </c:pt>
                <c:pt idx="4">
                  <c:v>KLP Bedriftsp</c:v>
                </c:pt>
                <c:pt idx="5">
                  <c:v>Nordea Liv</c:v>
                </c:pt>
                <c:pt idx="6">
                  <c:v>SHB Liv</c:v>
                </c:pt>
                <c:pt idx="7">
                  <c:v>SpareBank 1</c:v>
                </c:pt>
                <c:pt idx="8">
                  <c:v>Storebrand</c:v>
                </c:pt>
              </c:strCache>
            </c:strRef>
          </c:cat>
          <c:val>
            <c:numRef>
              <c:f>Figurer!$N$135:$N$143</c:f>
              <c:numCache>
                <c:formatCode>#,##0</c:formatCode>
                <c:ptCount val="9"/>
                <c:pt idx="0">
                  <c:v>19242.993000000017</c:v>
                </c:pt>
                <c:pt idx="1">
                  <c:v>-3215694</c:v>
                </c:pt>
                <c:pt idx="2">
                  <c:v>-20540</c:v>
                </c:pt>
                <c:pt idx="3">
                  <c:v>-946156</c:v>
                </c:pt>
                <c:pt idx="4">
                  <c:v>109462</c:v>
                </c:pt>
                <c:pt idx="5">
                  <c:v>1409300.00403</c:v>
                </c:pt>
                <c:pt idx="6">
                  <c:v>34179.303329999995</c:v>
                </c:pt>
                <c:pt idx="7">
                  <c:v>200254.90122</c:v>
                </c:pt>
                <c:pt idx="8">
                  <c:v>2686212.682</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476250</xdr:colOff>
      <xdr:row>54</xdr:row>
      <xdr:rowOff>28575</xdr:rowOff>
    </xdr:to>
    <xdr:pic>
      <xdr:nvPicPr>
        <xdr:cNvPr id="2" name="Picture 1" descr="Statistikk_forside.pd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572250" cy="11258550"/>
        </a:xfrm>
        <a:prstGeom prst="rect">
          <a:avLst/>
        </a:prstGeom>
        <a:noFill/>
        <a:ln w="9525">
          <a:noFill/>
          <a:miter lim="800000"/>
          <a:headEnd/>
          <a:tailEnd/>
        </a:ln>
      </xdr:spPr>
    </xdr:pic>
    <xdr:clientData/>
  </xdr:twoCellAnchor>
  <xdr:twoCellAnchor>
    <xdr:from>
      <xdr:col>0</xdr:col>
      <xdr:colOff>695325</xdr:colOff>
      <xdr:row>41</xdr:row>
      <xdr:rowOff>34925</xdr:rowOff>
    </xdr:from>
    <xdr:to>
      <xdr:col>5</xdr:col>
      <xdr:colOff>371492</xdr:colOff>
      <xdr:row>43</xdr:row>
      <xdr:rowOff>152400</xdr:rowOff>
    </xdr:to>
    <xdr:sp macro="" textlink="">
      <xdr:nvSpPr>
        <xdr:cNvPr id="3" name="Text Box 6">
          <a:extLst>
            <a:ext uri="{FF2B5EF4-FFF2-40B4-BE49-F238E27FC236}">
              <a16:creationId xmlns:a16="http://schemas.microsoft.com/office/drawing/2014/main" id="{00000000-0008-0000-0000-000003000000}"/>
            </a:ext>
          </a:extLst>
        </xdr:cNvPr>
        <xdr:cNvSpPr txBox="1"/>
      </xdr:nvSpPr>
      <xdr:spPr>
        <a:xfrm>
          <a:off x="695325" y="9083675"/>
          <a:ext cx="3486167" cy="517525"/>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1. KVARTAL 2020 </a:t>
          </a:r>
          <a:r>
            <a:rPr lang="nb-NO" sz="1100" b="0">
              <a:effectLst/>
              <a:latin typeface="Arial"/>
              <a:ea typeface="ＭＳ 明朝"/>
              <a:cs typeface="Times New Roman"/>
            </a:rPr>
            <a:t>(22.05.2020)</a:t>
          </a:r>
          <a:r>
            <a:rPr lang="nb-NO" sz="1600" b="1">
              <a:effectLst/>
              <a:latin typeface="Arial"/>
              <a:ea typeface="ＭＳ 明朝"/>
              <a:cs typeface="Times New Roman"/>
            </a:rPr>
            <a:t> </a:t>
          </a:r>
        </a:p>
        <a:p>
          <a:pPr>
            <a:spcAft>
              <a:spcPts val="0"/>
            </a:spcAft>
          </a:pPr>
          <a:r>
            <a:rPr lang="nb-NO" sz="1100" b="0">
              <a:effectLst/>
              <a:latin typeface="Arial"/>
              <a:ea typeface="ＭＳ 明朝"/>
              <a:cs typeface="Times New Roman"/>
            </a:rPr>
            <a:t>(revidert 13.08.2020)</a:t>
          </a:r>
          <a:endParaRPr lang="nb-NO" sz="1100" b="0">
            <a:effectLst/>
            <a:ea typeface="ＭＳ 明朝"/>
            <a:cs typeface="Times New Roman"/>
          </a:endParaRPr>
        </a:p>
      </xdr:txBody>
    </xdr:sp>
    <xdr:clientData/>
  </xdr:twoCellAnchor>
  <xdr:twoCellAnchor>
    <xdr:from>
      <xdr:col>0</xdr:col>
      <xdr:colOff>666750</xdr:colOff>
      <xdr:row>32</xdr:row>
      <xdr:rowOff>387350</xdr:rowOff>
    </xdr:from>
    <xdr:to>
      <xdr:col>8</xdr:col>
      <xdr:colOff>196850</xdr:colOff>
      <xdr:row>38</xdr:row>
      <xdr:rowOff>22225</xdr:rowOff>
    </xdr:to>
    <xdr:sp macro="" textlink="">
      <xdr:nvSpPr>
        <xdr:cNvPr id="4" name="Text Box 4">
          <a:extLst>
            <a:ext uri="{FF2B5EF4-FFF2-40B4-BE49-F238E27FC236}">
              <a16:creationId xmlns:a16="http://schemas.microsoft.com/office/drawing/2014/main" id="{00000000-0008-0000-0000-000004000000}"/>
            </a:ext>
          </a:extLst>
        </xdr:cNvPr>
        <xdr:cNvSpPr txBox="1"/>
      </xdr:nvSpPr>
      <xdr:spPr>
        <a:xfrm>
          <a:off x="666750" y="7292975"/>
          <a:ext cx="5626100" cy="1149350"/>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3100"/>
            </a:lnSpc>
            <a:spcAft>
              <a:spcPts val="0"/>
            </a:spcAft>
          </a:pPr>
          <a:r>
            <a:rPr lang="nb-NO" sz="2800" b="1">
              <a:solidFill>
                <a:srgbClr val="54758C"/>
              </a:solidFill>
              <a:effectLst/>
              <a:latin typeface="Arial"/>
              <a:ea typeface="ＭＳ 明朝"/>
              <a:cs typeface="Times New Roman"/>
            </a:rPr>
            <a:t>MARKEDSANDELER</a:t>
          </a:r>
          <a:endParaRPr lang="nb-NO" sz="1200">
            <a:effectLst/>
            <a:ea typeface="ＭＳ 明朝"/>
            <a:cs typeface="Times New Roman"/>
          </a:endParaRPr>
        </a:p>
        <a:p>
          <a:pPr>
            <a:lnSpc>
              <a:spcPts val="3200"/>
            </a:lnSpc>
            <a:spcAft>
              <a:spcPts val="0"/>
            </a:spcAft>
          </a:pPr>
          <a:r>
            <a:rPr lang="en-GB" sz="2600">
              <a:solidFill>
                <a:srgbClr val="54758C"/>
              </a:solidFill>
              <a:effectLst/>
              <a:latin typeface="Arial"/>
              <a:ea typeface="ＭＳ 明朝"/>
              <a:cs typeface="MinionPro-Regular"/>
            </a:rPr>
            <a:t>– endelige tall og regnskapsstatistikk</a:t>
          </a:r>
          <a:endParaRPr lang="nb-NO" sz="1200">
            <a:solidFill>
              <a:srgbClr val="000000"/>
            </a:solidFill>
            <a:effectLst/>
            <a:latin typeface="MinionPro-Regular"/>
            <a:ea typeface="ＭＳ 明朝"/>
            <a:cs typeface="MinionPro-Regular"/>
          </a:endParaRPr>
        </a:p>
        <a:p>
          <a:pPr>
            <a:lnSpc>
              <a:spcPts val="1300"/>
            </a:lnSpc>
            <a:spcAft>
              <a:spcPts val="0"/>
            </a:spcAft>
          </a:pPr>
          <a:r>
            <a:rPr lang="nb-NO" sz="1200">
              <a:effectLst/>
              <a:ea typeface="ＭＳ 明朝"/>
              <a:cs typeface="Times New Roman"/>
            </a:rPr>
            <a:t> </a:t>
          </a:r>
        </a:p>
      </xdr:txBody>
    </xdr:sp>
    <xdr:clientData/>
  </xdr:twoCellAnchor>
  <xdr:twoCellAnchor>
    <xdr:from>
      <xdr:col>0</xdr:col>
      <xdr:colOff>447675</xdr:colOff>
      <xdr:row>5</xdr:row>
      <xdr:rowOff>12700</xdr:rowOff>
    </xdr:from>
    <xdr:to>
      <xdr:col>2</xdr:col>
      <xdr:colOff>530482</xdr:colOff>
      <xdr:row>7</xdr:row>
      <xdr:rowOff>66616</xdr:rowOff>
    </xdr:to>
    <xdr:sp macro="" textlink="">
      <xdr:nvSpPr>
        <xdr:cNvPr id="5" name="Text Box 3">
          <a:extLst>
            <a:ext uri="{FF2B5EF4-FFF2-40B4-BE49-F238E27FC236}">
              <a16:creationId xmlns:a16="http://schemas.microsoft.com/office/drawing/2014/main" id="{00000000-0008-0000-0000-000005000000}"/>
            </a:ext>
          </a:extLst>
        </xdr:cNvPr>
        <xdr:cNvSpPr txBox="1"/>
      </xdr:nvSpPr>
      <xdr:spPr>
        <a:xfrm>
          <a:off x="447675" y="822325"/>
          <a:ext cx="1606807" cy="511116"/>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1500"/>
            </a:lnSpc>
            <a:spcAft>
              <a:spcPts val="0"/>
            </a:spcAft>
          </a:pPr>
          <a:r>
            <a:rPr lang="nb-NO" sz="1400" cap="all">
              <a:ln w="0" cap="flat" cmpd="sng" algn="ctr">
                <a:noFill/>
                <a:prstDash val="solid"/>
                <a:round/>
              </a:ln>
              <a:solidFill>
                <a:schemeClr val="bg1"/>
              </a:solidFill>
              <a:effectLst/>
              <a:latin typeface="Arial"/>
              <a:ea typeface="ＭＳ 明朝"/>
              <a:cs typeface="Arial"/>
            </a:rPr>
            <a:t>LIVSTATISTIKK</a:t>
          </a:r>
          <a:endParaRPr lang="nb-NO" sz="1400">
            <a:ln w="0" cap="flat" cmpd="sng" algn="ctr">
              <a:noFill/>
              <a:prstDash val="solid"/>
              <a:round/>
            </a:ln>
            <a:solidFill>
              <a:schemeClr val="bg1"/>
            </a:solidFill>
            <a:effectLst/>
            <a:latin typeface="Arial"/>
            <a:ea typeface="ＭＳ 明朝"/>
            <a:cs typeface="Arial"/>
          </a:endParaRPr>
        </a:p>
        <a:p>
          <a:pPr>
            <a:lnSpc>
              <a:spcPts val="1100"/>
            </a:lnSpc>
            <a:spcAft>
              <a:spcPts val="0"/>
            </a:spcAft>
          </a:pPr>
          <a:r>
            <a:rPr lang="nb-NO" sz="1200">
              <a:effectLst/>
              <a:ea typeface="ＭＳ 明朝"/>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127000</xdr:rowOff>
    </xdr:from>
    <xdr:to>
      <xdr:col>0</xdr:col>
      <xdr:colOff>4064000</xdr:colOff>
      <xdr:row>40</xdr:row>
      <xdr:rowOff>74083</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62000"/>
          <a:ext cx="4053417" cy="10974916"/>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algn="l" rtl="0">
            <a:lnSpc>
              <a:spcPts val="16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Eika Forsikring AS (skadeselskap</a:t>
          </a:r>
          <a:r>
            <a:rPr lang="nb-NO" sz="1200" b="0" i="0" strike="noStrike" baseline="0">
              <a:solidFill>
                <a:srgbClr val="000000"/>
              </a:solidFill>
              <a:latin typeface="Times New Roman"/>
              <a:cs typeface="Times New Roman"/>
            </a:rPr>
            <a:t>)</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Fremdtind Liv</a:t>
          </a: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600"/>
            </a:lnSpc>
            <a:defRPr sz="1000"/>
          </a:pPr>
          <a:r>
            <a:rPr lang="nb-NO" sz="1200" b="0" i="0" strike="noStrike">
              <a:solidFill>
                <a:srgbClr val="000000"/>
              </a:solidFill>
              <a:latin typeface="Times New Roman"/>
              <a:cs typeface="Times New Roman"/>
            </a:rPr>
            <a:t>Handelsbanken Liv (utenlandsk,</a:t>
          </a:r>
          <a:r>
            <a:rPr lang="nb-NO" sz="1200" b="0" i="0" strike="noStrike" baseline="0">
              <a:solidFill>
                <a:srgbClr val="000000"/>
              </a:solidFill>
              <a:latin typeface="Times New Roman"/>
              <a:cs typeface="Times New Roman"/>
            </a:rPr>
            <a:t> </a:t>
          </a:r>
          <a:r>
            <a:rPr lang="nb-NO" sz="1200" b="0" i="0" strike="noStrike">
              <a:solidFill>
                <a:srgbClr val="000000"/>
              </a:solidFill>
              <a:latin typeface="Times New Roman"/>
              <a:cs typeface="Times New Roman"/>
            </a:rPr>
            <a:t>filial)</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a:t>
          </a:r>
          <a:r>
            <a:rPr lang="nb-NO" sz="1200" b="0" i="0" strike="noStrike" baseline="0">
              <a:solidFill>
                <a:srgbClr val="000000"/>
              </a:solidFill>
              <a:latin typeface="Times New Roman"/>
              <a:cs typeface="Times New Roman"/>
            </a:rPr>
            <a:t> Bedriftspensjon AS</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Landbruksforsikring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baseline="0">
              <a:solidFill>
                <a:srgbClr val="000000"/>
              </a:solidFill>
              <a:latin typeface="Times New Roman"/>
              <a:cs typeface="Times New Roman"/>
            </a:rPr>
            <a:t>Insr (skadeselskap)</a:t>
          </a:r>
          <a:endParaRPr lang="nb-NO" sz="1200" b="0" i="0" strike="noStrike">
            <a:solidFill>
              <a:srgbClr val="000000"/>
            </a:solidFill>
            <a:latin typeface="Times New Roman"/>
            <a:cs typeface="Times New Roman"/>
          </a:endParaRP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a:t>
          </a:r>
        </a:p>
        <a:p>
          <a:pPr algn="l" rtl="0">
            <a:lnSpc>
              <a:spcPts val="1700"/>
            </a:lnSpc>
            <a:defRPr sz="1000"/>
          </a:pPr>
          <a:r>
            <a:rPr lang="nb-NO" sz="1200" b="0" i="0" strike="noStrike">
              <a:solidFill>
                <a:srgbClr val="000000"/>
              </a:solidFill>
              <a:latin typeface="Times New Roman"/>
              <a:cs typeface="Times New Roman"/>
            </a:rPr>
            <a:t>SpareBank 1</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WaterCicles 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Danica Pensjonsforsikring</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700"/>
            </a:lnSpc>
            <a:defRPr sz="1000"/>
          </a:pPr>
          <a:r>
            <a:rPr lang="nb-NO" sz="1200" b="0" i="0" strike="noStrike">
              <a:solidFill>
                <a:srgbClr val="000000"/>
              </a:solidFill>
              <a:latin typeface="Times New Roman"/>
              <a:cs typeface="Times New Roman"/>
            </a:rPr>
            <a:t>Frende</a:t>
          </a:r>
          <a:r>
            <a:rPr lang="nb-NO" sz="1200" b="0" i="0" strike="noStrike" baseline="0">
              <a:solidFill>
                <a:srgbClr val="000000"/>
              </a:solidFill>
              <a:latin typeface="Times New Roman"/>
              <a:cs typeface="Times New Roman"/>
            </a:rPr>
            <a:t> Livsforsikring</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a:solidFill>
                <a:srgbClr val="000000"/>
              </a:solidFill>
              <a:latin typeface="Times New Roman"/>
              <a:cs typeface="Times New Roman"/>
            </a:rPr>
            <a:t>KLP Bedriftspensjon AS</a:t>
          </a:r>
        </a:p>
        <a:p>
          <a:pPr algn="l" rtl="0">
            <a:lnSpc>
              <a:spcPts val="17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SHB Liv (utenlandsk, filial)</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Silver Pensjonsforsikring AS</a:t>
          </a:r>
        </a:p>
        <a:p>
          <a:pPr algn="l" rtl="0">
            <a:lnSpc>
              <a:spcPts val="1600"/>
            </a:lnSpc>
            <a:defRPr sz="1000"/>
          </a:pPr>
          <a:r>
            <a:rPr lang="nb-NO" sz="1200" b="0" i="0" strike="noStrike">
              <a:solidFill>
                <a:srgbClr val="000000"/>
              </a:solidFill>
              <a:latin typeface="Times New Roman"/>
              <a:cs typeface="Times New Roman"/>
            </a:rPr>
            <a:t>SpareBank 1</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r>
            <a:rPr lang="nb-NO" sz="1100" u="sng">
              <a:latin typeface="Times New Roman" panose="02020603050405020304" pitchFamily="18" charset="0"/>
              <a:cs typeface="Times New Roman" panose="02020603050405020304" pitchFamily="18" charset="0"/>
            </a:rPr>
            <a:t>Danica Pensjonsforsikring</a:t>
          </a:r>
        </a:p>
        <a:p>
          <a:r>
            <a:rPr lang="nb-NO" sz="1100">
              <a:solidFill>
                <a:schemeClr val="dk1"/>
              </a:solidFill>
              <a:effectLst/>
              <a:latin typeface="+mn-lt"/>
              <a:ea typeface="+mn-ea"/>
              <a:cs typeface="+mn-cs"/>
            </a:rPr>
            <a:t>Data</a:t>
          </a:r>
          <a:r>
            <a:rPr lang="nb-NO" sz="1100" baseline="0">
              <a:solidFill>
                <a:schemeClr val="dk1"/>
              </a:solidFill>
              <a:effectLst/>
              <a:latin typeface="+mn-lt"/>
              <a:ea typeface="+mn-ea"/>
              <a:cs typeface="+mn-cs"/>
            </a:rPr>
            <a:t> b</a:t>
          </a:r>
          <a:r>
            <a:rPr lang="nb-NO" sz="1100">
              <a:solidFill>
                <a:schemeClr val="dk1"/>
              </a:solidFill>
              <a:effectLst/>
              <a:latin typeface="+mn-lt"/>
              <a:ea typeface="+mn-ea"/>
              <a:cs typeface="+mn-cs"/>
            </a:rPr>
            <a:t>le innrapportert før endelig styrebehandling, og det må derfor tas forbehold om eventuelle endringer.</a:t>
          </a:r>
          <a:endParaRPr lang="nb-NO" sz="1100" u="none">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r>
            <a:rPr lang="nb-NO" sz="1100" u="sng">
              <a:latin typeface="Times New Roman" panose="02020603050405020304" pitchFamily="18" charset="0"/>
              <a:cs typeface="Times New Roman" panose="02020603050405020304" pitchFamily="18" charset="0"/>
            </a:rPr>
            <a:t>Fremtind Livsforsikring</a:t>
          </a:r>
        </a:p>
        <a:p>
          <a:r>
            <a:rPr lang="nb-NO" sz="1100" u="none">
              <a:latin typeface="Times New Roman" panose="02020603050405020304" pitchFamily="18" charset="0"/>
              <a:cs typeface="Times New Roman" panose="02020603050405020304" pitchFamily="18" charset="0"/>
            </a:rPr>
            <a:t>Selskapet</a:t>
          </a:r>
          <a:r>
            <a:rPr lang="nb-NO" sz="1100" u="none" baseline="0">
              <a:latin typeface="Times New Roman" panose="02020603050405020304" pitchFamily="18" charset="0"/>
              <a:cs typeface="Times New Roman" panose="02020603050405020304" pitchFamily="18" charset="0"/>
            </a:rPr>
            <a:t> inngår i statistikken fra 1. kvartal 2020.</a:t>
          </a:r>
        </a:p>
        <a:p>
          <a:endParaRPr lang="nb-NO" sz="1100" u="none" baseline="0">
            <a:latin typeface="Times New Roman" panose="02020603050405020304" pitchFamily="18" charset="0"/>
            <a:cs typeface="Times New Roman" panose="02020603050405020304" pitchFamily="18" charset="0"/>
          </a:endParaRPr>
        </a:p>
        <a:p>
          <a:pPr marL="0" indent="0"/>
          <a:r>
            <a:rPr lang="nb-NO" sz="1100" u="sng">
              <a:solidFill>
                <a:schemeClr val="dk1"/>
              </a:solidFill>
              <a:latin typeface="Times New Roman" panose="02020603050405020304" pitchFamily="18" charset="0"/>
              <a:ea typeface="+mn-ea"/>
              <a:cs typeface="Times New Roman" panose="02020603050405020304" pitchFamily="18" charset="0"/>
            </a:rPr>
            <a:t>WaterCircle Forsikring</a:t>
          </a:r>
        </a:p>
        <a:p>
          <a:pPr marL="0" indent="0"/>
          <a:r>
            <a:rPr lang="nb-NO" sz="1100" u="none">
              <a:solidFill>
                <a:schemeClr val="dk1"/>
              </a:solidFill>
              <a:latin typeface="Times New Roman" panose="02020603050405020304" pitchFamily="18" charset="0"/>
              <a:ea typeface="+mn-ea"/>
              <a:cs typeface="Times New Roman" panose="02020603050405020304" pitchFamily="18" charset="0"/>
            </a:rPr>
            <a:t>Selskapet inngår i statistikken fra 1. kvartal 2020.</a:t>
          </a: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5"/>
  <sheetViews>
    <sheetView showGridLines="0" topLeftCell="A19" workbookViewId="0">
      <selection activeCell="K39" sqref="K39"/>
    </sheetView>
  </sheetViews>
  <sheetFormatPr baseColWidth="10" defaultColWidth="11.42578125" defaultRowHeight="12.75" x14ac:dyDescent="0.2"/>
  <sheetData>
    <row r="1" spans="2:9" s="51" customFormat="1" x14ac:dyDescent="0.2"/>
    <row r="2" spans="2:9" s="51" customFormat="1" x14ac:dyDescent="0.2"/>
    <row r="3" spans="2:9" s="51" customFormat="1" x14ac:dyDescent="0.2"/>
    <row r="4" spans="2:9" s="51" customFormat="1" x14ac:dyDescent="0.2"/>
    <row r="5" spans="2:9" s="51" customFormat="1" x14ac:dyDescent="0.2">
      <c r="B5" s="52"/>
      <c r="C5" s="52"/>
      <c r="D5" s="52"/>
      <c r="E5" s="52"/>
      <c r="F5" s="52"/>
      <c r="G5" s="52"/>
      <c r="H5" s="52"/>
    </row>
    <row r="6" spans="2:9" s="51" customFormat="1" ht="23.25" x14ac:dyDescent="0.35">
      <c r="B6" s="53"/>
      <c r="C6" s="52"/>
      <c r="D6" s="52"/>
      <c r="E6" s="52"/>
      <c r="F6" s="52"/>
      <c r="G6" s="52"/>
      <c r="H6" s="52"/>
      <c r="I6" s="54"/>
    </row>
    <row r="7" spans="2:9" s="51" customFormat="1" x14ac:dyDescent="0.2">
      <c r="B7" s="52"/>
      <c r="C7" s="52"/>
      <c r="D7" s="52"/>
      <c r="E7" s="52"/>
      <c r="F7" s="52"/>
      <c r="G7" s="52"/>
      <c r="H7" s="52"/>
      <c r="I7" s="52"/>
    </row>
    <row r="8" spans="2:9" s="51" customFormat="1" x14ac:dyDescent="0.2">
      <c r="B8" s="52"/>
      <c r="C8" s="52"/>
      <c r="D8" s="52"/>
      <c r="F8" s="52"/>
      <c r="G8" s="52"/>
      <c r="H8" s="52"/>
    </row>
    <row r="9" spans="2:9" s="51" customFormat="1" x14ac:dyDescent="0.2">
      <c r="B9" s="52"/>
      <c r="C9" s="52"/>
      <c r="D9" s="52"/>
      <c r="E9" s="52"/>
      <c r="F9" s="52"/>
      <c r="G9" s="52"/>
      <c r="H9" s="52"/>
    </row>
    <row r="10" spans="2:9" s="51" customFormat="1" ht="23.25" x14ac:dyDescent="0.35">
      <c r="B10" s="52"/>
      <c r="C10" s="52"/>
      <c r="D10" s="52"/>
      <c r="I10" s="54"/>
    </row>
    <row r="11" spans="2:9" s="51" customFormat="1" x14ac:dyDescent="0.2">
      <c r="B11" s="52"/>
      <c r="C11" s="52"/>
      <c r="D11" s="52"/>
    </row>
    <row r="12" spans="2:9" s="51" customFormat="1" ht="27" customHeight="1" x14ac:dyDescent="0.35">
      <c r="B12" s="52"/>
      <c r="C12" s="52"/>
      <c r="D12" s="52"/>
      <c r="E12" s="52"/>
      <c r="F12" s="52"/>
      <c r="G12" s="52"/>
      <c r="H12" s="52"/>
      <c r="I12" s="54"/>
    </row>
    <row r="13" spans="2:9" s="51" customFormat="1" ht="19.5" customHeight="1" x14ac:dyDescent="0.35">
      <c r="B13" s="52"/>
      <c r="I13" s="54"/>
    </row>
    <row r="14" spans="2:9" s="51" customFormat="1" x14ac:dyDescent="0.2">
      <c r="B14" s="52"/>
      <c r="C14" s="52"/>
      <c r="D14" s="52"/>
      <c r="F14" s="52"/>
      <c r="G14" s="52"/>
      <c r="H14" s="52"/>
    </row>
    <row r="15" spans="2:9" s="51" customFormat="1" x14ac:dyDescent="0.2">
      <c r="B15" s="52"/>
      <c r="C15" s="52"/>
      <c r="D15" s="52"/>
      <c r="F15" s="52"/>
      <c r="G15" s="52"/>
      <c r="H15" s="52"/>
      <c r="I15" s="52"/>
    </row>
    <row r="16" spans="2:9" s="51" customFormat="1" ht="34.5" x14ac:dyDescent="0.45">
      <c r="B16" s="52"/>
      <c r="C16" s="52"/>
      <c r="D16" s="52"/>
      <c r="E16" s="55"/>
      <c r="F16" s="52"/>
      <c r="G16" s="52"/>
      <c r="H16" s="52"/>
      <c r="I16" s="52"/>
    </row>
    <row r="17" spans="2:9" s="51" customFormat="1" ht="33" x14ac:dyDescent="0.45">
      <c r="B17" s="52"/>
      <c r="C17" s="52"/>
      <c r="D17" s="52"/>
      <c r="E17" s="56"/>
      <c r="F17" s="52"/>
      <c r="G17" s="52"/>
      <c r="H17" s="52"/>
      <c r="I17" s="52"/>
    </row>
    <row r="18" spans="2:9" s="51" customFormat="1" ht="33" x14ac:dyDescent="0.45">
      <c r="D18" s="56"/>
    </row>
    <row r="19" spans="2:9" s="51" customFormat="1" ht="18.75" x14ac:dyDescent="0.3">
      <c r="E19" s="57"/>
      <c r="I19" s="58"/>
    </row>
    <row r="20" spans="2:9" s="51" customFormat="1" x14ac:dyDescent="0.2"/>
    <row r="21" spans="2:9" s="51" customFormat="1" x14ac:dyDescent="0.2">
      <c r="E21" s="59"/>
    </row>
    <row r="22" spans="2:9" s="51" customFormat="1" ht="26.25" x14ac:dyDescent="0.4">
      <c r="E22" s="60"/>
    </row>
    <row r="23" spans="2:9" s="51" customFormat="1" x14ac:dyDescent="0.2"/>
    <row r="24" spans="2:9" s="51" customFormat="1" x14ac:dyDescent="0.2"/>
    <row r="25" spans="2:9" s="51" customFormat="1" ht="18.75" x14ac:dyDescent="0.3">
      <c r="E25" s="61"/>
    </row>
    <row r="26" spans="2:9" s="51" customFormat="1" ht="18.75" x14ac:dyDescent="0.3">
      <c r="E26" s="62"/>
    </row>
    <row r="27" spans="2:9" s="51" customFormat="1" x14ac:dyDescent="0.2"/>
    <row r="28" spans="2:9" s="51" customFormat="1" x14ac:dyDescent="0.2"/>
    <row r="29" spans="2:9" s="51" customFormat="1" x14ac:dyDescent="0.2"/>
    <row r="30" spans="2:9" s="51" customFormat="1" x14ac:dyDescent="0.2"/>
    <row r="31" spans="2:9" s="51" customFormat="1" x14ac:dyDescent="0.2"/>
    <row r="32" spans="2:9" s="51" customFormat="1" x14ac:dyDescent="0.2"/>
    <row r="33" spans="1:9" s="51" customFormat="1" ht="35.25" x14ac:dyDescent="0.2">
      <c r="A33" s="63"/>
    </row>
    <row r="34" spans="1:9" s="51" customFormat="1" x14ac:dyDescent="0.2"/>
    <row r="35" spans="1:9" s="51" customFormat="1" x14ac:dyDescent="0.2"/>
    <row r="36" spans="1:9" s="51" customFormat="1" ht="33" x14ac:dyDescent="0.2">
      <c r="B36" s="64"/>
    </row>
    <row r="37" spans="1:9" s="51" customFormat="1" x14ac:dyDescent="0.2"/>
    <row r="38" spans="1:9" s="51" customFormat="1" x14ac:dyDescent="0.2"/>
    <row r="39" spans="1:9" s="51" customFormat="1" ht="18" x14ac:dyDescent="0.25">
      <c r="B39" s="65"/>
    </row>
    <row r="40" spans="1:9" s="51" customFormat="1" x14ac:dyDescent="0.2"/>
    <row r="41" spans="1:9" s="51" customFormat="1" ht="18.75" x14ac:dyDescent="0.3">
      <c r="I41" s="66"/>
    </row>
    <row r="42" spans="1:9" s="51" customFormat="1" x14ac:dyDescent="0.2"/>
    <row r="43" spans="1:9" s="51" customFormat="1" ht="18.75" x14ac:dyDescent="0.3">
      <c r="B43" s="704"/>
      <c r="C43" s="704"/>
      <c r="D43" s="704"/>
    </row>
    <row r="44" spans="1:9" s="51" customFormat="1" x14ac:dyDescent="0.2"/>
    <row r="45" spans="1:9" s="51" customFormat="1" x14ac:dyDescent="0.2"/>
    <row r="46" spans="1:9" s="51" customFormat="1" x14ac:dyDescent="0.2"/>
    <row r="47" spans="1:9" s="51" customFormat="1" x14ac:dyDescent="0.2"/>
    <row r="48" spans="1:9" s="51" customFormat="1" x14ac:dyDescent="0.2"/>
    <row r="49" s="51" customFormat="1" x14ac:dyDescent="0.2"/>
    <row r="50" s="51" customFormat="1" x14ac:dyDescent="0.2"/>
    <row r="51" s="51" customFormat="1" x14ac:dyDescent="0.2"/>
    <row r="52" s="51" customFormat="1" x14ac:dyDescent="0.2"/>
    <row r="53" s="51" customFormat="1" x14ac:dyDescent="0.2"/>
    <row r="54" s="51" customFormat="1" x14ac:dyDescent="0.2"/>
    <row r="55" s="51" customFormat="1" x14ac:dyDescent="0.2"/>
  </sheetData>
  <mergeCells count="1">
    <mergeCell ref="B43:D43"/>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126</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73468</v>
      </c>
      <c r="C7" s="307">
        <v>79343</v>
      </c>
      <c r="D7" s="350">
        <f>IF(B7=0, "    ---- ", IF(ABS(ROUND(100/B7*C7-100,1))&lt;999,ROUND(100/B7*C7-100,1),IF(ROUND(100/B7*C7-100,1)&gt;999,999,-999)))</f>
        <v>8</v>
      </c>
      <c r="E7" s="11">
        <f>IFERROR(100/'Skjema total MA'!C7*C7,0)</f>
        <v>5.104035931582378</v>
      </c>
      <c r="F7" s="306"/>
      <c r="G7" s="307"/>
      <c r="H7" s="350"/>
      <c r="I7" s="160"/>
      <c r="J7" s="308">
        <f t="shared" ref="J7:K9" si="0">SUM(B7,F7)</f>
        <v>73468</v>
      </c>
      <c r="K7" s="309">
        <f t="shared" si="0"/>
        <v>79343</v>
      </c>
      <c r="L7" s="427">
        <f>IF(J7=0, "    ---- ", IF(ABS(ROUND(100/J7*K7-100,1))&lt;999,ROUND(100/J7*K7-100,1),IF(ROUND(100/J7*K7-100,1)&gt;999,999,-999)))</f>
        <v>8</v>
      </c>
      <c r="M7" s="11">
        <f>IFERROR(100/'Skjema total MA'!I7*K7,0)</f>
        <v>1.9413273171812779</v>
      </c>
    </row>
    <row r="8" spans="1:14" ht="15.75" x14ac:dyDescent="0.2">
      <c r="A8" s="21" t="s">
        <v>25</v>
      </c>
      <c r="B8" s="281">
        <v>37387</v>
      </c>
      <c r="C8" s="282">
        <v>40968</v>
      </c>
      <c r="D8" s="166">
        <f t="shared" ref="D8:D9" si="1">IF(B8=0, "    ---- ", IF(ABS(ROUND(100/B8*C8-100,1))&lt;999,ROUND(100/B8*C8-100,1),IF(ROUND(100/B8*C8-100,1)&gt;999,999,-999)))</f>
        <v>9.6</v>
      </c>
      <c r="E8" s="27">
        <f>IFERROR(100/'Skjema total MA'!C8*C8,0)</f>
        <v>3.9496618127740146</v>
      </c>
      <c r="F8" s="285"/>
      <c r="G8" s="286"/>
      <c r="H8" s="166"/>
      <c r="I8" s="175"/>
      <c r="J8" s="234">
        <f t="shared" si="0"/>
        <v>37387</v>
      </c>
      <c r="K8" s="287">
        <f t="shared" si="0"/>
        <v>40968</v>
      </c>
      <c r="L8" s="166">
        <f t="shared" ref="L8:L9" si="2">IF(J8=0, "    ---- ", IF(ABS(ROUND(100/J8*K8-100,1))&lt;999,ROUND(100/J8*K8-100,1),IF(ROUND(100/J8*K8-100,1)&gt;999,999,-999)))</f>
        <v>9.6</v>
      </c>
      <c r="M8" s="27">
        <f>IFERROR(100/'Skjema total MA'!I8*K8,0)</f>
        <v>3.9496618127740146</v>
      </c>
    </row>
    <row r="9" spans="1:14" ht="15.75" x14ac:dyDescent="0.2">
      <c r="A9" s="21" t="s">
        <v>24</v>
      </c>
      <c r="B9" s="281">
        <v>36081</v>
      </c>
      <c r="C9" s="282">
        <v>38375</v>
      </c>
      <c r="D9" s="166">
        <f t="shared" si="1"/>
        <v>6.4</v>
      </c>
      <c r="E9" s="27">
        <f>IFERROR(100/'Skjema total MA'!C9*C9,0)</f>
        <v>11.510406316692823</v>
      </c>
      <c r="F9" s="285"/>
      <c r="G9" s="286"/>
      <c r="H9" s="166"/>
      <c r="I9" s="175"/>
      <c r="J9" s="234">
        <f t="shared" si="0"/>
        <v>36081</v>
      </c>
      <c r="K9" s="287">
        <f t="shared" si="0"/>
        <v>38375</v>
      </c>
      <c r="L9" s="166">
        <f t="shared" si="2"/>
        <v>6.4</v>
      </c>
      <c r="M9" s="27">
        <f>IFERROR(100/'Skjema total MA'!I9*K9,0)</f>
        <v>11.510406316692823</v>
      </c>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591" priority="132">
      <formula>kvartal &lt; 4</formula>
    </cfRule>
  </conditionalFormatting>
  <conditionalFormatting sqref="B115">
    <cfRule type="expression" dxfId="590" priority="76">
      <formula>kvartal &lt; 4</formula>
    </cfRule>
  </conditionalFormatting>
  <conditionalFormatting sqref="C115">
    <cfRule type="expression" dxfId="589" priority="75">
      <formula>kvartal &lt; 4</formula>
    </cfRule>
  </conditionalFormatting>
  <conditionalFormatting sqref="B123">
    <cfRule type="expression" dxfId="588" priority="74">
      <formula>kvartal &lt; 4</formula>
    </cfRule>
  </conditionalFormatting>
  <conditionalFormatting sqref="C123">
    <cfRule type="expression" dxfId="587" priority="73">
      <formula>kvartal &lt; 4</formula>
    </cfRule>
  </conditionalFormatting>
  <conditionalFormatting sqref="F115">
    <cfRule type="expression" dxfId="586" priority="58">
      <formula>kvartal &lt; 4</formula>
    </cfRule>
  </conditionalFormatting>
  <conditionalFormatting sqref="G115">
    <cfRule type="expression" dxfId="585" priority="57">
      <formula>kvartal &lt; 4</formula>
    </cfRule>
  </conditionalFormatting>
  <conditionalFormatting sqref="F123:G123">
    <cfRule type="expression" dxfId="584" priority="56">
      <formula>kvartal &lt; 4</formula>
    </cfRule>
  </conditionalFormatting>
  <conditionalFormatting sqref="J115:K115">
    <cfRule type="expression" dxfId="583" priority="32">
      <formula>kvartal &lt; 4</formula>
    </cfRule>
  </conditionalFormatting>
  <conditionalFormatting sqref="J123:K123">
    <cfRule type="expression" dxfId="582" priority="31">
      <formula>kvartal &lt; 4</formula>
    </cfRule>
  </conditionalFormatting>
  <conditionalFormatting sqref="A50:A52">
    <cfRule type="expression" dxfId="581" priority="12">
      <formula>kvartal &lt; 4</formula>
    </cfRule>
  </conditionalFormatting>
  <conditionalFormatting sqref="A69:A74">
    <cfRule type="expression" dxfId="580" priority="10">
      <formula>kvartal &lt; 4</formula>
    </cfRule>
  </conditionalFormatting>
  <conditionalFormatting sqref="A80:A85">
    <cfRule type="expression" dxfId="579" priority="9">
      <formula>kvartal &lt; 4</formula>
    </cfRule>
  </conditionalFormatting>
  <conditionalFormatting sqref="A90:A95">
    <cfRule type="expression" dxfId="578" priority="6">
      <formula>kvartal &lt; 4</formula>
    </cfRule>
  </conditionalFormatting>
  <conditionalFormatting sqref="A101:A106">
    <cfRule type="expression" dxfId="577" priority="5">
      <formula>kvartal &lt; 4</formula>
    </cfRule>
  </conditionalFormatting>
  <conditionalFormatting sqref="A115">
    <cfRule type="expression" dxfId="576" priority="4">
      <formula>kvartal &lt; 4</formula>
    </cfRule>
  </conditionalFormatting>
  <conditionalFormatting sqref="A123">
    <cfRule type="expression" dxfId="575" priority="3">
      <formula>kvartal &lt; 4</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N144"/>
  <sheetViews>
    <sheetView showGridLines="0" zoomScale="110" zoomScaleNormal="110" workbookViewId="0">
      <pane xSplit="1" topLeftCell="B1" activePane="topRight" state="frozen"/>
      <selection activeCell="B8" sqref="B8"/>
      <selection pane="topRight" activeCell="F34" sqref="F34"/>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405</v>
      </c>
      <c r="D1" s="26"/>
      <c r="E1" s="26"/>
      <c r="F1" s="26"/>
      <c r="G1" s="26"/>
      <c r="H1" s="26"/>
      <c r="I1" s="26"/>
      <c r="J1" s="26"/>
      <c r="K1" s="26"/>
      <c r="L1" s="26"/>
      <c r="M1" s="26"/>
    </row>
    <row r="2" spans="1:14" ht="15.75" x14ac:dyDescent="0.25">
      <c r="A2" s="165" t="s">
        <v>28</v>
      </c>
      <c r="B2" s="359"/>
      <c r="C2" s="359"/>
      <c r="D2" s="359"/>
      <c r="E2" s="359"/>
      <c r="F2" s="359"/>
      <c r="G2" s="359"/>
      <c r="H2" s="359"/>
      <c r="I2" s="359"/>
      <c r="J2" s="359"/>
      <c r="K2" s="359"/>
      <c r="L2" s="359"/>
      <c r="M2" s="359"/>
    </row>
    <row r="3" spans="1:14" ht="15.75" x14ac:dyDescent="0.25">
      <c r="A3" s="163"/>
      <c r="B3" s="359"/>
      <c r="C3" s="359"/>
      <c r="D3" s="359"/>
      <c r="E3" s="359"/>
      <c r="F3" s="359"/>
      <c r="G3" s="359"/>
      <c r="H3" s="359"/>
      <c r="I3" s="359"/>
      <c r="J3" s="359"/>
      <c r="K3" s="359"/>
      <c r="L3" s="359"/>
      <c r="M3" s="359"/>
    </row>
    <row r="4" spans="1:14" x14ac:dyDescent="0.2">
      <c r="A4" s="144"/>
      <c r="B4" s="727" t="s">
        <v>0</v>
      </c>
      <c r="C4" s="728"/>
      <c r="D4" s="728"/>
      <c r="E4" s="356"/>
      <c r="F4" s="727" t="s">
        <v>1</v>
      </c>
      <c r="G4" s="728"/>
      <c r="H4" s="728"/>
      <c r="I4" s="357"/>
      <c r="J4" s="727" t="s">
        <v>2</v>
      </c>
      <c r="K4" s="728"/>
      <c r="L4" s="728"/>
      <c r="M4" s="357"/>
    </row>
    <row r="5" spans="1:14" x14ac:dyDescent="0.2">
      <c r="A5" s="158"/>
      <c r="B5" s="152" t="s">
        <v>423</v>
      </c>
      <c r="C5" s="152" t="s">
        <v>424</v>
      </c>
      <c r="D5" s="245" t="s">
        <v>3</v>
      </c>
      <c r="E5" s="305" t="s">
        <v>29</v>
      </c>
      <c r="F5" s="152" t="s">
        <v>423</v>
      </c>
      <c r="G5" s="152" t="s">
        <v>424</v>
      </c>
      <c r="H5" s="245" t="s">
        <v>3</v>
      </c>
      <c r="I5" s="305"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62"/>
      <c r="C7" s="363">
        <v>252864.93197999999</v>
      </c>
      <c r="D7" s="371" t="str">
        <f t="shared" ref="D7:D12" si="0">IF(AND(_xlfn.NUMBERVALUE(B7)=0,_xlfn.NUMBERVALUE(C7)=0),,IF(B7=0, "    ---- ", IF(ABS(ROUND(100/B7*C7-100,1))&lt;999,IF(ROUND(100/B7*C7-100,1)=0,"    ---- ",ROUND(100/B7*C7-100,1)),IF(ROUND(100/B7*C7-100,1)&gt;999,999,-999))))</f>
        <v xml:space="preserve">    ---- </v>
      </c>
      <c r="E7" s="372">
        <f>IFERROR(100/'Skjema total MA'!C7*C7,0)</f>
        <v>16.266484739208927</v>
      </c>
      <c r="F7" s="362"/>
      <c r="G7" s="363"/>
      <c r="H7" s="371"/>
      <c r="I7" s="372"/>
      <c r="J7" s="373">
        <f t="shared" ref="J7:K12" si="1">SUM(B7,F7)</f>
        <v>0</v>
      </c>
      <c r="K7" s="368">
        <f t="shared" si="1"/>
        <v>252864.93197999999</v>
      </c>
      <c r="L7" s="371" t="str">
        <f t="shared" ref="L7:L12" si="2">IF(AND(_xlfn.NUMBERVALUE(J7)=0,_xlfn.NUMBERVALUE(K7)=0),,IF(J7=0, "    ---- ", IF(ABS(ROUND(100/J7*K7-100,1))&lt;999,IF(ROUND(100/J7*K7-100,1)=0,"    ---- ",ROUND(100/J7*K7-100,1)),IF(ROUND(100/J7*K7-100,1)&gt;999,999,-999))))</f>
        <v xml:space="preserve">    ---- </v>
      </c>
      <c r="M7" s="372">
        <f>IFERROR(100/'Skjema total MA'!I7*K7,0)</f>
        <v>6.1869805781223262</v>
      </c>
    </row>
    <row r="8" spans="1:14" ht="15.75" x14ac:dyDescent="0.2">
      <c r="A8" s="21" t="s">
        <v>25</v>
      </c>
      <c r="B8" s="365"/>
      <c r="C8" s="366">
        <v>211098.15708999999</v>
      </c>
      <c r="D8" s="374" t="str">
        <f t="shared" si="0"/>
        <v xml:space="preserve">    ---- </v>
      </c>
      <c r="E8" s="372">
        <f>IFERROR(100/'Skjema total MA'!C8*C8,0)</f>
        <v>20.351648354943933</v>
      </c>
      <c r="F8" s="375"/>
      <c r="G8" s="376"/>
      <c r="H8" s="374"/>
      <c r="I8" s="372"/>
      <c r="J8" s="377">
        <f t="shared" si="1"/>
        <v>0</v>
      </c>
      <c r="K8" s="366">
        <f t="shared" si="1"/>
        <v>211098.15708999999</v>
      </c>
      <c r="L8" s="374" t="str">
        <f t="shared" si="2"/>
        <v xml:space="preserve">    ---- </v>
      </c>
      <c r="M8" s="372">
        <f>IFERROR(100/'Skjema total MA'!I8*K8,0)</f>
        <v>20.351648354943933</v>
      </c>
    </row>
    <row r="9" spans="1:14" ht="15.75" x14ac:dyDescent="0.2">
      <c r="A9" s="21" t="s">
        <v>24</v>
      </c>
      <c r="B9" s="365"/>
      <c r="C9" s="366">
        <v>41766.774890000001</v>
      </c>
      <c r="D9" s="374" t="str">
        <f t="shared" si="0"/>
        <v xml:space="preserve">    ---- </v>
      </c>
      <c r="E9" s="372">
        <f>IFERROR(100/'Skjema total MA'!C9*C9,0)</f>
        <v>12.527753733465621</v>
      </c>
      <c r="F9" s="375"/>
      <c r="G9" s="376"/>
      <c r="H9" s="374"/>
      <c r="I9" s="372"/>
      <c r="J9" s="377">
        <f t="shared" si="1"/>
        <v>0</v>
      </c>
      <c r="K9" s="366">
        <f t="shared" si="1"/>
        <v>41766.774890000001</v>
      </c>
      <c r="L9" s="374" t="str">
        <f t="shared" si="2"/>
        <v xml:space="preserve">    ---- </v>
      </c>
      <c r="M9" s="372">
        <f>IFERROR(100/'Skjema total MA'!I9*K9,0)</f>
        <v>12.527753733465621</v>
      </c>
    </row>
    <row r="10" spans="1:14" ht="15.75" x14ac:dyDescent="0.2">
      <c r="A10" s="13" t="s">
        <v>368</v>
      </c>
      <c r="B10" s="367"/>
      <c r="C10" s="368">
        <v>538507.68189999997</v>
      </c>
      <c r="D10" s="374" t="str">
        <f t="shared" si="0"/>
        <v xml:space="preserve">    ---- </v>
      </c>
      <c r="E10" s="372">
        <f>IFERROR(100/'Skjema total MA'!C10*C10,0)</f>
        <v>2.8563979470003891</v>
      </c>
      <c r="F10" s="367"/>
      <c r="G10" s="368"/>
      <c r="H10" s="374"/>
      <c r="I10" s="372"/>
      <c r="J10" s="373">
        <f t="shared" si="1"/>
        <v>0</v>
      </c>
      <c r="K10" s="368">
        <f t="shared" si="1"/>
        <v>538507.68189999997</v>
      </c>
      <c r="L10" s="374" t="str">
        <f t="shared" si="2"/>
        <v xml:space="preserve">    ---- </v>
      </c>
      <c r="M10" s="372">
        <f>IFERROR(100/'Skjema total MA'!I10*K10,0)</f>
        <v>0.82261743050677716</v>
      </c>
    </row>
    <row r="11" spans="1:14" s="43" customFormat="1" ht="15.75" x14ac:dyDescent="0.2">
      <c r="A11" s="13" t="s">
        <v>369</v>
      </c>
      <c r="B11" s="367"/>
      <c r="C11" s="368">
        <v>0</v>
      </c>
      <c r="D11" s="374">
        <f t="shared" si="0"/>
        <v>0</v>
      </c>
      <c r="E11" s="372">
        <f>IFERROR(100/'Skjema total MA'!C11*C11,0)</f>
        <v>0</v>
      </c>
      <c r="F11" s="367"/>
      <c r="G11" s="368"/>
      <c r="H11" s="374"/>
      <c r="I11" s="372"/>
      <c r="J11" s="373">
        <f t="shared" si="1"/>
        <v>0</v>
      </c>
      <c r="K11" s="368">
        <f t="shared" si="1"/>
        <v>0</v>
      </c>
      <c r="L11" s="374">
        <f t="shared" si="2"/>
        <v>0</v>
      </c>
      <c r="M11" s="372">
        <f>IFERROR(100/'Skjema total MA'!I11*K11,0)</f>
        <v>0</v>
      </c>
      <c r="N11" s="143"/>
    </row>
    <row r="12" spans="1:14" s="43" customFormat="1" ht="15.75" x14ac:dyDescent="0.2">
      <c r="A12" s="41" t="s">
        <v>370</v>
      </c>
      <c r="B12" s="369"/>
      <c r="C12" s="370">
        <v>0</v>
      </c>
      <c r="D12" s="378">
        <f t="shared" si="0"/>
        <v>0</v>
      </c>
      <c r="E12" s="378">
        <f>IFERROR(100/'Skjema total MA'!C12*C12,0)</f>
        <v>0</v>
      </c>
      <c r="F12" s="369"/>
      <c r="G12" s="370"/>
      <c r="H12" s="378"/>
      <c r="I12" s="378"/>
      <c r="J12" s="379">
        <f t="shared" si="1"/>
        <v>0</v>
      </c>
      <c r="K12" s="370">
        <f t="shared" si="1"/>
        <v>0</v>
      </c>
      <c r="L12" s="378">
        <f t="shared" si="2"/>
        <v>0</v>
      </c>
      <c r="M12" s="378">
        <f>IFERROR(100/'Skjema total MA'!I12*K12,0)</f>
        <v>0</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358"/>
      <c r="C18" s="358"/>
      <c r="D18" s="358"/>
      <c r="E18" s="359"/>
      <c r="F18" s="358"/>
      <c r="G18" s="358"/>
      <c r="H18" s="358"/>
      <c r="I18" s="359"/>
      <c r="J18" s="358"/>
      <c r="K18" s="358"/>
      <c r="L18" s="358"/>
      <c r="M18" s="359"/>
    </row>
    <row r="19" spans="1:14" x14ac:dyDescent="0.2">
      <c r="A19" s="144"/>
      <c r="B19" s="727" t="s">
        <v>0</v>
      </c>
      <c r="C19" s="728"/>
      <c r="D19" s="728"/>
      <c r="E19" s="356"/>
      <c r="F19" s="727" t="s">
        <v>1</v>
      </c>
      <c r="G19" s="728"/>
      <c r="H19" s="728"/>
      <c r="I19" s="357"/>
      <c r="J19" s="727" t="s">
        <v>2</v>
      </c>
      <c r="K19" s="728"/>
      <c r="L19" s="728"/>
      <c r="M19" s="357"/>
    </row>
    <row r="20" spans="1:14" x14ac:dyDescent="0.2">
      <c r="A20" s="140" t="s">
        <v>5</v>
      </c>
      <c r="B20" s="152" t="s">
        <v>423</v>
      </c>
      <c r="C20" s="152" t="s">
        <v>424</v>
      </c>
      <c r="D20" s="162" t="s">
        <v>3</v>
      </c>
      <c r="E20" s="305" t="s">
        <v>29</v>
      </c>
      <c r="F20" s="152" t="s">
        <v>423</v>
      </c>
      <c r="G20" s="152" t="s">
        <v>424</v>
      </c>
      <c r="H20" s="162" t="s">
        <v>3</v>
      </c>
      <c r="I20" s="305"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602"/>
      <c r="C22" s="602">
        <v>206587.05100000001</v>
      </c>
      <c r="D22" s="371" t="str">
        <f t="shared" ref="D22:D39" si="3">IF(AND(_xlfn.NUMBERVALUE(B22)=0,_xlfn.NUMBERVALUE(C22)=0),,IF(B22=0, "    ---- ", IF(ABS(ROUND(100/B22*C22-100,1))&lt;999,IF(ROUND(100/B22*C22-100,1)=0,"    ---- ",ROUND(100/B22*C22-100,1)),IF(ROUND(100/B22*C22-100,1)&gt;999,999,-999))))</f>
        <v xml:space="preserve">    ---- </v>
      </c>
      <c r="E22" s="372">
        <f>IFERROR(100/'Skjema total MA'!C22*C22,0)</f>
        <v>29.747055898112094</v>
      </c>
      <c r="F22" s="380"/>
      <c r="G22" s="380"/>
      <c r="H22" s="371"/>
      <c r="I22" s="372"/>
      <c r="J22" s="362">
        <f t="shared" ref="J22:K35" si="4">SUM(B22,F22)</f>
        <v>0</v>
      </c>
      <c r="K22" s="362">
        <f t="shared" si="4"/>
        <v>206587.05100000001</v>
      </c>
      <c r="L22" s="371" t="str">
        <f t="shared" ref="L22:L39" si="5">IF(AND(_xlfn.NUMBERVALUE(J22)=0,_xlfn.NUMBERVALUE(K22)=0),,IF(J22=0, "    ---- ", IF(ABS(ROUND(100/J22*K22-100,1))&lt;999,IF(ROUND(100/J22*K22-100,1)=0,"    ---- ",ROUND(100/J22*K22-100,1)),IF(ROUND(100/J22*K22-100,1)&gt;999,999,-999))))</f>
        <v xml:space="preserve">    ---- </v>
      </c>
      <c r="M22" s="372">
        <f>IFERROR(100/'Skjema total MA'!I22*K22,0)</f>
        <v>20.085981229990463</v>
      </c>
    </row>
    <row r="23" spans="1:14" ht="15.75" x14ac:dyDescent="0.2">
      <c r="A23" s="583" t="s">
        <v>371</v>
      </c>
      <c r="B23" s="364"/>
      <c r="C23" s="364">
        <v>0</v>
      </c>
      <c r="D23" s="374">
        <f t="shared" si="3"/>
        <v>0</v>
      </c>
      <c r="E23" s="372">
        <f>IFERROR(100/'Skjema total MA'!C23*C23,0)</f>
        <v>0</v>
      </c>
      <c r="F23" s="364"/>
      <c r="G23" s="364"/>
      <c r="H23" s="374"/>
      <c r="I23" s="372"/>
      <c r="J23" s="364">
        <f t="shared" ref="J23:J27" si="6">SUM(B23,F23)</f>
        <v>0</v>
      </c>
      <c r="K23" s="364">
        <f t="shared" ref="K23:K27" si="7">SUM(C23,G23)</f>
        <v>0</v>
      </c>
      <c r="L23" s="374">
        <f t="shared" si="5"/>
        <v>0</v>
      </c>
      <c r="M23" s="372">
        <f>IFERROR(100/'Skjema total MA'!I23*K23,0)</f>
        <v>0</v>
      </c>
    </row>
    <row r="24" spans="1:14" ht="15.75" x14ac:dyDescent="0.2">
      <c r="A24" s="583" t="s">
        <v>372</v>
      </c>
      <c r="B24" s="364"/>
      <c r="C24" s="364">
        <v>0</v>
      </c>
      <c r="D24" s="374">
        <f t="shared" si="3"/>
        <v>0</v>
      </c>
      <c r="E24" s="372">
        <f>IFERROR(100/'Skjema total MA'!C24*C24,0)</f>
        <v>0</v>
      </c>
      <c r="F24" s="364"/>
      <c r="G24" s="364"/>
      <c r="H24" s="374"/>
      <c r="I24" s="372"/>
      <c r="J24" s="364">
        <f t="shared" si="6"/>
        <v>0</v>
      </c>
      <c r="K24" s="364">
        <f t="shared" si="7"/>
        <v>0</v>
      </c>
      <c r="L24" s="374">
        <f t="shared" si="5"/>
        <v>0</v>
      </c>
      <c r="M24" s="372">
        <f>IFERROR(100/'Skjema total MA'!I24*K24,0)</f>
        <v>0</v>
      </c>
    </row>
    <row r="25" spans="1:14" ht="15.75" x14ac:dyDescent="0.2">
      <c r="A25" s="583" t="s">
        <v>373</v>
      </c>
      <c r="B25" s="364"/>
      <c r="C25" s="364">
        <v>0</v>
      </c>
      <c r="D25" s="374">
        <f t="shared" si="3"/>
        <v>0</v>
      </c>
      <c r="E25" s="372">
        <f>IFERROR(100/'Skjema total MA'!C25*C25,0)</f>
        <v>0</v>
      </c>
      <c r="F25" s="364"/>
      <c r="G25" s="364"/>
      <c r="H25" s="374"/>
      <c r="I25" s="372"/>
      <c r="J25" s="364">
        <f t="shared" si="6"/>
        <v>0</v>
      </c>
      <c r="K25" s="364">
        <f t="shared" si="7"/>
        <v>0</v>
      </c>
      <c r="L25" s="374">
        <f t="shared" si="5"/>
        <v>0</v>
      </c>
      <c r="M25" s="372">
        <f>IFERROR(100/'Skjema total MA'!I25*K25,0)</f>
        <v>0</v>
      </c>
    </row>
    <row r="26" spans="1:14" ht="15.75" x14ac:dyDescent="0.2">
      <c r="A26" s="583" t="s">
        <v>374</v>
      </c>
      <c r="B26" s="364"/>
      <c r="C26" s="364">
        <v>0</v>
      </c>
      <c r="D26" s="374">
        <f t="shared" ref="D26" si="8">IF(AND(_xlfn.NUMBERVALUE(B26)=0,_xlfn.NUMBERVALUE(C26)=0),,IF(B26=0, "    ---- ", IF(ABS(ROUND(100/B26*C26-100,1))&lt;999,IF(ROUND(100/B26*C26-100,1)=0,"    ---- ",ROUND(100/B26*C26-100,1)),IF(ROUND(100/B26*C26-100,1)&gt;999,999,-999))))</f>
        <v>0</v>
      </c>
      <c r="E26" s="372">
        <f>IFERROR(100/'Skjema total MA'!C26*C26,0)</f>
        <v>0</v>
      </c>
      <c r="F26" s="364"/>
      <c r="G26" s="364"/>
      <c r="H26" s="374"/>
      <c r="I26" s="372"/>
      <c r="J26" s="364">
        <f t="shared" si="6"/>
        <v>0</v>
      </c>
      <c r="K26" s="364">
        <f t="shared" si="7"/>
        <v>0</v>
      </c>
      <c r="L26" s="374">
        <f t="shared" ref="L26" si="9">IF(AND(_xlfn.NUMBERVALUE(J26)=0,_xlfn.NUMBERVALUE(K26)=0),,IF(J26=0, "    ---- ", IF(ABS(ROUND(100/J26*K26-100,1))&lt;999,IF(ROUND(100/J26*K26-100,1)=0,"    ---- ",ROUND(100/J26*K26-100,1)),IF(ROUND(100/J26*K26-100,1)&gt;999,999,-999))))</f>
        <v>0</v>
      </c>
      <c r="M26" s="372">
        <f>IFERROR(100/'Skjema total MA'!I26*K26,0)</f>
        <v>0</v>
      </c>
    </row>
    <row r="27" spans="1:14" x14ac:dyDescent="0.2">
      <c r="A27" s="583" t="s">
        <v>11</v>
      </c>
      <c r="B27" s="364"/>
      <c r="C27" s="364">
        <v>0</v>
      </c>
      <c r="D27" s="374">
        <f t="shared" si="3"/>
        <v>0</v>
      </c>
      <c r="E27" s="372">
        <f>IFERROR(100/'Skjema total MA'!C27*C27,0)</f>
        <v>0</v>
      </c>
      <c r="F27" s="364"/>
      <c r="G27" s="364"/>
      <c r="H27" s="374"/>
      <c r="I27" s="372"/>
      <c r="J27" s="364">
        <f t="shared" si="6"/>
        <v>0</v>
      </c>
      <c r="K27" s="364">
        <f t="shared" si="7"/>
        <v>0</v>
      </c>
      <c r="L27" s="374">
        <f t="shared" si="5"/>
        <v>0</v>
      </c>
      <c r="M27" s="372">
        <f>IFERROR(100/'Skjema total MA'!I27*K27,0)</f>
        <v>0</v>
      </c>
    </row>
    <row r="28" spans="1:14" ht="15.75" x14ac:dyDescent="0.2">
      <c r="A28" s="49" t="s">
        <v>279</v>
      </c>
      <c r="B28" s="364"/>
      <c r="C28" s="364">
        <v>206587.05100000001</v>
      </c>
      <c r="D28" s="374" t="str">
        <f t="shared" si="3"/>
        <v xml:space="preserve">    ---- </v>
      </c>
      <c r="E28" s="372">
        <f>IFERROR(100/'Skjema total MA'!C28*C28,0)</f>
        <v>28.364693288792761</v>
      </c>
      <c r="F28" s="377"/>
      <c r="G28" s="366"/>
      <c r="H28" s="374"/>
      <c r="I28" s="372"/>
      <c r="J28" s="365">
        <f t="shared" si="4"/>
        <v>0</v>
      </c>
      <c r="K28" s="365">
        <f t="shared" si="4"/>
        <v>206587.05100000001</v>
      </c>
      <c r="L28" s="374" t="str">
        <f t="shared" si="5"/>
        <v xml:space="preserve">    ---- </v>
      </c>
      <c r="M28" s="372">
        <f>IFERROR(100/'Skjema total MA'!I28*K28,0)</f>
        <v>28.364693288792761</v>
      </c>
    </row>
    <row r="29" spans="1:14" s="3" customFormat="1" ht="15.75" x14ac:dyDescent="0.2">
      <c r="A29" s="13" t="s">
        <v>368</v>
      </c>
      <c r="B29" s="367"/>
      <c r="C29" s="367">
        <v>2888215.91218</v>
      </c>
      <c r="D29" s="374" t="str">
        <f t="shared" si="3"/>
        <v xml:space="preserve">    ---- </v>
      </c>
      <c r="E29" s="372">
        <f>IFERROR(100/'Skjema total MA'!C29*C29,0)</f>
        <v>6.1673391516691867</v>
      </c>
      <c r="F29" s="373"/>
      <c r="G29" s="373"/>
      <c r="H29" s="374"/>
      <c r="I29" s="372"/>
      <c r="J29" s="367">
        <f t="shared" si="4"/>
        <v>0</v>
      </c>
      <c r="K29" s="367">
        <f t="shared" si="4"/>
        <v>2888215.91218</v>
      </c>
      <c r="L29" s="374" t="str">
        <f t="shared" si="5"/>
        <v xml:space="preserve">    ---- </v>
      </c>
      <c r="M29" s="372">
        <f>IFERROR(100/'Skjema total MA'!I29*K29,0)</f>
        <v>4.3160135047428696</v>
      </c>
      <c r="N29" s="148"/>
    </row>
    <row r="30" spans="1:14" s="3" customFormat="1" ht="15.75" x14ac:dyDescent="0.2">
      <c r="A30" s="583" t="s">
        <v>371</v>
      </c>
      <c r="B30" s="364"/>
      <c r="C30" s="364">
        <v>0</v>
      </c>
      <c r="D30" s="374">
        <f t="shared" si="3"/>
        <v>0</v>
      </c>
      <c r="E30" s="372">
        <f>IFERROR(100/'Skjema total MA'!C30*C30,0)</f>
        <v>0</v>
      </c>
      <c r="F30" s="364"/>
      <c r="G30" s="364"/>
      <c r="H30" s="374"/>
      <c r="I30" s="372"/>
      <c r="J30" s="364">
        <f t="shared" ref="J30:J33" si="10">SUM(B30,F30)</f>
        <v>0</v>
      </c>
      <c r="K30" s="364">
        <f t="shared" ref="K30:K33" si="11">SUM(C30,G30)</f>
        <v>0</v>
      </c>
      <c r="L30" s="374">
        <f t="shared" si="5"/>
        <v>0</v>
      </c>
      <c r="M30" s="372">
        <f>IFERROR(100/'Skjema total MA'!I30*K30,0)</f>
        <v>0</v>
      </c>
      <c r="N30" s="148"/>
    </row>
    <row r="31" spans="1:14" s="3" customFormat="1" ht="15.75" x14ac:dyDescent="0.2">
      <c r="A31" s="583" t="s">
        <v>372</v>
      </c>
      <c r="B31" s="364"/>
      <c r="C31" s="364">
        <v>0</v>
      </c>
      <c r="D31" s="374">
        <f t="shared" si="3"/>
        <v>0</v>
      </c>
      <c r="E31" s="372">
        <f>IFERROR(100/'Skjema total MA'!C31*C31,0)</f>
        <v>0</v>
      </c>
      <c r="F31" s="364"/>
      <c r="G31" s="364"/>
      <c r="H31" s="374"/>
      <c r="I31" s="372"/>
      <c r="J31" s="364">
        <f t="shared" si="10"/>
        <v>0</v>
      </c>
      <c r="K31" s="364">
        <f t="shared" si="11"/>
        <v>0</v>
      </c>
      <c r="L31" s="374">
        <f t="shared" si="5"/>
        <v>0</v>
      </c>
      <c r="M31" s="372">
        <f>IFERROR(100/'Skjema total MA'!I31*K31,0)</f>
        <v>0</v>
      </c>
      <c r="N31" s="148"/>
    </row>
    <row r="32" spans="1:14" ht="15.75" x14ac:dyDescent="0.2">
      <c r="A32" s="583" t="s">
        <v>373</v>
      </c>
      <c r="B32" s="364"/>
      <c r="C32" s="364">
        <v>0</v>
      </c>
      <c r="D32" s="374">
        <f t="shared" si="3"/>
        <v>0</v>
      </c>
      <c r="E32" s="372">
        <f>IFERROR(100/'Skjema total MA'!C32*C32,0)</f>
        <v>0</v>
      </c>
      <c r="F32" s="364"/>
      <c r="G32" s="364"/>
      <c r="H32" s="374"/>
      <c r="I32" s="372"/>
      <c r="J32" s="364">
        <f t="shared" si="10"/>
        <v>0</v>
      </c>
      <c r="K32" s="364">
        <f t="shared" si="11"/>
        <v>0</v>
      </c>
      <c r="L32" s="374">
        <f t="shared" si="5"/>
        <v>0</v>
      </c>
      <c r="M32" s="372">
        <f>IFERROR(100/'Skjema total MA'!I32*K32,0)</f>
        <v>0</v>
      </c>
    </row>
    <row r="33" spans="1:14" ht="15.75" x14ac:dyDescent="0.2">
      <c r="A33" s="583" t="s">
        <v>374</v>
      </c>
      <c r="B33" s="364"/>
      <c r="C33" s="364">
        <v>0</v>
      </c>
      <c r="D33" s="374">
        <f t="shared" ref="D33" si="12">IF(AND(_xlfn.NUMBERVALUE(B33)=0,_xlfn.NUMBERVALUE(C33)=0),,IF(B33=0, "    ---- ", IF(ABS(ROUND(100/B33*C33-100,1))&lt;999,IF(ROUND(100/B33*C33-100,1)=0,"    ---- ",ROUND(100/B33*C33-100,1)),IF(ROUND(100/B33*C33-100,1)&gt;999,999,-999))))</f>
        <v>0</v>
      </c>
      <c r="E33" s="372">
        <f>IFERROR(100/'Skjema total MA'!C33*C33,0)</f>
        <v>0</v>
      </c>
      <c r="F33" s="364"/>
      <c r="G33" s="364"/>
      <c r="H33" s="374"/>
      <c r="I33" s="372"/>
      <c r="J33" s="364">
        <f t="shared" si="10"/>
        <v>0</v>
      </c>
      <c r="K33" s="364">
        <f t="shared" si="11"/>
        <v>0</v>
      </c>
      <c r="L33" s="374">
        <f t="shared" ref="L33" si="13">IF(AND(_xlfn.NUMBERVALUE(J33)=0,_xlfn.NUMBERVALUE(K33)=0),,IF(J33=0, "    ---- ", IF(ABS(ROUND(100/J33*K33-100,1))&lt;999,IF(ROUND(100/J33*K33-100,1)=0,"    ---- ",ROUND(100/J33*K33-100,1)),IF(ROUND(100/J33*K33-100,1)&gt;999,999,-999))))</f>
        <v>0</v>
      </c>
      <c r="M33" s="372">
        <f>IFERROR(100/'Skjema total MA'!I34*K33,0)</f>
        <v>0</v>
      </c>
    </row>
    <row r="34" spans="1:14" ht="15.75" x14ac:dyDescent="0.2">
      <c r="A34" s="13" t="s">
        <v>369</v>
      </c>
      <c r="B34" s="367"/>
      <c r="C34" s="368">
        <v>0</v>
      </c>
      <c r="D34" s="374">
        <f t="shared" si="3"/>
        <v>0</v>
      </c>
      <c r="E34" s="372">
        <f>IFERROR(100/'Skjema total MA'!C34*C34,0)</f>
        <v>0</v>
      </c>
      <c r="F34" s="373"/>
      <c r="G34" s="368"/>
      <c r="H34" s="374"/>
      <c r="I34" s="372"/>
      <c r="J34" s="367">
        <f t="shared" si="4"/>
        <v>0</v>
      </c>
      <c r="K34" s="367">
        <f t="shared" si="4"/>
        <v>0</v>
      </c>
      <c r="L34" s="374">
        <f t="shared" si="5"/>
        <v>0</v>
      </c>
      <c r="M34" s="372">
        <f>IFERROR(100/'Skjema total MA'!I34*K34,0)</f>
        <v>0</v>
      </c>
    </row>
    <row r="35" spans="1:14" ht="15.75" x14ac:dyDescent="0.2">
      <c r="A35" s="13" t="s">
        <v>370</v>
      </c>
      <c r="B35" s="367"/>
      <c r="C35" s="368">
        <v>0</v>
      </c>
      <c r="D35" s="374">
        <f t="shared" si="3"/>
        <v>0</v>
      </c>
      <c r="E35" s="372">
        <f>IFERROR(100/'Skjema total MA'!C35*C35,0)</f>
        <v>0</v>
      </c>
      <c r="F35" s="373"/>
      <c r="G35" s="368"/>
      <c r="H35" s="374"/>
      <c r="I35" s="372"/>
      <c r="J35" s="367">
        <f t="shared" si="4"/>
        <v>0</v>
      </c>
      <c r="K35" s="367">
        <f t="shared" si="4"/>
        <v>0</v>
      </c>
      <c r="L35" s="374">
        <f t="shared" si="5"/>
        <v>0</v>
      </c>
      <c r="M35" s="372">
        <f>IFERROR(100/'Skjema total MA'!I35*K35,0)</f>
        <v>0</v>
      </c>
    </row>
    <row r="36" spans="1:14" ht="15.75" x14ac:dyDescent="0.2">
      <c r="A36" s="12" t="s">
        <v>287</v>
      </c>
      <c r="B36" s="367"/>
      <c r="C36" s="368">
        <v>0</v>
      </c>
      <c r="D36" s="374">
        <f t="shared" si="3"/>
        <v>0</v>
      </c>
      <c r="E36" s="372"/>
      <c r="F36" s="381"/>
      <c r="G36" s="382"/>
      <c r="H36" s="374">
        <f t="shared" ref="H36:H39" si="14">IF(AND(_xlfn.NUMBERVALUE(F36)=0,_xlfn.NUMBERVALUE(G36)=0),,IF(F36=0, "    ---- ", IF(ABS(ROUND(100/F36*G36-100,1))&lt;999,IF(ROUND(100/F36*G36-100,1)=0,"    ---- ",ROUND(100/F36*G36-100,1)),IF(ROUND(100/F36*G36-100,1)&gt;999,999,-999))))</f>
        <v>0</v>
      </c>
      <c r="I36" s="372">
        <f>IFERROR(100/'Skjema total MA'!F36*G36,0)</f>
        <v>0</v>
      </c>
      <c r="J36" s="367">
        <f t="shared" ref="J36:J39" si="15">SUM(B36,F36)</f>
        <v>0</v>
      </c>
      <c r="K36" s="367">
        <f t="shared" ref="K36:K39" si="16">SUM(C36,G36)</f>
        <v>0</v>
      </c>
      <c r="L36" s="374">
        <f t="shared" si="5"/>
        <v>0</v>
      </c>
      <c r="M36" s="372">
        <f>IFERROR(100/'Skjema total MA'!I36*K36,0)</f>
        <v>0</v>
      </c>
    </row>
    <row r="37" spans="1:14" ht="15.75" x14ac:dyDescent="0.2">
      <c r="A37" s="12" t="s">
        <v>376</v>
      </c>
      <c r="B37" s="367"/>
      <c r="C37" s="368">
        <v>0</v>
      </c>
      <c r="D37" s="374">
        <f t="shared" si="3"/>
        <v>0</v>
      </c>
      <c r="E37" s="372"/>
      <c r="F37" s="381"/>
      <c r="G37" s="383"/>
      <c r="H37" s="374">
        <f t="shared" si="14"/>
        <v>0</v>
      </c>
      <c r="I37" s="372">
        <f>IFERROR(100/'Skjema total MA'!F37*G37,0)</f>
        <v>0</v>
      </c>
      <c r="J37" s="367">
        <f t="shared" si="15"/>
        <v>0</v>
      </c>
      <c r="K37" s="367">
        <f t="shared" si="16"/>
        <v>0</v>
      </c>
      <c r="L37" s="374">
        <f t="shared" si="5"/>
        <v>0</v>
      </c>
      <c r="M37" s="372">
        <f>IFERROR(100/'Skjema total MA'!I37*K37,0)</f>
        <v>0</v>
      </c>
    </row>
    <row r="38" spans="1:14" ht="15.75" x14ac:dyDescent="0.2">
      <c r="A38" s="12" t="s">
        <v>377</v>
      </c>
      <c r="B38" s="367"/>
      <c r="C38" s="368">
        <v>0</v>
      </c>
      <c r="D38" s="374">
        <f t="shared" si="3"/>
        <v>0</v>
      </c>
      <c r="E38" s="166"/>
      <c r="F38" s="381"/>
      <c r="G38" s="382"/>
      <c r="H38" s="374">
        <f t="shared" si="14"/>
        <v>0</v>
      </c>
      <c r="I38" s="372">
        <f>IFERROR(100/'Skjema total MA'!F38*G38,0)</f>
        <v>0</v>
      </c>
      <c r="J38" s="367">
        <f t="shared" si="15"/>
        <v>0</v>
      </c>
      <c r="K38" s="367">
        <f t="shared" si="16"/>
        <v>0</v>
      </c>
      <c r="L38" s="374">
        <f t="shared" si="5"/>
        <v>0</v>
      </c>
      <c r="M38" s="372">
        <f>IFERROR(100/'Skjema total MA'!I38*K38,0)</f>
        <v>0</v>
      </c>
    </row>
    <row r="39" spans="1:14" ht="15.75" x14ac:dyDescent="0.2">
      <c r="A39" s="18" t="s">
        <v>378</v>
      </c>
      <c r="B39" s="369"/>
      <c r="C39" s="370">
        <v>0</v>
      </c>
      <c r="D39" s="378">
        <f t="shared" si="3"/>
        <v>0</v>
      </c>
      <c r="E39" s="167"/>
      <c r="F39" s="384"/>
      <c r="G39" s="385"/>
      <c r="H39" s="378">
        <f t="shared" si="14"/>
        <v>0</v>
      </c>
      <c r="I39" s="372">
        <f>IFERROR(100/'Skjema total MA'!F39*G39,0)</f>
        <v>0</v>
      </c>
      <c r="J39" s="367">
        <f t="shared" si="15"/>
        <v>0</v>
      </c>
      <c r="K39" s="367">
        <f t="shared" si="16"/>
        <v>0</v>
      </c>
      <c r="L39" s="378">
        <f t="shared" si="5"/>
        <v>0</v>
      </c>
      <c r="M39" s="378">
        <f>IFERROR(100/'Skjema total MA'!I39*K39,0)</f>
        <v>0</v>
      </c>
    </row>
    <row r="40" spans="1:14" ht="15.75" x14ac:dyDescent="0.25">
      <c r="A40" s="47"/>
      <c r="B40" s="253"/>
      <c r="C40" s="253"/>
      <c r="D40" s="361"/>
      <c r="E40" s="361"/>
      <c r="F40" s="361"/>
      <c r="G40" s="361"/>
      <c r="H40" s="361"/>
      <c r="I40" s="361"/>
      <c r="J40" s="361"/>
      <c r="K40" s="361"/>
      <c r="L40" s="361"/>
      <c r="M40" s="360"/>
    </row>
    <row r="41" spans="1:14" x14ac:dyDescent="0.2">
      <c r="A41" s="155"/>
    </row>
    <row r="42" spans="1:14" ht="15.75" x14ac:dyDescent="0.25">
      <c r="A42" s="147" t="s">
        <v>276</v>
      </c>
      <c r="B42" s="359"/>
      <c r="C42" s="359"/>
      <c r="D42" s="359"/>
      <c r="E42" s="359"/>
      <c r="F42" s="360"/>
      <c r="G42" s="360"/>
      <c r="H42" s="360"/>
      <c r="I42" s="360"/>
      <c r="J42" s="360"/>
      <c r="K42" s="360"/>
      <c r="L42" s="360"/>
      <c r="M42" s="360"/>
    </row>
    <row r="43" spans="1:14" ht="15.75" x14ac:dyDescent="0.25">
      <c r="A43" s="163"/>
      <c r="B43" s="358"/>
      <c r="C43" s="358"/>
      <c r="D43" s="358"/>
      <c r="E43" s="358"/>
      <c r="F43" s="360"/>
      <c r="G43" s="360"/>
      <c r="H43" s="360"/>
      <c r="I43" s="360"/>
      <c r="J43" s="360"/>
      <c r="K43" s="360"/>
      <c r="L43" s="360"/>
      <c r="M43" s="360"/>
    </row>
    <row r="44" spans="1:14" ht="15.75" x14ac:dyDescent="0.25">
      <c r="A44" s="247"/>
      <c r="B44" s="727" t="s">
        <v>0</v>
      </c>
      <c r="C44" s="728"/>
      <c r="D44" s="728"/>
      <c r="E44" s="243"/>
      <c r="F44" s="360"/>
      <c r="G44" s="360"/>
      <c r="H44" s="360"/>
      <c r="I44" s="360"/>
      <c r="J44" s="360"/>
      <c r="K44" s="360"/>
      <c r="L44" s="360"/>
      <c r="M44" s="360"/>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420" customFormat="1" ht="15.75" x14ac:dyDescent="0.2">
      <c r="A47" s="14" t="s">
        <v>23</v>
      </c>
      <c r="B47" s="367"/>
      <c r="C47" s="368">
        <v>365751.31218999997</v>
      </c>
      <c r="D47" s="424" t="str">
        <f>IF(AND(_xlfn.NUMBERVALUE(B47)=0,_xlfn.NUMBERVALUE(C47)=0),,IF(B47=0, "    ---- ", IF(ABS(ROUND(100/B47*C47-100,1))&lt;999,IF(ROUND(100/B47*C47-100,1)=0,"    ---- ",ROUND(100/B47*C47-100,1)),IF(ROUND(100/B47*C47-100,1)&gt;999,999,-999))))</f>
        <v xml:space="preserve">    ---- </v>
      </c>
      <c r="E47" s="425">
        <f>IFERROR(100/'Skjema total MA'!C47*C47,0)</f>
        <v>12.675024187716803</v>
      </c>
      <c r="F47" s="159"/>
      <c r="G47" s="173"/>
      <c r="H47" s="159"/>
      <c r="I47" s="159"/>
      <c r="J47" s="423"/>
      <c r="K47" s="423"/>
      <c r="L47" s="159"/>
      <c r="M47" s="159"/>
      <c r="N47" s="426"/>
    </row>
    <row r="48" spans="1:14" s="3" customFormat="1" ht="15.75" x14ac:dyDescent="0.2">
      <c r="A48" s="38" t="s">
        <v>379</v>
      </c>
      <c r="B48" s="365"/>
      <c r="C48" s="366">
        <v>79090.640109999993</v>
      </c>
      <c r="D48" s="374" t="str">
        <f t="shared" ref="D48:D58" si="17">IF(AND(_xlfn.NUMBERVALUE(B48)=0,_xlfn.NUMBERVALUE(C48)=0),,IF(B48=0, "    ---- ", IF(ABS(ROUND(100/B48*C48-100,1))&lt;999,IF(ROUND(100/B48*C48-100,1)=0,"    ---- ",ROUND(100/B48*C48-100,1)),IF(ROUND(100/B48*C48-100,1)&gt;999,999,-999))))</f>
        <v xml:space="preserve">    ---- </v>
      </c>
      <c r="E48" s="413">
        <f>IFERROR(100/'Skjema total MA'!C48*C48,0)</f>
        <v>5.0435248436193358</v>
      </c>
      <c r="F48" s="145"/>
      <c r="G48" s="33"/>
      <c r="H48" s="145"/>
      <c r="I48" s="145"/>
      <c r="J48" s="33"/>
      <c r="K48" s="33"/>
      <c r="L48" s="159"/>
      <c r="M48" s="159"/>
      <c r="N48" s="148"/>
    </row>
    <row r="49" spans="1:14" s="3" customFormat="1" ht="15.75" x14ac:dyDescent="0.2">
      <c r="A49" s="38" t="s">
        <v>380</v>
      </c>
      <c r="B49" s="365"/>
      <c r="C49" s="366">
        <v>286660.67207999999</v>
      </c>
      <c r="D49" s="374" t="str">
        <f t="shared" si="17"/>
        <v xml:space="preserve">    ---- </v>
      </c>
      <c r="E49" s="413">
        <f>IFERROR(100/'Skjema total MA'!C49*C49,0)</f>
        <v>21.758843645009108</v>
      </c>
      <c r="F49" s="145"/>
      <c r="G49" s="33"/>
      <c r="H49" s="145"/>
      <c r="I49" s="145"/>
      <c r="J49" s="37"/>
      <c r="K49" s="37"/>
      <c r="L49" s="159"/>
      <c r="M49" s="159"/>
      <c r="N49" s="148"/>
    </row>
    <row r="50" spans="1:14" s="3" customFormat="1" x14ac:dyDescent="0.2">
      <c r="A50" s="296" t="s">
        <v>6</v>
      </c>
      <c r="B50" s="364"/>
      <c r="C50" s="386" t="s">
        <v>416</v>
      </c>
      <c r="D50" s="374">
        <f t="shared" si="17"/>
        <v>0</v>
      </c>
      <c r="E50" s="414" t="e">
        <f>IF(kvartal=4,IFERROR(100/'Skjema total MA'!B50*C50,0),"")</f>
        <v>#REF!</v>
      </c>
      <c r="F50" s="145"/>
      <c r="G50" s="33"/>
      <c r="H50" s="145"/>
      <c r="I50" s="145"/>
      <c r="J50" s="33"/>
      <c r="K50" s="33"/>
      <c r="L50" s="159"/>
      <c r="M50" s="159"/>
      <c r="N50" s="148"/>
    </row>
    <row r="51" spans="1:14" s="3" customFormat="1" x14ac:dyDescent="0.2">
      <c r="A51" s="296" t="s">
        <v>7</v>
      </c>
      <c r="B51" s="364"/>
      <c r="C51" s="386" t="s">
        <v>416</v>
      </c>
      <c r="D51" s="374">
        <f t="shared" si="17"/>
        <v>0</v>
      </c>
      <c r="E51" s="414" t="e">
        <f>IF(kvartal=4,IFERROR(100/'Skjema total MA'!B51*C51,0),"")</f>
        <v>#REF!</v>
      </c>
      <c r="F51" s="145"/>
      <c r="G51" s="33"/>
      <c r="H51" s="145"/>
      <c r="I51" s="145"/>
      <c r="J51" s="33"/>
      <c r="K51" s="33"/>
      <c r="L51" s="159"/>
      <c r="M51" s="159"/>
      <c r="N51" s="148"/>
    </row>
    <row r="52" spans="1:14" s="3" customFormat="1" x14ac:dyDescent="0.2">
      <c r="A52" s="296" t="s">
        <v>8</v>
      </c>
      <c r="B52" s="364"/>
      <c r="C52" s="386" t="s">
        <v>416</v>
      </c>
      <c r="D52" s="374">
        <f t="shared" si="17"/>
        <v>0</v>
      </c>
      <c r="E52" s="414" t="e">
        <f>IF(kvartal=4,IFERROR(100/'Skjema total MA'!B52*C52,0),"")</f>
        <v>#REF!</v>
      </c>
      <c r="F52" s="145"/>
      <c r="G52" s="33"/>
      <c r="H52" s="145"/>
      <c r="I52" s="145"/>
      <c r="J52" s="33"/>
      <c r="K52" s="33"/>
      <c r="L52" s="159"/>
      <c r="M52" s="159"/>
      <c r="N52" s="148"/>
    </row>
    <row r="53" spans="1:14" s="3" customFormat="1" ht="15.75" x14ac:dyDescent="0.2">
      <c r="A53" s="39" t="s">
        <v>381</v>
      </c>
      <c r="B53" s="367"/>
      <c r="C53" s="368">
        <v>1558</v>
      </c>
      <c r="D53" s="374" t="str">
        <f t="shared" si="17"/>
        <v xml:space="preserve">    ---- </v>
      </c>
      <c r="E53" s="413">
        <f>IFERROR(100/'Skjema total MA'!C53*C53,0)</f>
        <v>1.5243646799263693</v>
      </c>
      <c r="F53" s="145"/>
      <c r="G53" s="33"/>
      <c r="H53" s="145"/>
      <c r="I53" s="145"/>
      <c r="J53" s="33"/>
      <c r="K53" s="33"/>
      <c r="L53" s="159"/>
      <c r="M53" s="159"/>
      <c r="N53" s="148"/>
    </row>
    <row r="54" spans="1:14" s="3" customFormat="1" ht="15.75" x14ac:dyDescent="0.2">
      <c r="A54" s="38" t="s">
        <v>379</v>
      </c>
      <c r="B54" s="365"/>
      <c r="C54" s="366">
        <v>1558</v>
      </c>
      <c r="D54" s="374" t="str">
        <f t="shared" si="17"/>
        <v xml:space="preserve">    ---- </v>
      </c>
      <c r="E54" s="413">
        <f>IFERROR(100/'Skjema total MA'!C54*C54,0)</f>
        <v>1.5243646799263693</v>
      </c>
      <c r="F54" s="145"/>
      <c r="G54" s="33"/>
      <c r="H54" s="145"/>
      <c r="I54" s="145"/>
      <c r="J54" s="33"/>
      <c r="K54" s="33"/>
      <c r="L54" s="159"/>
      <c r="M54" s="159"/>
      <c r="N54" s="148"/>
    </row>
    <row r="55" spans="1:14" s="3" customFormat="1" ht="15.75" x14ac:dyDescent="0.2">
      <c r="A55" s="38" t="s">
        <v>380</v>
      </c>
      <c r="B55" s="365"/>
      <c r="C55" s="366">
        <v>0</v>
      </c>
      <c r="D55" s="374">
        <f t="shared" si="17"/>
        <v>0</v>
      </c>
      <c r="E55" s="413">
        <f>IFERROR(100/'Skjema total MA'!C55*C55,0)</f>
        <v>0</v>
      </c>
      <c r="F55" s="145"/>
      <c r="G55" s="33"/>
      <c r="H55" s="145"/>
      <c r="I55" s="145"/>
      <c r="J55" s="33"/>
      <c r="K55" s="33"/>
      <c r="L55" s="159"/>
      <c r="M55" s="159"/>
      <c r="N55" s="148"/>
    </row>
    <row r="56" spans="1:14" s="3" customFormat="1" ht="15.75" x14ac:dyDescent="0.2">
      <c r="A56" s="39" t="s">
        <v>382</v>
      </c>
      <c r="B56" s="367"/>
      <c r="C56" s="368">
        <v>933</v>
      </c>
      <c r="D56" s="374" t="str">
        <f t="shared" si="17"/>
        <v xml:space="preserve">    ---- </v>
      </c>
      <c r="E56" s="413">
        <f>IFERROR(100/'Skjema total MA'!C56*C56,0)</f>
        <v>0.98785408520598295</v>
      </c>
      <c r="F56" s="145"/>
      <c r="G56" s="33"/>
      <c r="H56" s="145"/>
      <c r="I56" s="145"/>
      <c r="J56" s="33"/>
      <c r="K56" s="33"/>
      <c r="L56" s="159"/>
      <c r="M56" s="159"/>
      <c r="N56" s="148"/>
    </row>
    <row r="57" spans="1:14" s="3" customFormat="1" ht="15.75" x14ac:dyDescent="0.2">
      <c r="A57" s="38" t="s">
        <v>379</v>
      </c>
      <c r="B57" s="365"/>
      <c r="C57" s="366">
        <v>933</v>
      </c>
      <c r="D57" s="374" t="str">
        <f t="shared" si="17"/>
        <v xml:space="preserve">    ---- </v>
      </c>
      <c r="E57" s="413">
        <f>IFERROR(100/'Skjema total MA'!C57*C57,0)</f>
        <v>0.98785408520598295</v>
      </c>
      <c r="F57" s="145"/>
      <c r="G57" s="33"/>
      <c r="H57" s="145"/>
      <c r="I57" s="145"/>
      <c r="J57" s="33"/>
      <c r="K57" s="33"/>
      <c r="L57" s="159"/>
      <c r="M57" s="159"/>
      <c r="N57" s="148"/>
    </row>
    <row r="58" spans="1:14" s="3" customFormat="1" ht="15.75" x14ac:dyDescent="0.2">
      <c r="A58" s="46" t="s">
        <v>380</v>
      </c>
      <c r="B58" s="387"/>
      <c r="C58" s="388">
        <v>0</v>
      </c>
      <c r="D58" s="378">
        <f t="shared" si="17"/>
        <v>0</v>
      </c>
      <c r="E58" s="415">
        <f>IFERROR(100/'Skjema total MA'!C58*C58,0)</f>
        <v>0</v>
      </c>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358"/>
      <c r="C62" s="358"/>
      <c r="D62" s="358"/>
      <c r="E62" s="359"/>
      <c r="F62" s="358"/>
      <c r="G62" s="358"/>
      <c r="H62" s="358"/>
      <c r="I62" s="359"/>
      <c r="J62" s="358"/>
      <c r="K62" s="358"/>
      <c r="L62" s="358"/>
      <c r="M62" s="359"/>
    </row>
    <row r="63" spans="1:14" x14ac:dyDescent="0.2">
      <c r="A63" s="144"/>
      <c r="B63" s="727" t="s">
        <v>0</v>
      </c>
      <c r="C63" s="728"/>
      <c r="D63" s="732"/>
      <c r="E63" s="355"/>
      <c r="F63" s="728" t="s">
        <v>1</v>
      </c>
      <c r="G63" s="728"/>
      <c r="H63" s="728"/>
      <c r="I63" s="357"/>
      <c r="J63" s="727" t="s">
        <v>2</v>
      </c>
      <c r="K63" s="728"/>
      <c r="L63" s="728"/>
      <c r="M63" s="357"/>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89"/>
      <c r="C66" s="389"/>
      <c r="D66" s="371"/>
      <c r="E66" s="372"/>
      <c r="F66" s="389"/>
      <c r="G66" s="389"/>
      <c r="H66" s="371"/>
      <c r="I66" s="372"/>
      <c r="J66" s="368"/>
      <c r="K66" s="362"/>
      <c r="L66" s="374"/>
      <c r="M66" s="372"/>
    </row>
    <row r="67" spans="1:14" x14ac:dyDescent="0.2">
      <c r="A67" s="21" t="s">
        <v>9</v>
      </c>
      <c r="B67" s="365"/>
      <c r="C67" s="390"/>
      <c r="D67" s="374"/>
      <c r="E67" s="372"/>
      <c r="F67" s="377"/>
      <c r="G67" s="390"/>
      <c r="H67" s="374"/>
      <c r="I67" s="372"/>
      <c r="J67" s="366"/>
      <c r="K67" s="365"/>
      <c r="L67" s="374"/>
      <c r="M67" s="372"/>
    </row>
    <row r="68" spans="1:14" x14ac:dyDescent="0.2">
      <c r="A68" s="21" t="s">
        <v>10</v>
      </c>
      <c r="B68" s="391"/>
      <c r="C68" s="392"/>
      <c r="D68" s="374"/>
      <c r="E68" s="372"/>
      <c r="F68" s="391"/>
      <c r="G68" s="392"/>
      <c r="H68" s="374"/>
      <c r="I68" s="372"/>
      <c r="J68" s="366"/>
      <c r="K68" s="365"/>
      <c r="L68" s="374"/>
      <c r="M68" s="372"/>
    </row>
    <row r="69" spans="1:14" ht="15.75" x14ac:dyDescent="0.2">
      <c r="A69" s="296" t="s">
        <v>383</v>
      </c>
      <c r="B69" s="393"/>
      <c r="C69" s="393"/>
      <c r="D69" s="374"/>
      <c r="E69" s="399"/>
      <c r="F69" s="393"/>
      <c r="G69" s="393"/>
      <c r="H69" s="374"/>
      <c r="I69" s="372"/>
      <c r="J69" s="393"/>
      <c r="K69" s="393"/>
      <c r="L69" s="374"/>
      <c r="M69" s="372"/>
    </row>
    <row r="70" spans="1:14" x14ac:dyDescent="0.2">
      <c r="A70" s="296" t="s">
        <v>12</v>
      </c>
      <c r="B70" s="393"/>
      <c r="C70" s="394"/>
      <c r="D70" s="374"/>
      <c r="E70" s="399"/>
      <c r="F70" s="393"/>
      <c r="G70" s="393"/>
      <c r="H70" s="374"/>
      <c r="I70" s="372"/>
      <c r="J70" s="393"/>
      <c r="K70" s="393"/>
      <c r="L70" s="374"/>
      <c r="M70" s="372"/>
    </row>
    <row r="71" spans="1:14" x14ac:dyDescent="0.2">
      <c r="A71" s="296" t="s">
        <v>13</v>
      </c>
      <c r="B71" s="395"/>
      <c r="C71" s="396"/>
      <c r="D71" s="374"/>
      <c r="E71" s="399"/>
      <c r="F71" s="393"/>
      <c r="G71" s="393"/>
      <c r="H71" s="374"/>
      <c r="I71" s="372"/>
      <c r="J71" s="393"/>
      <c r="K71" s="393"/>
      <c r="L71" s="374"/>
      <c r="M71" s="372"/>
    </row>
    <row r="72" spans="1:14" ht="15.75" x14ac:dyDescent="0.2">
      <c r="A72" s="296" t="s">
        <v>384</v>
      </c>
      <c r="B72" s="393"/>
      <c r="C72" s="393"/>
      <c r="D72" s="374"/>
      <c r="E72" s="399"/>
      <c r="F72" s="393"/>
      <c r="G72" s="393"/>
      <c r="H72" s="374"/>
      <c r="I72" s="372"/>
      <c r="J72" s="393"/>
      <c r="K72" s="393"/>
      <c r="L72" s="374"/>
      <c r="M72" s="372"/>
    </row>
    <row r="73" spans="1:14" x14ac:dyDescent="0.2">
      <c r="A73" s="296" t="s">
        <v>12</v>
      </c>
      <c r="B73" s="395"/>
      <c r="C73" s="396"/>
      <c r="D73" s="374"/>
      <c r="E73" s="399"/>
      <c r="F73" s="393"/>
      <c r="G73" s="393"/>
      <c r="H73" s="374"/>
      <c r="I73" s="372"/>
      <c r="J73" s="393"/>
      <c r="K73" s="393"/>
      <c r="L73" s="374"/>
      <c r="M73" s="372"/>
    </row>
    <row r="74" spans="1:14" s="3" customFormat="1" x14ac:dyDescent="0.2">
      <c r="A74" s="296" t="s">
        <v>13</v>
      </c>
      <c r="B74" s="395"/>
      <c r="C74" s="396"/>
      <c r="D74" s="374"/>
      <c r="E74" s="399"/>
      <c r="F74" s="393"/>
      <c r="G74" s="393"/>
      <c r="H74" s="374"/>
      <c r="I74" s="372"/>
      <c r="J74" s="393"/>
      <c r="K74" s="393"/>
      <c r="L74" s="374"/>
      <c r="M74" s="372"/>
      <c r="N74" s="148"/>
    </row>
    <row r="75" spans="1:14" s="3" customFormat="1" x14ac:dyDescent="0.2">
      <c r="A75" s="21" t="s">
        <v>353</v>
      </c>
      <c r="B75" s="377"/>
      <c r="C75" s="390"/>
      <c r="D75" s="374"/>
      <c r="E75" s="372"/>
      <c r="F75" s="377"/>
      <c r="G75" s="390"/>
      <c r="H75" s="374"/>
      <c r="I75" s="372"/>
      <c r="J75" s="366"/>
      <c r="K75" s="365"/>
      <c r="L75" s="374"/>
      <c r="M75" s="372"/>
      <c r="N75" s="148"/>
    </row>
    <row r="76" spans="1:14" s="3" customFormat="1" x14ac:dyDescent="0.2">
      <c r="A76" s="21" t="s">
        <v>352</v>
      </c>
      <c r="B76" s="377"/>
      <c r="C76" s="390"/>
      <c r="D76" s="374"/>
      <c r="E76" s="372"/>
      <c r="F76" s="377"/>
      <c r="G76" s="390"/>
      <c r="H76" s="374"/>
      <c r="I76" s="372"/>
      <c r="J76" s="366"/>
      <c r="K76" s="365"/>
      <c r="L76" s="374"/>
      <c r="M76" s="372"/>
      <c r="N76" s="148"/>
    </row>
    <row r="77" spans="1:14" ht="15.75" x14ac:dyDescent="0.2">
      <c r="A77" s="21" t="s">
        <v>385</v>
      </c>
      <c r="B77" s="377"/>
      <c r="C77" s="377"/>
      <c r="D77" s="374"/>
      <c r="E77" s="372"/>
      <c r="F77" s="377"/>
      <c r="G77" s="390"/>
      <c r="H77" s="374"/>
      <c r="I77" s="372"/>
      <c r="J77" s="366"/>
      <c r="K77" s="365"/>
      <c r="L77" s="374"/>
      <c r="M77" s="372"/>
    </row>
    <row r="78" spans="1:14" x14ac:dyDescent="0.2">
      <c r="A78" s="21" t="s">
        <v>9</v>
      </c>
      <c r="B78" s="377"/>
      <c r="C78" s="390"/>
      <c r="D78" s="374"/>
      <c r="E78" s="372"/>
      <c r="F78" s="377"/>
      <c r="G78" s="390"/>
      <c r="H78" s="374"/>
      <c r="I78" s="372"/>
      <c r="J78" s="366"/>
      <c r="K78" s="365"/>
      <c r="L78" s="374"/>
      <c r="M78" s="372"/>
    </row>
    <row r="79" spans="1:14" x14ac:dyDescent="0.2">
      <c r="A79" s="21" t="s">
        <v>10</v>
      </c>
      <c r="B79" s="391"/>
      <c r="C79" s="392"/>
      <c r="D79" s="374"/>
      <c r="E79" s="372"/>
      <c r="F79" s="391"/>
      <c r="G79" s="392"/>
      <c r="H79" s="374"/>
      <c r="I79" s="372"/>
      <c r="J79" s="366"/>
      <c r="K79" s="365"/>
      <c r="L79" s="374"/>
      <c r="M79" s="372"/>
    </row>
    <row r="80" spans="1:14" ht="15.75" x14ac:dyDescent="0.2">
      <c r="A80" s="296" t="s">
        <v>383</v>
      </c>
      <c r="B80" s="393"/>
      <c r="C80" s="393"/>
      <c r="D80" s="374"/>
      <c r="E80" s="399"/>
      <c r="F80" s="393"/>
      <c r="G80" s="393"/>
      <c r="H80" s="374"/>
      <c r="I80" s="372"/>
      <c r="J80" s="393"/>
      <c r="K80" s="393"/>
      <c r="L80" s="374"/>
      <c r="M80" s="372"/>
    </row>
    <row r="81" spans="1:13" x14ac:dyDescent="0.2">
      <c r="A81" s="296" t="s">
        <v>12</v>
      </c>
      <c r="B81" s="395"/>
      <c r="C81" s="396"/>
      <c r="D81" s="374"/>
      <c r="E81" s="399"/>
      <c r="F81" s="393"/>
      <c r="G81" s="393"/>
      <c r="H81" s="374"/>
      <c r="I81" s="372"/>
      <c r="J81" s="393"/>
      <c r="K81" s="393"/>
      <c r="L81" s="374"/>
      <c r="M81" s="372"/>
    </row>
    <row r="82" spans="1:13" x14ac:dyDescent="0.2">
      <c r="A82" s="296" t="s">
        <v>13</v>
      </c>
      <c r="B82" s="395"/>
      <c r="C82" s="396"/>
      <c r="D82" s="374"/>
      <c r="E82" s="399"/>
      <c r="F82" s="393"/>
      <c r="G82" s="393"/>
      <c r="H82" s="374"/>
      <c r="I82" s="372"/>
      <c r="J82" s="393"/>
      <c r="K82" s="393"/>
      <c r="L82" s="374"/>
      <c r="M82" s="372"/>
    </row>
    <row r="83" spans="1:13" ht="15.75" x14ac:dyDescent="0.2">
      <c r="A83" s="296" t="s">
        <v>384</v>
      </c>
      <c r="B83" s="393"/>
      <c r="C83" s="393"/>
      <c r="D83" s="374"/>
      <c r="E83" s="399"/>
      <c r="F83" s="393"/>
      <c r="G83" s="393"/>
      <c r="H83" s="374"/>
      <c r="I83" s="372"/>
      <c r="J83" s="393"/>
      <c r="K83" s="393"/>
      <c r="L83" s="374"/>
      <c r="M83" s="372"/>
    </row>
    <row r="84" spans="1:13" x14ac:dyDescent="0.2">
      <c r="A84" s="296" t="s">
        <v>12</v>
      </c>
      <c r="B84" s="395"/>
      <c r="C84" s="396"/>
      <c r="D84" s="374"/>
      <c r="E84" s="399"/>
      <c r="F84" s="393"/>
      <c r="G84" s="393"/>
      <c r="H84" s="374"/>
      <c r="I84" s="372"/>
      <c r="J84" s="393"/>
      <c r="K84" s="393"/>
      <c r="L84" s="374"/>
      <c r="M84" s="372"/>
    </row>
    <row r="85" spans="1:13" x14ac:dyDescent="0.2">
      <c r="A85" s="296" t="s">
        <v>13</v>
      </c>
      <c r="B85" s="395"/>
      <c r="C85" s="396"/>
      <c r="D85" s="374"/>
      <c r="E85" s="399"/>
      <c r="F85" s="393"/>
      <c r="G85" s="393"/>
      <c r="H85" s="374"/>
      <c r="I85" s="372"/>
      <c r="J85" s="393"/>
      <c r="K85" s="393"/>
      <c r="L85" s="374"/>
      <c r="M85" s="372"/>
    </row>
    <row r="86" spans="1:13" ht="15.75" x14ac:dyDescent="0.2">
      <c r="A86" s="21" t="s">
        <v>386</v>
      </c>
      <c r="B86" s="377"/>
      <c r="C86" s="390"/>
      <c r="D86" s="374"/>
      <c r="E86" s="372"/>
      <c r="F86" s="377"/>
      <c r="G86" s="390"/>
      <c r="H86" s="374"/>
      <c r="I86" s="372"/>
      <c r="J86" s="366"/>
      <c r="K86" s="365"/>
      <c r="L86" s="374"/>
      <c r="M86" s="372"/>
    </row>
    <row r="87" spans="1:13" ht="15.75" x14ac:dyDescent="0.2">
      <c r="A87" s="13" t="s">
        <v>368</v>
      </c>
      <c r="B87" s="389"/>
      <c r="C87" s="389"/>
      <c r="D87" s="374"/>
      <c r="E87" s="372"/>
      <c r="F87" s="389"/>
      <c r="G87" s="389"/>
      <c r="H87" s="374"/>
      <c r="I87" s="372"/>
      <c r="J87" s="368"/>
      <c r="K87" s="367"/>
      <c r="L87" s="374"/>
      <c r="M87" s="372"/>
    </row>
    <row r="88" spans="1:13" x14ac:dyDescent="0.2">
      <c r="A88" s="21" t="s">
        <v>9</v>
      </c>
      <c r="B88" s="377"/>
      <c r="C88" s="390"/>
      <c r="D88" s="374"/>
      <c r="E88" s="372"/>
      <c r="F88" s="377"/>
      <c r="G88" s="390"/>
      <c r="H88" s="374"/>
      <c r="I88" s="372"/>
      <c r="J88" s="366"/>
      <c r="K88" s="365"/>
      <c r="L88" s="374"/>
      <c r="M88" s="372"/>
    </row>
    <row r="89" spans="1:13" x14ac:dyDescent="0.2">
      <c r="A89" s="21" t="s">
        <v>10</v>
      </c>
      <c r="B89" s="377"/>
      <c r="C89" s="390"/>
      <c r="D89" s="374"/>
      <c r="E89" s="372"/>
      <c r="F89" s="377"/>
      <c r="G89" s="390"/>
      <c r="H89" s="374"/>
      <c r="I89" s="372"/>
      <c r="J89" s="366"/>
      <c r="K89" s="365"/>
      <c r="L89" s="374"/>
      <c r="M89" s="372"/>
    </row>
    <row r="90" spans="1:13" ht="15.75" x14ac:dyDescent="0.2">
      <c r="A90" s="296" t="s">
        <v>383</v>
      </c>
      <c r="B90" s="393"/>
      <c r="C90" s="393"/>
      <c r="D90" s="374"/>
      <c r="E90" s="399"/>
      <c r="F90" s="393"/>
      <c r="G90" s="393"/>
      <c r="H90" s="374"/>
      <c r="I90" s="372"/>
      <c r="J90" s="393"/>
      <c r="K90" s="393"/>
      <c r="L90" s="374"/>
      <c r="M90" s="372"/>
    </row>
    <row r="91" spans="1:13" x14ac:dyDescent="0.2">
      <c r="A91" s="296" t="s">
        <v>12</v>
      </c>
      <c r="B91" s="395"/>
      <c r="C91" s="396"/>
      <c r="D91" s="374"/>
      <c r="E91" s="399"/>
      <c r="F91" s="393"/>
      <c r="G91" s="393"/>
      <c r="H91" s="374"/>
      <c r="I91" s="372"/>
      <c r="J91" s="393"/>
      <c r="K91" s="393"/>
      <c r="L91" s="374"/>
      <c r="M91" s="372"/>
    </row>
    <row r="92" spans="1:13" x14ac:dyDescent="0.2">
      <c r="A92" s="296" t="s">
        <v>13</v>
      </c>
      <c r="B92" s="395"/>
      <c r="C92" s="396"/>
      <c r="D92" s="374"/>
      <c r="E92" s="399"/>
      <c r="F92" s="393"/>
      <c r="G92" s="393"/>
      <c r="H92" s="374"/>
      <c r="I92" s="372"/>
      <c r="J92" s="393"/>
      <c r="K92" s="393"/>
      <c r="L92" s="374"/>
      <c r="M92" s="372"/>
    </row>
    <row r="93" spans="1:13" ht="15.75" x14ac:dyDescent="0.2">
      <c r="A93" s="296" t="s">
        <v>384</v>
      </c>
      <c r="B93" s="393"/>
      <c r="C93" s="393"/>
      <c r="D93" s="374"/>
      <c r="E93" s="399"/>
      <c r="F93" s="393"/>
      <c r="G93" s="393"/>
      <c r="H93" s="374"/>
      <c r="I93" s="372"/>
      <c r="J93" s="393"/>
      <c r="K93" s="393"/>
      <c r="L93" s="374"/>
      <c r="M93" s="372"/>
    </row>
    <row r="94" spans="1:13" x14ac:dyDescent="0.2">
      <c r="A94" s="296" t="s">
        <v>12</v>
      </c>
      <c r="B94" s="395"/>
      <c r="C94" s="396"/>
      <c r="D94" s="374"/>
      <c r="E94" s="399"/>
      <c r="F94" s="393"/>
      <c r="G94" s="393"/>
      <c r="H94" s="374"/>
      <c r="I94" s="372"/>
      <c r="J94" s="393"/>
      <c r="K94" s="393"/>
      <c r="L94" s="374"/>
      <c r="M94" s="372"/>
    </row>
    <row r="95" spans="1:13" x14ac:dyDescent="0.2">
      <c r="A95" s="296" t="s">
        <v>13</v>
      </c>
      <c r="B95" s="395"/>
      <c r="C95" s="396"/>
      <c r="D95" s="374"/>
      <c r="E95" s="399"/>
      <c r="F95" s="393"/>
      <c r="G95" s="393"/>
      <c r="H95" s="374"/>
      <c r="I95" s="372"/>
      <c r="J95" s="393"/>
      <c r="K95" s="393"/>
      <c r="L95" s="374"/>
      <c r="M95" s="372"/>
    </row>
    <row r="96" spans="1:13" x14ac:dyDescent="0.2">
      <c r="A96" s="21" t="s">
        <v>351</v>
      </c>
      <c r="B96" s="377"/>
      <c r="C96" s="390"/>
      <c r="D96" s="374"/>
      <c r="E96" s="372"/>
      <c r="F96" s="377"/>
      <c r="G96" s="390"/>
      <c r="H96" s="374"/>
      <c r="I96" s="372"/>
      <c r="J96" s="366"/>
      <c r="K96" s="365"/>
      <c r="L96" s="374"/>
      <c r="M96" s="372"/>
    </row>
    <row r="97" spans="1:13" x14ac:dyDescent="0.2">
      <c r="A97" s="21" t="s">
        <v>350</v>
      </c>
      <c r="B97" s="377"/>
      <c r="C97" s="390"/>
      <c r="D97" s="374"/>
      <c r="E97" s="372"/>
      <c r="F97" s="377"/>
      <c r="G97" s="390"/>
      <c r="H97" s="374"/>
      <c r="I97" s="372"/>
      <c r="J97" s="366"/>
      <c r="K97" s="365"/>
      <c r="L97" s="374"/>
      <c r="M97" s="372"/>
    </row>
    <row r="98" spans="1:13" ht="15.75" x14ac:dyDescent="0.2">
      <c r="A98" s="21" t="s">
        <v>385</v>
      </c>
      <c r="B98" s="377"/>
      <c r="C98" s="377"/>
      <c r="D98" s="374"/>
      <c r="E98" s="372"/>
      <c r="F98" s="391"/>
      <c r="G98" s="391"/>
      <c r="H98" s="374"/>
      <c r="I98" s="372"/>
      <c r="J98" s="366"/>
      <c r="K98" s="365"/>
      <c r="L98" s="374"/>
      <c r="M98" s="372"/>
    </row>
    <row r="99" spans="1:13" x14ac:dyDescent="0.2">
      <c r="A99" s="21" t="s">
        <v>9</v>
      </c>
      <c r="B99" s="391"/>
      <c r="C99" s="392"/>
      <c r="D99" s="374"/>
      <c r="E99" s="372"/>
      <c r="F99" s="377"/>
      <c r="G99" s="390"/>
      <c r="H99" s="374"/>
      <c r="I99" s="372"/>
      <c r="J99" s="366"/>
      <c r="K99" s="365"/>
      <c r="L99" s="374"/>
      <c r="M99" s="372"/>
    </row>
    <row r="100" spans="1:13" x14ac:dyDescent="0.2">
      <c r="A100" s="21" t="s">
        <v>10</v>
      </c>
      <c r="B100" s="391"/>
      <c r="C100" s="392"/>
      <c r="D100" s="374"/>
      <c r="E100" s="372"/>
      <c r="F100" s="377"/>
      <c r="G100" s="377"/>
      <c r="H100" s="374"/>
      <c r="I100" s="372"/>
      <c r="J100" s="366"/>
      <c r="K100" s="365"/>
      <c r="L100" s="374"/>
      <c r="M100" s="372"/>
    </row>
    <row r="101" spans="1:13" ht="15.75" x14ac:dyDescent="0.2">
      <c r="A101" s="296" t="s">
        <v>383</v>
      </c>
      <c r="B101" s="393"/>
      <c r="C101" s="393"/>
      <c r="D101" s="374"/>
      <c r="E101" s="399"/>
      <c r="F101" s="393"/>
      <c r="G101" s="393"/>
      <c r="H101" s="374"/>
      <c r="I101" s="372"/>
      <c r="J101" s="393"/>
      <c r="K101" s="393"/>
      <c r="L101" s="374"/>
      <c r="M101" s="372"/>
    </row>
    <row r="102" spans="1:13" x14ac:dyDescent="0.2">
      <c r="A102" s="296" t="s">
        <v>12</v>
      </c>
      <c r="B102" s="395"/>
      <c r="C102" s="396"/>
      <c r="D102" s="374"/>
      <c r="E102" s="399"/>
      <c r="F102" s="393"/>
      <c r="G102" s="393"/>
      <c r="H102" s="374"/>
      <c r="I102" s="372"/>
      <c r="J102" s="393"/>
      <c r="K102" s="393"/>
      <c r="L102" s="374"/>
      <c r="M102" s="372"/>
    </row>
    <row r="103" spans="1:13" x14ac:dyDescent="0.2">
      <c r="A103" s="296" t="s">
        <v>13</v>
      </c>
      <c r="B103" s="395"/>
      <c r="C103" s="396"/>
      <c r="D103" s="374"/>
      <c r="E103" s="399"/>
      <c r="F103" s="393"/>
      <c r="G103" s="393"/>
      <c r="H103" s="374"/>
      <c r="I103" s="372"/>
      <c r="J103" s="393"/>
      <c r="K103" s="393"/>
      <c r="L103" s="374"/>
      <c r="M103" s="372"/>
    </row>
    <row r="104" spans="1:13" ht="15.75" x14ac:dyDescent="0.2">
      <c r="A104" s="296" t="s">
        <v>384</v>
      </c>
      <c r="B104" s="393"/>
      <c r="C104" s="393"/>
      <c r="D104" s="374"/>
      <c r="E104" s="399"/>
      <c r="F104" s="393"/>
      <c r="G104" s="393"/>
      <c r="H104" s="374"/>
      <c r="I104" s="372"/>
      <c r="J104" s="393"/>
      <c r="K104" s="393"/>
      <c r="L104" s="374"/>
      <c r="M104" s="372"/>
    </row>
    <row r="105" spans="1:13" x14ac:dyDescent="0.2">
      <c r="A105" s="296" t="s">
        <v>12</v>
      </c>
      <c r="B105" s="395"/>
      <c r="C105" s="396"/>
      <c r="D105" s="374"/>
      <c r="E105" s="399"/>
      <c r="F105" s="393"/>
      <c r="G105" s="393"/>
      <c r="H105" s="374"/>
      <c r="I105" s="372"/>
      <c r="J105" s="393"/>
      <c r="K105" s="393"/>
      <c r="L105" s="374"/>
      <c r="M105" s="372"/>
    </row>
    <row r="106" spans="1:13" x14ac:dyDescent="0.2">
      <c r="A106" s="296" t="s">
        <v>13</v>
      </c>
      <c r="B106" s="395"/>
      <c r="C106" s="396"/>
      <c r="D106" s="374"/>
      <c r="E106" s="399"/>
      <c r="F106" s="393"/>
      <c r="G106" s="393"/>
      <c r="H106" s="374"/>
      <c r="I106" s="372"/>
      <c r="J106" s="393"/>
      <c r="K106" s="393"/>
      <c r="L106" s="374"/>
      <c r="M106" s="372"/>
    </row>
    <row r="107" spans="1:13" ht="15.75" x14ac:dyDescent="0.2">
      <c r="A107" s="21" t="s">
        <v>386</v>
      </c>
      <c r="B107" s="377"/>
      <c r="C107" s="390"/>
      <c r="D107" s="374"/>
      <c r="E107" s="372"/>
      <c r="F107" s="377"/>
      <c r="G107" s="390"/>
      <c r="H107" s="374"/>
      <c r="I107" s="372"/>
      <c r="J107" s="366"/>
      <c r="K107" s="365"/>
      <c r="L107" s="374"/>
      <c r="M107" s="372"/>
    </row>
    <row r="108" spans="1:13" ht="15.75" x14ac:dyDescent="0.2">
      <c r="A108" s="21" t="s">
        <v>387</v>
      </c>
      <c r="B108" s="377"/>
      <c r="C108" s="377"/>
      <c r="D108" s="374"/>
      <c r="E108" s="372"/>
      <c r="F108" s="377"/>
      <c r="G108" s="377"/>
      <c r="H108" s="374"/>
      <c r="I108" s="372"/>
      <c r="J108" s="366"/>
      <c r="K108" s="365"/>
      <c r="L108" s="374"/>
      <c r="M108" s="372"/>
    </row>
    <row r="109" spans="1:13" ht="15.75" x14ac:dyDescent="0.2">
      <c r="A109" s="21" t="s">
        <v>388</v>
      </c>
      <c r="B109" s="377"/>
      <c r="C109" s="377"/>
      <c r="D109" s="374"/>
      <c r="E109" s="372"/>
      <c r="F109" s="377"/>
      <c r="G109" s="377"/>
      <c r="H109" s="374"/>
      <c r="I109" s="372"/>
      <c r="J109" s="366"/>
      <c r="K109" s="365"/>
      <c r="L109" s="374"/>
      <c r="M109" s="372"/>
    </row>
    <row r="110" spans="1:13" ht="15.75" x14ac:dyDescent="0.2">
      <c r="A110" s="21" t="s">
        <v>389</v>
      </c>
      <c r="B110" s="377"/>
      <c r="C110" s="377"/>
      <c r="D110" s="374"/>
      <c r="E110" s="372"/>
      <c r="F110" s="377"/>
      <c r="G110" s="377"/>
      <c r="H110" s="374"/>
      <c r="I110" s="372"/>
      <c r="J110" s="366"/>
      <c r="K110" s="365"/>
      <c r="L110" s="374"/>
      <c r="M110" s="372"/>
    </row>
    <row r="111" spans="1:13" ht="15.75" x14ac:dyDescent="0.2">
      <c r="A111" s="13" t="s">
        <v>369</v>
      </c>
      <c r="B111" s="373"/>
      <c r="C111" s="397"/>
      <c r="D111" s="374"/>
      <c r="E111" s="372"/>
      <c r="F111" s="373"/>
      <c r="G111" s="397"/>
      <c r="H111" s="374"/>
      <c r="I111" s="372"/>
      <c r="J111" s="368"/>
      <c r="K111" s="367"/>
      <c r="L111" s="374"/>
      <c r="M111" s="372"/>
    </row>
    <row r="112" spans="1:13" x14ac:dyDescent="0.2">
      <c r="A112" s="21" t="s">
        <v>9</v>
      </c>
      <c r="B112" s="377"/>
      <c r="C112" s="390"/>
      <c r="D112" s="374"/>
      <c r="E112" s="372"/>
      <c r="F112" s="377"/>
      <c r="G112" s="390"/>
      <c r="H112" s="374"/>
      <c r="I112" s="372"/>
      <c r="J112" s="366"/>
      <c r="K112" s="365"/>
      <c r="L112" s="374"/>
      <c r="M112" s="372"/>
    </row>
    <row r="113" spans="1:14" x14ac:dyDescent="0.2">
      <c r="A113" s="21" t="s">
        <v>10</v>
      </c>
      <c r="B113" s="377"/>
      <c r="C113" s="390"/>
      <c r="D113" s="374"/>
      <c r="E113" s="372"/>
      <c r="F113" s="377"/>
      <c r="G113" s="390"/>
      <c r="H113" s="374"/>
      <c r="I113" s="372"/>
      <c r="J113" s="366"/>
      <c r="K113" s="365"/>
      <c r="L113" s="374"/>
      <c r="M113" s="372"/>
    </row>
    <row r="114" spans="1:14" x14ac:dyDescent="0.2">
      <c r="A114" s="21" t="s">
        <v>26</v>
      </c>
      <c r="B114" s="377"/>
      <c r="C114" s="390"/>
      <c r="D114" s="374"/>
      <c r="E114" s="372"/>
      <c r="F114" s="377"/>
      <c r="G114" s="390"/>
      <c r="H114" s="374"/>
      <c r="I114" s="372"/>
      <c r="J114" s="366"/>
      <c r="K114" s="365"/>
      <c r="L114" s="374"/>
      <c r="M114" s="372"/>
    </row>
    <row r="115" spans="1:14" x14ac:dyDescent="0.2">
      <c r="A115" s="296" t="s">
        <v>15</v>
      </c>
      <c r="B115" s="365"/>
      <c r="C115" s="365"/>
      <c r="D115" s="374"/>
      <c r="E115" s="399"/>
      <c r="F115" s="365"/>
      <c r="G115" s="365"/>
      <c r="H115" s="374"/>
      <c r="I115" s="372"/>
      <c r="J115" s="364"/>
      <c r="K115" s="364"/>
      <c r="L115" s="374"/>
      <c r="M115" s="372"/>
    </row>
    <row r="116" spans="1:14" ht="15.75" x14ac:dyDescent="0.2">
      <c r="A116" s="21" t="s">
        <v>390</v>
      </c>
      <c r="B116" s="377"/>
      <c r="C116" s="377"/>
      <c r="D116" s="374"/>
      <c r="E116" s="372"/>
      <c r="F116" s="377"/>
      <c r="G116" s="377"/>
      <c r="H116" s="374"/>
      <c r="I116" s="372"/>
      <c r="J116" s="366"/>
      <c r="K116" s="365"/>
      <c r="L116" s="374"/>
      <c r="M116" s="372"/>
    </row>
    <row r="117" spans="1:14" ht="15.75" x14ac:dyDescent="0.2">
      <c r="A117" s="21" t="s">
        <v>391</v>
      </c>
      <c r="B117" s="377"/>
      <c r="C117" s="377"/>
      <c r="D117" s="374"/>
      <c r="E117" s="372"/>
      <c r="F117" s="377"/>
      <c r="G117" s="377"/>
      <c r="H117" s="374"/>
      <c r="I117" s="372"/>
      <c r="J117" s="366"/>
      <c r="K117" s="365"/>
      <c r="L117" s="374"/>
      <c r="M117" s="372"/>
    </row>
    <row r="118" spans="1:14" ht="15.75" x14ac:dyDescent="0.2">
      <c r="A118" s="21" t="s">
        <v>389</v>
      </c>
      <c r="B118" s="377"/>
      <c r="C118" s="377"/>
      <c r="D118" s="374"/>
      <c r="E118" s="372"/>
      <c r="F118" s="377"/>
      <c r="G118" s="377"/>
      <c r="H118" s="374"/>
      <c r="I118" s="372"/>
      <c r="J118" s="366"/>
      <c r="K118" s="365"/>
      <c r="L118" s="374"/>
      <c r="M118" s="372"/>
    </row>
    <row r="119" spans="1:14" ht="15.75" x14ac:dyDescent="0.2">
      <c r="A119" s="13" t="s">
        <v>370</v>
      </c>
      <c r="B119" s="373"/>
      <c r="C119" s="397"/>
      <c r="D119" s="374"/>
      <c r="E119" s="372"/>
      <c r="F119" s="373"/>
      <c r="G119" s="397"/>
      <c r="H119" s="374"/>
      <c r="I119" s="372"/>
      <c r="J119" s="368"/>
      <c r="K119" s="367"/>
      <c r="L119" s="374"/>
      <c r="M119" s="372"/>
    </row>
    <row r="120" spans="1:14" x14ac:dyDescent="0.2">
      <c r="A120" s="21" t="s">
        <v>9</v>
      </c>
      <c r="B120" s="377"/>
      <c r="C120" s="390"/>
      <c r="D120" s="374"/>
      <c r="E120" s="372"/>
      <c r="F120" s="377"/>
      <c r="G120" s="390"/>
      <c r="H120" s="374"/>
      <c r="I120" s="372"/>
      <c r="J120" s="366"/>
      <c r="K120" s="365"/>
      <c r="L120" s="374"/>
      <c r="M120" s="372"/>
    </row>
    <row r="121" spans="1:14" x14ac:dyDescent="0.2">
      <c r="A121" s="21" t="s">
        <v>10</v>
      </c>
      <c r="B121" s="377"/>
      <c r="C121" s="390"/>
      <c r="D121" s="374"/>
      <c r="E121" s="372"/>
      <c r="F121" s="377"/>
      <c r="G121" s="390"/>
      <c r="H121" s="374"/>
      <c r="I121" s="372"/>
      <c r="J121" s="366"/>
      <c r="K121" s="365"/>
      <c r="L121" s="374"/>
      <c r="M121" s="372"/>
    </row>
    <row r="122" spans="1:14" x14ac:dyDescent="0.2">
      <c r="A122" s="21" t="s">
        <v>26</v>
      </c>
      <c r="B122" s="377"/>
      <c r="C122" s="390"/>
      <c r="D122" s="374"/>
      <c r="E122" s="372"/>
      <c r="F122" s="377"/>
      <c r="G122" s="390"/>
      <c r="H122" s="374"/>
      <c r="I122" s="372"/>
      <c r="J122" s="366"/>
      <c r="K122" s="365"/>
      <c r="L122" s="374"/>
      <c r="M122" s="372"/>
    </row>
    <row r="123" spans="1:14" x14ac:dyDescent="0.2">
      <c r="A123" s="296" t="s">
        <v>14</v>
      </c>
      <c r="B123" s="365"/>
      <c r="C123" s="365"/>
      <c r="D123" s="374"/>
      <c r="E123" s="399"/>
      <c r="F123" s="365"/>
      <c r="G123" s="365"/>
      <c r="H123" s="374"/>
      <c r="I123" s="372"/>
      <c r="J123" s="364"/>
      <c r="K123" s="364"/>
      <c r="L123" s="374"/>
      <c r="M123" s="372"/>
    </row>
    <row r="124" spans="1:14" ht="15.75" x14ac:dyDescent="0.2">
      <c r="A124" s="21" t="s">
        <v>396</v>
      </c>
      <c r="B124" s="377"/>
      <c r="C124" s="377"/>
      <c r="D124" s="374"/>
      <c r="E124" s="372"/>
      <c r="F124" s="377"/>
      <c r="G124" s="377"/>
      <c r="H124" s="374"/>
      <c r="I124" s="372"/>
      <c r="J124" s="366"/>
      <c r="K124" s="365"/>
      <c r="L124" s="374"/>
      <c r="M124" s="372"/>
    </row>
    <row r="125" spans="1:14" ht="15.75" x14ac:dyDescent="0.2">
      <c r="A125" s="21" t="s">
        <v>388</v>
      </c>
      <c r="B125" s="377"/>
      <c r="C125" s="377"/>
      <c r="D125" s="374"/>
      <c r="E125" s="372"/>
      <c r="F125" s="377"/>
      <c r="G125" s="377"/>
      <c r="H125" s="374"/>
      <c r="I125" s="372"/>
      <c r="J125" s="366"/>
      <c r="K125" s="365"/>
      <c r="L125" s="374"/>
      <c r="M125" s="372"/>
    </row>
    <row r="126" spans="1:14" ht="15.75" x14ac:dyDescent="0.2">
      <c r="A126" s="10" t="s">
        <v>389</v>
      </c>
      <c r="B126" s="387"/>
      <c r="C126" s="387"/>
      <c r="D126" s="378"/>
      <c r="E126" s="398"/>
      <c r="F126" s="387"/>
      <c r="G126" s="387"/>
      <c r="H126" s="378"/>
      <c r="I126" s="378"/>
      <c r="J126" s="388"/>
      <c r="K126" s="387"/>
      <c r="L126" s="378"/>
      <c r="M126" s="378"/>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358"/>
      <c r="C130" s="358"/>
      <c r="D130" s="358"/>
      <c r="E130" s="359"/>
      <c r="F130" s="358"/>
      <c r="G130" s="358"/>
      <c r="H130" s="358"/>
      <c r="I130" s="359"/>
      <c r="J130" s="358"/>
      <c r="K130" s="358"/>
      <c r="L130" s="358"/>
      <c r="M130" s="359"/>
    </row>
    <row r="131" spans="1:14" s="3" customFormat="1" x14ac:dyDescent="0.2">
      <c r="A131" s="144"/>
      <c r="B131" s="727" t="s">
        <v>0</v>
      </c>
      <c r="C131" s="728"/>
      <c r="D131" s="728"/>
      <c r="E131" s="356"/>
      <c r="F131" s="727" t="s">
        <v>1</v>
      </c>
      <c r="G131" s="728"/>
      <c r="H131" s="728"/>
      <c r="I131" s="357"/>
      <c r="J131" s="727" t="s">
        <v>2</v>
      </c>
      <c r="K131" s="728"/>
      <c r="L131" s="728"/>
      <c r="M131" s="357"/>
      <c r="N131" s="148"/>
    </row>
    <row r="132" spans="1:14" s="3" customFormat="1" x14ac:dyDescent="0.2">
      <c r="A132" s="140"/>
      <c r="B132" s="152" t="s">
        <v>423</v>
      </c>
      <c r="C132" s="152" t="s">
        <v>424</v>
      </c>
      <c r="D132" s="245" t="s">
        <v>3</v>
      </c>
      <c r="E132" s="305" t="s">
        <v>29</v>
      </c>
      <c r="F132" s="152" t="s">
        <v>423</v>
      </c>
      <c r="G132" s="152" t="s">
        <v>424</v>
      </c>
      <c r="H132" s="206" t="s">
        <v>3</v>
      </c>
      <c r="I132" s="305"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367"/>
      <c r="C134" s="368"/>
      <c r="D134" s="371"/>
      <c r="E134" s="372"/>
      <c r="F134" s="362"/>
      <c r="G134" s="363"/>
      <c r="H134" s="400"/>
      <c r="I134" s="372"/>
      <c r="J134" s="380"/>
      <c r="K134" s="380"/>
      <c r="L134" s="371"/>
      <c r="M134" s="372"/>
      <c r="N134" s="148"/>
    </row>
    <row r="135" spans="1:14" s="3" customFormat="1" ht="15.75" x14ac:dyDescent="0.2">
      <c r="A135" s="13" t="s">
        <v>397</v>
      </c>
      <c r="B135" s="367"/>
      <c r="C135" s="368"/>
      <c r="D135" s="374"/>
      <c r="E135" s="372"/>
      <c r="F135" s="367"/>
      <c r="G135" s="368"/>
      <c r="H135" s="401"/>
      <c r="I135" s="372"/>
      <c r="J135" s="373"/>
      <c r="K135" s="373"/>
      <c r="L135" s="374"/>
      <c r="M135" s="372"/>
      <c r="N135" s="148"/>
    </row>
    <row r="136" spans="1:14" s="3" customFormat="1" ht="15.75" x14ac:dyDescent="0.2">
      <c r="A136" s="13" t="s">
        <v>394</v>
      </c>
      <c r="B136" s="367"/>
      <c r="C136" s="368"/>
      <c r="D136" s="374"/>
      <c r="E136" s="372"/>
      <c r="F136" s="367"/>
      <c r="G136" s="368"/>
      <c r="H136" s="401"/>
      <c r="I136" s="372"/>
      <c r="J136" s="373"/>
      <c r="K136" s="373"/>
      <c r="L136" s="374"/>
      <c r="M136" s="372"/>
      <c r="N136" s="148"/>
    </row>
    <row r="137" spans="1:14" s="3" customFormat="1" ht="15.75" x14ac:dyDescent="0.2">
      <c r="A137" s="41" t="s">
        <v>395</v>
      </c>
      <c r="B137" s="369"/>
      <c r="C137" s="370"/>
      <c r="D137" s="378"/>
      <c r="E137" s="398"/>
      <c r="F137" s="369"/>
      <c r="G137" s="370"/>
      <c r="H137" s="402"/>
      <c r="I137" s="398"/>
      <c r="J137" s="379"/>
      <c r="K137" s="379"/>
      <c r="L137" s="378"/>
      <c r="M137" s="378"/>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13">
    <mergeCell ref="J131:L131"/>
    <mergeCell ref="F131:H131"/>
    <mergeCell ref="B131:D131"/>
    <mergeCell ref="J63:L63"/>
    <mergeCell ref="F63:H63"/>
    <mergeCell ref="B63:D63"/>
    <mergeCell ref="B44:D44"/>
    <mergeCell ref="J19:L19"/>
    <mergeCell ref="F19:H19"/>
    <mergeCell ref="B19:D19"/>
    <mergeCell ref="J4:L4"/>
    <mergeCell ref="F4:H4"/>
    <mergeCell ref="B4:D4"/>
  </mergeCells>
  <conditionalFormatting sqref="B50:C52">
    <cfRule type="expression" dxfId="574" priority="132">
      <formula>kvartal &lt; 4</formula>
    </cfRule>
  </conditionalFormatting>
  <conditionalFormatting sqref="B115">
    <cfRule type="expression" dxfId="573" priority="76">
      <formula>kvartal &lt; 4</formula>
    </cfRule>
  </conditionalFormatting>
  <conditionalFormatting sqref="C115">
    <cfRule type="expression" dxfId="572" priority="75">
      <formula>kvartal &lt; 4</formula>
    </cfRule>
  </conditionalFormatting>
  <conditionalFormatting sqref="B123">
    <cfRule type="expression" dxfId="571" priority="74">
      <formula>kvartal &lt; 4</formula>
    </cfRule>
  </conditionalFormatting>
  <conditionalFormatting sqref="C123">
    <cfRule type="expression" dxfId="570" priority="73">
      <formula>kvartal &lt; 4</formula>
    </cfRule>
  </conditionalFormatting>
  <conditionalFormatting sqref="F115">
    <cfRule type="expression" dxfId="569" priority="58">
      <formula>kvartal &lt; 4</formula>
    </cfRule>
  </conditionalFormatting>
  <conditionalFormatting sqref="G115">
    <cfRule type="expression" dxfId="568" priority="57">
      <formula>kvartal &lt; 4</formula>
    </cfRule>
  </conditionalFormatting>
  <conditionalFormatting sqref="F123:G123">
    <cfRule type="expression" dxfId="567" priority="56">
      <formula>kvartal &lt; 4</formula>
    </cfRule>
  </conditionalFormatting>
  <conditionalFormatting sqref="J115:K115">
    <cfRule type="expression" dxfId="566" priority="32">
      <formula>kvartal &lt; 4</formula>
    </cfRule>
  </conditionalFormatting>
  <conditionalFormatting sqref="J123:K123">
    <cfRule type="expression" dxfId="565" priority="31">
      <formula>kvartal &lt; 4</formula>
    </cfRule>
  </conditionalFormatting>
  <conditionalFormatting sqref="A50:A52">
    <cfRule type="expression" dxfId="564" priority="12">
      <formula>kvartal &lt; 4</formula>
    </cfRule>
  </conditionalFormatting>
  <conditionalFormatting sqref="A69:A74">
    <cfRule type="expression" dxfId="563" priority="10">
      <formula>kvartal &lt; 4</formula>
    </cfRule>
  </conditionalFormatting>
  <conditionalFormatting sqref="A80:A85">
    <cfRule type="expression" dxfId="562" priority="9">
      <formula>kvartal &lt; 4</formula>
    </cfRule>
  </conditionalFormatting>
  <conditionalFormatting sqref="A90:A95">
    <cfRule type="expression" dxfId="561" priority="6">
      <formula>kvartal &lt; 4</formula>
    </cfRule>
  </conditionalFormatting>
  <conditionalFormatting sqref="A101:A106">
    <cfRule type="expression" dxfId="560" priority="5">
      <formula>kvartal &lt; 4</formula>
    </cfRule>
  </conditionalFormatting>
  <conditionalFormatting sqref="A115">
    <cfRule type="expression" dxfId="559" priority="4">
      <formula>kvartal &lt; 4</formula>
    </cfRule>
  </conditionalFormatting>
  <conditionalFormatting sqref="A123">
    <cfRule type="expression" dxfId="558" priority="3">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5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Q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7" x14ac:dyDescent="0.2">
      <c r="A1" s="172" t="s">
        <v>137</v>
      </c>
      <c r="B1" s="701"/>
      <c r="C1" s="248" t="s">
        <v>127</v>
      </c>
      <c r="D1" s="26"/>
      <c r="E1" s="26"/>
      <c r="F1" s="26"/>
      <c r="G1" s="26"/>
      <c r="H1" s="26"/>
      <c r="I1" s="26"/>
      <c r="J1" s="26"/>
      <c r="K1" s="26"/>
      <c r="L1" s="26"/>
      <c r="M1" s="26"/>
    </row>
    <row r="2" spans="1:17" ht="15.75" x14ac:dyDescent="0.25">
      <c r="A2" s="165" t="s">
        <v>28</v>
      </c>
      <c r="B2" s="726"/>
      <c r="C2" s="726"/>
      <c r="D2" s="726"/>
      <c r="E2" s="299"/>
      <c r="F2" s="726"/>
      <c r="G2" s="726"/>
      <c r="H2" s="726"/>
      <c r="I2" s="299"/>
      <c r="J2" s="726"/>
      <c r="K2" s="726"/>
      <c r="L2" s="726"/>
      <c r="M2" s="299"/>
    </row>
    <row r="3" spans="1:17" ht="15.75" x14ac:dyDescent="0.25">
      <c r="A3" s="163"/>
      <c r="B3" s="299"/>
      <c r="C3" s="299"/>
      <c r="D3" s="299"/>
      <c r="E3" s="299"/>
      <c r="F3" s="299"/>
      <c r="G3" s="299"/>
      <c r="H3" s="299"/>
      <c r="I3" s="299"/>
      <c r="J3" s="299"/>
      <c r="K3" s="299"/>
      <c r="L3" s="299"/>
      <c r="M3" s="299"/>
    </row>
    <row r="4" spans="1:17" x14ac:dyDescent="0.2">
      <c r="A4" s="144"/>
      <c r="B4" s="727" t="s">
        <v>0</v>
      </c>
      <c r="C4" s="728"/>
      <c r="D4" s="728"/>
      <c r="E4" s="301"/>
      <c r="F4" s="727" t="s">
        <v>1</v>
      </c>
      <c r="G4" s="728"/>
      <c r="H4" s="728"/>
      <c r="I4" s="304"/>
      <c r="J4" s="727" t="s">
        <v>2</v>
      </c>
      <c r="K4" s="728"/>
      <c r="L4" s="728"/>
      <c r="M4" s="304"/>
    </row>
    <row r="5" spans="1:17"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7" x14ac:dyDescent="0.2">
      <c r="A6" s="702"/>
      <c r="B6" s="156"/>
      <c r="C6" s="156"/>
      <c r="D6" s="246" t="s">
        <v>4</v>
      </c>
      <c r="E6" s="156" t="s">
        <v>30</v>
      </c>
      <c r="F6" s="161"/>
      <c r="G6" s="161"/>
      <c r="H6" s="245" t="s">
        <v>4</v>
      </c>
      <c r="I6" s="156" t="s">
        <v>30</v>
      </c>
      <c r="J6" s="161"/>
      <c r="K6" s="161"/>
      <c r="L6" s="245" t="s">
        <v>4</v>
      </c>
      <c r="M6" s="156" t="s">
        <v>30</v>
      </c>
    </row>
    <row r="7" spans="1:17" ht="15.75" x14ac:dyDescent="0.2">
      <c r="A7" s="14" t="s">
        <v>23</v>
      </c>
      <c r="B7" s="306">
        <v>197024</v>
      </c>
      <c r="C7" s="307">
        <v>204971</v>
      </c>
      <c r="D7" s="350">
        <f>IF(B7=0, "    ---- ", IF(ABS(ROUND(100/B7*C7-100,1))&lt;999,ROUND(100/B7*C7-100,1),IF(ROUND(100/B7*C7-100,1)&gt;999,999,-999)))</f>
        <v>4</v>
      </c>
      <c r="E7" s="11">
        <f>IFERROR(100/'Skjema total MA'!C7*C7,0)</f>
        <v>13.185528010440388</v>
      </c>
      <c r="F7" s="306"/>
      <c r="G7" s="307"/>
      <c r="H7" s="350"/>
      <c r="I7" s="160"/>
      <c r="J7" s="308">
        <f t="shared" ref="J7:K10" si="0">SUM(B7,F7)</f>
        <v>197024</v>
      </c>
      <c r="K7" s="309">
        <f t="shared" si="0"/>
        <v>204971</v>
      </c>
      <c r="L7" s="427">
        <f>IF(J7=0, "    ---- ", IF(ABS(ROUND(100/J7*K7-100,1))&lt;999,ROUND(100/J7*K7-100,1),IF(ROUND(100/J7*K7-100,1)&gt;999,999,-999)))</f>
        <v>4</v>
      </c>
      <c r="M7" s="11">
        <f>IFERROR(100/'Skjema total MA'!I7*K7,0)</f>
        <v>5.0151343096424856</v>
      </c>
    </row>
    <row r="8" spans="1:17" ht="15.75" x14ac:dyDescent="0.2">
      <c r="A8" s="21" t="s">
        <v>25</v>
      </c>
      <c r="B8" s="281">
        <v>169144</v>
      </c>
      <c r="C8" s="282">
        <v>176784</v>
      </c>
      <c r="D8" s="166">
        <f t="shared" ref="D8:D10" si="1">IF(B8=0, "    ---- ", IF(ABS(ROUND(100/B8*C8-100,1))&lt;999,ROUND(100/B8*C8-100,1),IF(ROUND(100/B8*C8-100,1)&gt;999,999,-999)))</f>
        <v>4.5</v>
      </c>
      <c r="E8" s="27">
        <f>IFERROR(100/'Skjema total MA'!C8*C8,0)</f>
        <v>17.043473294020732</v>
      </c>
      <c r="F8" s="285"/>
      <c r="G8" s="286"/>
      <c r="H8" s="166"/>
      <c r="I8" s="175"/>
      <c r="J8" s="234">
        <f t="shared" si="0"/>
        <v>169144</v>
      </c>
      <c r="K8" s="287">
        <f t="shared" si="0"/>
        <v>176784</v>
      </c>
      <c r="L8" s="166">
        <f t="shared" ref="L8:L9" si="2">IF(J8=0, "    ---- ", IF(ABS(ROUND(100/J8*K8-100,1))&lt;999,ROUND(100/J8*K8-100,1),IF(ROUND(100/J8*K8-100,1)&gt;999,999,-999)))</f>
        <v>4.5</v>
      </c>
      <c r="M8" s="27">
        <f>IFERROR(100/'Skjema total MA'!I8*K8,0)</f>
        <v>17.043473294020732</v>
      </c>
    </row>
    <row r="9" spans="1:17" ht="15.75" x14ac:dyDescent="0.2">
      <c r="A9" s="21" t="s">
        <v>24</v>
      </c>
      <c r="B9" s="281">
        <v>27879</v>
      </c>
      <c r="C9" s="282">
        <v>28187</v>
      </c>
      <c r="D9" s="166">
        <f t="shared" si="1"/>
        <v>1.1000000000000001</v>
      </c>
      <c r="E9" s="27">
        <f>IFERROR(100/'Skjema total MA'!C9*C9,0)</f>
        <v>8.4545621589217088</v>
      </c>
      <c r="F9" s="285"/>
      <c r="G9" s="286"/>
      <c r="H9" s="166"/>
      <c r="I9" s="175"/>
      <c r="J9" s="234">
        <f t="shared" si="0"/>
        <v>27879</v>
      </c>
      <c r="K9" s="287">
        <f t="shared" si="0"/>
        <v>28187</v>
      </c>
      <c r="L9" s="166">
        <f t="shared" si="2"/>
        <v>1.1000000000000001</v>
      </c>
      <c r="M9" s="27">
        <f>IFERROR(100/'Skjema total MA'!I9*K9,0)</f>
        <v>8.4545621589217088</v>
      </c>
    </row>
    <row r="10" spans="1:17" ht="15.75" x14ac:dyDescent="0.2">
      <c r="A10" s="13" t="s">
        <v>368</v>
      </c>
      <c r="B10" s="310">
        <v>221250</v>
      </c>
      <c r="C10" s="311">
        <v>220161</v>
      </c>
      <c r="D10" s="171">
        <f t="shared" si="1"/>
        <v>-0.5</v>
      </c>
      <c r="E10" s="11">
        <f>IFERROR(100/'Skjema total MA'!C10*C10,0)</f>
        <v>1.1677965784828532</v>
      </c>
      <c r="F10" s="310"/>
      <c r="G10" s="311"/>
      <c r="H10" s="171"/>
      <c r="I10" s="160"/>
      <c r="J10" s="308">
        <f t="shared" si="0"/>
        <v>221250</v>
      </c>
      <c r="K10" s="309">
        <f t="shared" si="0"/>
        <v>220161</v>
      </c>
      <c r="L10" s="428">
        <f t="shared" ref="L10" si="3">IF(J10=0, "    ---- ", IF(ABS(ROUND(100/J10*K10-100,1))&lt;999,ROUND(100/J10*K10-100,1),IF(ROUND(100/J10*K10-100,1)&gt;999,999,-999)))</f>
        <v>-0.5</v>
      </c>
      <c r="M10" s="11">
        <f>IFERROR(100/'Skjema total MA'!I10*K10,0)</f>
        <v>0.33631512085176546</v>
      </c>
    </row>
    <row r="11" spans="1:17" s="43" customFormat="1" ht="15.75" x14ac:dyDescent="0.2">
      <c r="A11" s="13" t="s">
        <v>369</v>
      </c>
      <c r="B11" s="310"/>
      <c r="C11" s="311"/>
      <c r="D11" s="171"/>
      <c r="E11" s="11"/>
      <c r="F11" s="310"/>
      <c r="G11" s="311"/>
      <c r="H11" s="171"/>
      <c r="I11" s="160"/>
      <c r="J11" s="308"/>
      <c r="K11" s="309"/>
      <c r="L11" s="428"/>
      <c r="M11" s="11"/>
      <c r="N11" s="143"/>
      <c r="Q11" s="143"/>
    </row>
    <row r="12" spans="1:17" s="43" customFormat="1" ht="15.75" x14ac:dyDescent="0.2">
      <c r="A12" s="41" t="s">
        <v>370</v>
      </c>
      <c r="B12" s="312"/>
      <c r="C12" s="313"/>
      <c r="D12" s="169"/>
      <c r="E12" s="36"/>
      <c r="F12" s="312"/>
      <c r="G12" s="313"/>
      <c r="H12" s="169"/>
      <c r="I12" s="169"/>
      <c r="J12" s="314"/>
      <c r="K12" s="315"/>
      <c r="L12" s="429"/>
      <c r="M12" s="36"/>
      <c r="N12" s="143"/>
    </row>
    <row r="13" spans="1:17" s="43" customFormat="1" x14ac:dyDescent="0.2">
      <c r="A13" s="168"/>
      <c r="B13" s="145"/>
      <c r="C13" s="33"/>
      <c r="D13" s="159"/>
      <c r="E13" s="159"/>
      <c r="F13" s="145"/>
      <c r="G13" s="33"/>
      <c r="H13" s="159"/>
      <c r="I13" s="159"/>
      <c r="J13" s="48"/>
      <c r="K13" s="48"/>
      <c r="L13" s="159"/>
      <c r="M13" s="159"/>
      <c r="N13" s="143"/>
    </row>
    <row r="14" spans="1:17" x14ac:dyDescent="0.2">
      <c r="A14" s="153" t="s">
        <v>278</v>
      </c>
      <c r="B14" s="26"/>
    </row>
    <row r="15" spans="1:17" x14ac:dyDescent="0.2">
      <c r="F15" s="146"/>
      <c r="G15" s="146"/>
      <c r="H15" s="146"/>
      <c r="I15" s="146"/>
      <c r="J15" s="146"/>
      <c r="K15" s="146"/>
      <c r="L15" s="146"/>
      <c r="M15" s="146"/>
    </row>
    <row r="16" spans="1:17"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183923</v>
      </c>
      <c r="C22" s="310">
        <v>193277</v>
      </c>
      <c r="D22" s="350">
        <f t="shared" ref="D22:D33" si="4">IF(B22=0, "    ---- ", IF(ABS(ROUND(100/B22*C22-100,1))&lt;999,ROUND(100/B22*C22-100,1),IF(ROUND(100/B22*C22-100,1)&gt;999,999,-999)))</f>
        <v>5.0999999999999996</v>
      </c>
      <c r="E22" s="11">
        <f>IFERROR(100/'Skjema total MA'!C22*C22,0)</f>
        <v>27.830503872284869</v>
      </c>
      <c r="F22" s="318">
        <v>3183</v>
      </c>
      <c r="G22" s="318">
        <v>3454</v>
      </c>
      <c r="H22" s="350">
        <f t="shared" ref="H22:H29" si="5">IF(F22=0, "    ---- ", IF(ABS(ROUND(100/F22*G22-100,1))&lt;999,ROUND(100/F22*G22-100,1),IF(ROUND(100/F22*G22-100,1)&gt;999,999,-999)))</f>
        <v>8.5</v>
      </c>
      <c r="I22" s="11">
        <f>IFERROR(100/'Skjema total MA'!F22*G22,0)</f>
        <v>1.0340245272231461</v>
      </c>
      <c r="J22" s="316">
        <f t="shared" ref="J22:K29" si="6">SUM(B22,F22)</f>
        <v>187106</v>
      </c>
      <c r="K22" s="316">
        <f t="shared" si="6"/>
        <v>196731</v>
      </c>
      <c r="L22" s="427">
        <f t="shared" ref="L22:L29" si="7">IF(J22=0, "    ---- ", IF(ABS(ROUND(100/J22*K22-100,1))&lt;999,ROUND(100/J22*K22-100,1),IF(ROUND(100/J22*K22-100,1)&gt;999,999,-999)))</f>
        <v>5.0999999999999996</v>
      </c>
      <c r="M22" s="24">
        <f>IFERROR(100/'Skjema total MA'!I22*K22,0)</f>
        <v>19.127700183673436</v>
      </c>
    </row>
    <row r="23" spans="1:14" ht="15.75" x14ac:dyDescent="0.2">
      <c r="A23" s="583" t="s">
        <v>371</v>
      </c>
      <c r="B23" s="281">
        <v>183373</v>
      </c>
      <c r="C23" s="281">
        <v>192927</v>
      </c>
      <c r="D23" s="166">
        <f t="shared" si="4"/>
        <v>5.2</v>
      </c>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v>550</v>
      </c>
      <c r="C25" s="281">
        <v>350</v>
      </c>
      <c r="D25" s="166">
        <f t="shared" si="4"/>
        <v>-36.4</v>
      </c>
      <c r="E25" s="11">
        <f>IFERROR(100/'Skjema total MA'!C25*C25,0)</f>
        <v>3.4189704014848101</v>
      </c>
      <c r="F25" s="290">
        <v>1002</v>
      </c>
      <c r="G25" s="290">
        <v>893</v>
      </c>
      <c r="H25" s="166">
        <f t="shared" ref="H25:H26" si="8">IF(F25=0, "    ---- ", IF(ABS(ROUND(100/F25*G25-100,1))&lt;999,ROUND(100/F25*G25-100,1),IF(ROUND(100/F25*G25-100,1)&gt;999,999,-999)))</f>
        <v>-10.9</v>
      </c>
      <c r="I25" s="417">
        <f>IFERROR(100/'Skjema total MA'!F25*G25,0)</f>
        <v>9.7594313078613251</v>
      </c>
      <c r="J25" s="290">
        <f t="shared" ref="J25:J26" si="9">SUM(B25,F25)</f>
        <v>1552</v>
      </c>
      <c r="K25" s="290">
        <f t="shared" ref="K25:K26" si="10">SUM(C25,G25)</f>
        <v>1243</v>
      </c>
      <c r="L25" s="166">
        <f t="shared" ref="L25:L26" si="11">IF(J25=0, "    ---- ", IF(ABS(ROUND(100/J25*K25-100,1))&lt;999,ROUND(100/J25*K25-100,1),IF(ROUND(100/J25*K25-100,1)&gt;999,999,-999)))</f>
        <v>-19.899999999999999</v>
      </c>
      <c r="M25" s="23">
        <f>IFERROR(100/'Skjema total MA'!I25*K25,0)</f>
        <v>6.4114720863084713</v>
      </c>
    </row>
    <row r="26" spans="1:14" ht="15.75" x14ac:dyDescent="0.2">
      <c r="A26" s="583" t="s">
        <v>374</v>
      </c>
      <c r="B26" s="281"/>
      <c r="C26" s="281"/>
      <c r="D26" s="166"/>
      <c r="E26" s="11">
        <f>IFERROR(100/'Skjema total MA'!C26*C26,0)</f>
        <v>0</v>
      </c>
      <c r="F26" s="290">
        <v>2181</v>
      </c>
      <c r="G26" s="290">
        <v>2561</v>
      </c>
      <c r="H26" s="166">
        <f t="shared" si="8"/>
        <v>17.399999999999999</v>
      </c>
      <c r="I26" s="417">
        <f>IFERROR(100/'Skjema total MA'!F26*G26,0)</f>
        <v>0.86340902677534825</v>
      </c>
      <c r="J26" s="290">
        <f t="shared" si="9"/>
        <v>2181</v>
      </c>
      <c r="K26" s="290">
        <f t="shared" si="10"/>
        <v>2561</v>
      </c>
      <c r="L26" s="166">
        <f t="shared" si="11"/>
        <v>17.399999999999999</v>
      </c>
      <c r="M26" s="23">
        <f>IFERROR(100/'Skjema total MA'!I26*K26,0)</f>
        <v>0.86340902677534825</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183373</v>
      </c>
      <c r="C28" s="287">
        <v>192927</v>
      </c>
      <c r="D28" s="166">
        <f t="shared" si="4"/>
        <v>5.2</v>
      </c>
      <c r="E28" s="11"/>
      <c r="F28" s="234"/>
      <c r="G28" s="287"/>
      <c r="H28" s="166"/>
      <c r="I28" s="27"/>
      <c r="J28" s="44"/>
      <c r="K28" s="44"/>
      <c r="L28" s="254"/>
      <c r="M28" s="23"/>
    </row>
    <row r="29" spans="1:14" s="3" customFormat="1" ht="15.75" x14ac:dyDescent="0.2">
      <c r="A29" s="13" t="s">
        <v>368</v>
      </c>
      <c r="B29" s="236">
        <v>709817.79</v>
      </c>
      <c r="C29" s="236">
        <v>799954</v>
      </c>
      <c r="D29" s="171">
        <f t="shared" si="4"/>
        <v>12.7</v>
      </c>
      <c r="E29" s="11">
        <f>IFERROR(100/'Skjema total MA'!C29*C29,0)</f>
        <v>1.7081782573556088</v>
      </c>
      <c r="F29" s="308">
        <v>136676</v>
      </c>
      <c r="G29" s="308">
        <v>154473</v>
      </c>
      <c r="H29" s="171">
        <f t="shared" si="5"/>
        <v>13</v>
      </c>
      <c r="I29" s="11">
        <f>IFERROR(100/'Skjema total MA'!F29*G29,0)</f>
        <v>0.76899007327419899</v>
      </c>
      <c r="J29" s="236">
        <f t="shared" si="6"/>
        <v>846493.79</v>
      </c>
      <c r="K29" s="236">
        <f t="shared" si="6"/>
        <v>954427</v>
      </c>
      <c r="L29" s="428">
        <f t="shared" si="7"/>
        <v>12.8</v>
      </c>
      <c r="M29" s="24">
        <f>IFERROR(100/'Skjema total MA'!I29*K29,0)</f>
        <v>1.4262506497244509</v>
      </c>
      <c r="N29" s="148"/>
    </row>
    <row r="30" spans="1:14" s="3" customFormat="1" ht="15.75" x14ac:dyDescent="0.2">
      <c r="A30" s="583" t="s">
        <v>371</v>
      </c>
      <c r="B30" s="281">
        <v>707776.29</v>
      </c>
      <c r="C30" s="281">
        <v>797938</v>
      </c>
      <c r="D30" s="166">
        <f t="shared" si="4"/>
        <v>12.7</v>
      </c>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v>2041.5</v>
      </c>
      <c r="C32" s="281">
        <v>2016</v>
      </c>
      <c r="D32" s="166">
        <f t="shared" si="4"/>
        <v>-1.2</v>
      </c>
      <c r="E32" s="11">
        <f>IFERROR(100/'Skjema total MA'!C32*C32,0)</f>
        <v>6.7694942427839577E-2</v>
      </c>
      <c r="F32" s="290">
        <v>108911</v>
      </c>
      <c r="G32" s="290">
        <v>116308</v>
      </c>
      <c r="H32" s="166">
        <f t="shared" ref="H32:H33" si="12">IF(F32=0, "    ---- ", IF(ABS(ROUND(100/F32*G32-100,1))&lt;999,ROUND(100/F32*G32-100,1),IF(ROUND(100/F32*G32-100,1)&gt;999,999,-999)))</f>
        <v>6.8</v>
      </c>
      <c r="I32" s="417">
        <f>IFERROR(100/'Skjema total MA'!F32*G32,0)</f>
        <v>2.7263693868219758</v>
      </c>
      <c r="J32" s="290">
        <f t="shared" ref="J32:J33" si="13">SUM(B32,F32)</f>
        <v>110952.5</v>
      </c>
      <c r="K32" s="290">
        <f t="shared" ref="K32:K33" si="14">SUM(C32,G32)</f>
        <v>118324</v>
      </c>
      <c r="L32" s="166">
        <f t="shared" ref="L32:L33" si="15">IF(J32=0, "    ---- ", IF(ABS(ROUND(100/J32*K32-100,1))&lt;999,ROUND(100/J32*K32-100,1),IF(ROUND(100/J32*K32-100,1)&gt;999,999,-999)))</f>
        <v>6.6</v>
      </c>
      <c r="M32" s="23">
        <f>IFERROR(100/'Skjema total MA'!I32*K32,0)</f>
        <v>1.6333831489245119</v>
      </c>
    </row>
    <row r="33" spans="1:14" ht="15.75" x14ac:dyDescent="0.2">
      <c r="A33" s="583" t="s">
        <v>374</v>
      </c>
      <c r="B33" s="281"/>
      <c r="C33" s="281"/>
      <c r="D33" s="166" t="str">
        <f t="shared" si="4"/>
        <v xml:space="preserve">    ---- </v>
      </c>
      <c r="E33" s="11">
        <f>IFERROR(100/'Skjema total MA'!C33*C33,0)</f>
        <v>0</v>
      </c>
      <c r="F33" s="290">
        <v>27765</v>
      </c>
      <c r="G33" s="290">
        <v>38165</v>
      </c>
      <c r="H33" s="166">
        <f t="shared" si="12"/>
        <v>37.5</v>
      </c>
      <c r="I33" s="417">
        <f>IFERROR(100/'Skjema total MA'!F34*G33,0)</f>
        <v>339.8925131183704</v>
      </c>
      <c r="J33" s="290">
        <f t="shared" si="13"/>
        <v>27765</v>
      </c>
      <c r="K33" s="290">
        <f t="shared" si="14"/>
        <v>38165</v>
      </c>
      <c r="L33" s="166">
        <f t="shared" si="15"/>
        <v>37.5</v>
      </c>
      <c r="M33" s="23">
        <f>IFERROR(100/'Skjema total MA'!I34*K33,0)</f>
        <v>215.99350529233635</v>
      </c>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33252</v>
      </c>
      <c r="C47" s="311">
        <v>33000</v>
      </c>
      <c r="D47" s="427">
        <f t="shared" ref="D47:D48" si="16">IF(B47=0, "    ---- ", IF(ABS(ROUND(100/B47*C47-100,1))&lt;999,ROUND(100/B47*C47-100,1),IF(ROUND(100/B47*C47-100,1)&gt;999,999,-999)))</f>
        <v>-0.8</v>
      </c>
      <c r="E47" s="11">
        <f>IFERROR(100/'Skjema total MA'!C47*C47,0)</f>
        <v>1.1436071020228333</v>
      </c>
      <c r="F47" s="145"/>
      <c r="G47" s="33"/>
      <c r="H47" s="159"/>
      <c r="I47" s="159"/>
      <c r="J47" s="37"/>
      <c r="K47" s="37"/>
      <c r="L47" s="159"/>
      <c r="M47" s="159"/>
      <c r="N47" s="148"/>
    </row>
    <row r="48" spans="1:14" s="3" customFormat="1" ht="15.75" x14ac:dyDescent="0.2">
      <c r="A48" s="38" t="s">
        <v>379</v>
      </c>
      <c r="B48" s="281">
        <v>33252</v>
      </c>
      <c r="C48" s="282">
        <v>33000</v>
      </c>
      <c r="D48" s="254">
        <f t="shared" si="16"/>
        <v>-0.8</v>
      </c>
      <c r="E48" s="27">
        <f>IFERROR(100/'Skjema total MA'!C48*C48,0)</f>
        <v>2.1043744191216169</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79228</v>
      </c>
      <c r="C66" s="353">
        <v>77386</v>
      </c>
      <c r="D66" s="350">
        <f t="shared" ref="D66:D111" si="17">IF(B66=0, "    ---- ", IF(ABS(ROUND(100/B66*C66-100,1))&lt;999,ROUND(100/B66*C66-100,1),IF(ROUND(100/B66*C66-100,1)&gt;999,999,-999)))</f>
        <v>-2.2999999999999998</v>
      </c>
      <c r="E66" s="11">
        <f>IFERROR(100/'Skjema total MA'!C66*C66,0)</f>
        <v>2.2196700272142085</v>
      </c>
      <c r="F66" s="352">
        <v>93128</v>
      </c>
      <c r="G66" s="352">
        <v>102317</v>
      </c>
      <c r="H66" s="350">
        <f t="shared" ref="H66:H111" si="18">IF(F66=0, "    ---- ", IF(ABS(ROUND(100/F66*G66-100,1))&lt;999,ROUND(100/F66*G66-100,1),IF(ROUND(100/F66*G66-100,1)&gt;999,999,-999)))</f>
        <v>9.9</v>
      </c>
      <c r="I66" s="11">
        <f>IFERROR(100/'Skjema total MA'!F66*G66,0)</f>
        <v>1.1636164308094765</v>
      </c>
      <c r="J66" s="309">
        <f t="shared" ref="J66:K79" si="19">SUM(B66,F66)</f>
        <v>172356</v>
      </c>
      <c r="K66" s="316">
        <f t="shared" si="19"/>
        <v>179703</v>
      </c>
      <c r="L66" s="428">
        <f t="shared" ref="L66:L111" si="20">IF(J66=0, "    ---- ", IF(ABS(ROUND(100/J66*K66-100,1))&lt;999,ROUND(100/J66*K66-100,1),IF(ROUND(100/J66*K66-100,1)&gt;999,999,-999)))</f>
        <v>4.3</v>
      </c>
      <c r="M66" s="11">
        <f>IFERROR(100/'Skjema total MA'!I66*K66,0)</f>
        <v>1.4634519521368576</v>
      </c>
    </row>
    <row r="67" spans="1:14" x14ac:dyDescent="0.2">
      <c r="A67" s="419" t="s">
        <v>9</v>
      </c>
      <c r="B67" s="44"/>
      <c r="C67" s="145"/>
      <c r="D67" s="166"/>
      <c r="E67" s="27"/>
      <c r="F67" s="234"/>
      <c r="G67" s="145"/>
      <c r="H67" s="166"/>
      <c r="I67" s="27"/>
      <c r="J67" s="287"/>
      <c r="K67" s="44"/>
      <c r="L67" s="254"/>
      <c r="M67" s="27"/>
    </row>
    <row r="68" spans="1:14" x14ac:dyDescent="0.2">
      <c r="A68" s="21" t="s">
        <v>10</v>
      </c>
      <c r="B68" s="292">
        <v>79228</v>
      </c>
      <c r="C68" s="293">
        <v>77386</v>
      </c>
      <c r="D68" s="166">
        <f t="shared" si="17"/>
        <v>-2.2999999999999998</v>
      </c>
      <c r="E68" s="27">
        <f>IFERROR(100/'Skjema total MA'!C68*C68,0)</f>
        <v>82.302226629778872</v>
      </c>
      <c r="F68" s="292">
        <v>93128</v>
      </c>
      <c r="G68" s="293">
        <v>102317</v>
      </c>
      <c r="H68" s="166">
        <f t="shared" si="18"/>
        <v>9.9</v>
      </c>
      <c r="I68" s="27">
        <f>IFERROR(100/'Skjema total MA'!F68*G68,0)</f>
        <v>1.2099740761094906</v>
      </c>
      <c r="J68" s="287">
        <f t="shared" si="19"/>
        <v>172356</v>
      </c>
      <c r="K68" s="44">
        <f t="shared" si="19"/>
        <v>179703</v>
      </c>
      <c r="L68" s="254">
        <f t="shared" si="20"/>
        <v>4.3</v>
      </c>
      <c r="M68" s="27">
        <f>IFERROR(100/'Skjema total MA'!I68*K68,0)</f>
        <v>2.1017505848972688</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v>79228</v>
      </c>
      <c r="C77" s="234">
        <v>77386</v>
      </c>
      <c r="D77" s="166">
        <f t="shared" si="17"/>
        <v>-2.2999999999999998</v>
      </c>
      <c r="E77" s="27">
        <f>IFERROR(100/'Skjema total MA'!C77*C77,0)</f>
        <v>2.823571960739395</v>
      </c>
      <c r="F77" s="234">
        <v>93128</v>
      </c>
      <c r="G77" s="145">
        <v>102317</v>
      </c>
      <c r="H77" s="166">
        <f t="shared" si="18"/>
        <v>9.9</v>
      </c>
      <c r="I77" s="27">
        <f>IFERROR(100/'Skjema total MA'!F77*G77,0)</f>
        <v>1.2106950839210922</v>
      </c>
      <c r="J77" s="287">
        <f t="shared" si="19"/>
        <v>172356</v>
      </c>
      <c r="K77" s="44">
        <f t="shared" si="19"/>
        <v>179703</v>
      </c>
      <c r="L77" s="254">
        <f t="shared" si="20"/>
        <v>4.3</v>
      </c>
      <c r="M77" s="27">
        <f>IFERROR(100/'Skjema total MA'!I77*K77,0)</f>
        <v>1.605665421995635</v>
      </c>
    </row>
    <row r="78" spans="1:14" x14ac:dyDescent="0.2">
      <c r="A78" s="21" t="s">
        <v>9</v>
      </c>
      <c r="B78" s="234"/>
      <c r="C78" s="145"/>
      <c r="D78" s="166"/>
      <c r="E78" s="27"/>
      <c r="F78" s="234"/>
      <c r="G78" s="145"/>
      <c r="H78" s="166"/>
      <c r="I78" s="27"/>
      <c r="J78" s="287"/>
      <c r="K78" s="44"/>
      <c r="L78" s="254"/>
      <c r="M78" s="27"/>
    </row>
    <row r="79" spans="1:14" x14ac:dyDescent="0.2">
      <c r="A79" s="21" t="s">
        <v>10</v>
      </c>
      <c r="B79" s="292">
        <v>79228</v>
      </c>
      <c r="C79" s="293">
        <v>77386</v>
      </c>
      <c r="D79" s="166">
        <f t="shared" si="17"/>
        <v>-2.2999999999999998</v>
      </c>
      <c r="E79" s="27">
        <f>IFERROR(100/'Skjema total MA'!C79*C79,0)</f>
        <v>83.112788886135348</v>
      </c>
      <c r="F79" s="292">
        <v>93128</v>
      </c>
      <c r="G79" s="293">
        <v>102317</v>
      </c>
      <c r="H79" s="166">
        <f t="shared" si="18"/>
        <v>9.9</v>
      </c>
      <c r="I79" s="27">
        <f>IFERROR(100/'Skjema total MA'!F79*G79,0)</f>
        <v>1.2106950839210922</v>
      </c>
      <c r="J79" s="287">
        <f t="shared" si="19"/>
        <v>172356</v>
      </c>
      <c r="K79" s="44">
        <f t="shared" si="19"/>
        <v>179703</v>
      </c>
      <c r="L79" s="254">
        <f t="shared" si="20"/>
        <v>4.3</v>
      </c>
      <c r="M79" s="27">
        <f>IFERROR(100/'Skjema total MA'!I79*K79,0)</f>
        <v>2.1032149114633469</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v>223035</v>
      </c>
      <c r="C87" s="353">
        <v>223718</v>
      </c>
      <c r="D87" s="171">
        <f t="shared" si="17"/>
        <v>0.3</v>
      </c>
      <c r="E87" s="11">
        <f>IFERROR(100/'Skjema total MA'!C87*C87,0)</f>
        <v>5.6975820418255212E-2</v>
      </c>
      <c r="F87" s="352">
        <v>3494454</v>
      </c>
      <c r="G87" s="352">
        <v>3709469</v>
      </c>
      <c r="H87" s="171">
        <f t="shared" si="18"/>
        <v>6.2</v>
      </c>
      <c r="I87" s="11">
        <f>IFERROR(100/'Skjema total MA'!F87*G87,0)</f>
        <v>1.3235858917876346</v>
      </c>
      <c r="J87" s="309">
        <f t="shared" ref="J87:K111" si="21">SUM(B87,F87)</f>
        <v>3717489</v>
      </c>
      <c r="K87" s="236">
        <f t="shared" si="21"/>
        <v>3933187</v>
      </c>
      <c r="L87" s="428">
        <f t="shared" si="20"/>
        <v>5.8</v>
      </c>
      <c r="M87" s="11">
        <f>IFERROR(100/'Skjema total MA'!I87*K87,0)</f>
        <v>0.58450128822079594</v>
      </c>
    </row>
    <row r="88" spans="1:13" x14ac:dyDescent="0.2">
      <c r="A88" s="21" t="s">
        <v>9</v>
      </c>
      <c r="B88" s="234"/>
      <c r="C88" s="145"/>
      <c r="D88" s="166"/>
      <c r="E88" s="27"/>
      <c r="F88" s="234"/>
      <c r="G88" s="145"/>
      <c r="H88" s="166"/>
      <c r="I88" s="27"/>
      <c r="J88" s="287"/>
      <c r="K88" s="44"/>
      <c r="L88" s="254"/>
      <c r="M88" s="27"/>
    </row>
    <row r="89" spans="1:13" x14ac:dyDescent="0.2">
      <c r="A89" s="21" t="s">
        <v>10</v>
      </c>
      <c r="B89" s="234">
        <v>223035</v>
      </c>
      <c r="C89" s="145">
        <v>223718</v>
      </c>
      <c r="D89" s="166">
        <f t="shared" si="17"/>
        <v>0.3</v>
      </c>
      <c r="E89" s="27">
        <f>IFERROR(100/'Skjema total MA'!C89*C89,0)</f>
        <v>7.2158594762423984</v>
      </c>
      <c r="F89" s="234">
        <v>3494454</v>
      </c>
      <c r="G89" s="145">
        <v>3709469</v>
      </c>
      <c r="H89" s="166">
        <f t="shared" si="18"/>
        <v>6.2</v>
      </c>
      <c r="I89" s="27">
        <f>IFERROR(100/'Skjema total MA'!F89*G89,0)</f>
        <v>1.3314834096287287</v>
      </c>
      <c r="J89" s="287">
        <f t="shared" si="21"/>
        <v>3717489</v>
      </c>
      <c r="K89" s="44">
        <f t="shared" si="21"/>
        <v>3933187</v>
      </c>
      <c r="L89" s="254">
        <f t="shared" si="20"/>
        <v>5.8</v>
      </c>
      <c r="M89" s="27">
        <f>IFERROR(100/'Skjema total MA'!I89*K89,0)</f>
        <v>1.3962470034799344</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v>223035</v>
      </c>
      <c r="C98" s="234">
        <v>223718</v>
      </c>
      <c r="D98" s="166">
        <f t="shared" si="17"/>
        <v>0.3</v>
      </c>
      <c r="E98" s="27">
        <f>IFERROR(100/'Skjema total MA'!C98*C98,0)</f>
        <v>5.8827582727998082E-2</v>
      </c>
      <c r="F98" s="292">
        <v>3494454</v>
      </c>
      <c r="G98" s="292">
        <v>3709469</v>
      </c>
      <c r="H98" s="166">
        <f t="shared" si="18"/>
        <v>6.2</v>
      </c>
      <c r="I98" s="27">
        <f>IFERROR(100/'Skjema total MA'!F98*G98,0)</f>
        <v>1.3352321440781796</v>
      </c>
      <c r="J98" s="287">
        <f t="shared" si="21"/>
        <v>3717489</v>
      </c>
      <c r="K98" s="44">
        <f t="shared" si="21"/>
        <v>3933187</v>
      </c>
      <c r="L98" s="254">
        <f t="shared" si="20"/>
        <v>5.8</v>
      </c>
      <c r="M98" s="27">
        <f>IFERROR(100/'Skjema total MA'!I98*K98,0)</f>
        <v>0.59764984283582789</v>
      </c>
    </row>
    <row r="99" spans="1:13" x14ac:dyDescent="0.2">
      <c r="A99" s="21" t="s">
        <v>9</v>
      </c>
      <c r="B99" s="292"/>
      <c r="C99" s="293"/>
      <c r="D99" s="166"/>
      <c r="E99" s="27"/>
      <c r="F99" s="234"/>
      <c r="G99" s="145"/>
      <c r="H99" s="166"/>
      <c r="I99" s="27"/>
      <c r="J99" s="287"/>
      <c r="K99" s="44"/>
      <c r="L99" s="254"/>
      <c r="M99" s="27"/>
    </row>
    <row r="100" spans="1:13" x14ac:dyDescent="0.2">
      <c r="A100" s="21" t="s">
        <v>10</v>
      </c>
      <c r="B100" s="292">
        <v>223035</v>
      </c>
      <c r="C100" s="293">
        <v>223718</v>
      </c>
      <c r="D100" s="166">
        <f t="shared" si="17"/>
        <v>0.3</v>
      </c>
      <c r="E100" s="27">
        <f>IFERROR(100/'Skjema total MA'!C100*C100,0)</f>
        <v>7.2158594762423984</v>
      </c>
      <c r="F100" s="234">
        <v>3494454</v>
      </c>
      <c r="G100" s="234">
        <v>3709469</v>
      </c>
      <c r="H100" s="166">
        <f t="shared" si="18"/>
        <v>6.2</v>
      </c>
      <c r="I100" s="27">
        <f>IFERROR(100/'Skjema total MA'!F100*G100,0)</f>
        <v>1.3352321440781796</v>
      </c>
      <c r="J100" s="287">
        <f t="shared" si="21"/>
        <v>3717489</v>
      </c>
      <c r="K100" s="44">
        <f t="shared" si="21"/>
        <v>3933187</v>
      </c>
      <c r="L100" s="254">
        <f t="shared" si="20"/>
        <v>5.8</v>
      </c>
      <c r="M100" s="27">
        <f>IFERROR(100/'Skjema total MA'!I100*K100,0)</f>
        <v>1.4001346910867314</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v>1186639.868</v>
      </c>
      <c r="G109" s="234">
        <v>1288051</v>
      </c>
      <c r="H109" s="166">
        <f t="shared" si="18"/>
        <v>8.5</v>
      </c>
      <c r="I109" s="27">
        <f>IFERROR(100/'Skjema total MA'!F109*G109,0)</f>
        <v>1.3245401201987799</v>
      </c>
      <c r="J109" s="287">
        <f t="shared" si="21"/>
        <v>1186639.868</v>
      </c>
      <c r="K109" s="44">
        <f t="shared" si="21"/>
        <v>1288051</v>
      </c>
      <c r="L109" s="254">
        <f t="shared" si="20"/>
        <v>8.5</v>
      </c>
      <c r="M109" s="27">
        <f>IFERROR(100/'Skjema total MA'!I109*K109,0)</f>
        <v>1.3099034539269183</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267.77300000000002</v>
      </c>
      <c r="C111" s="159">
        <v>454</v>
      </c>
      <c r="D111" s="171">
        <f t="shared" si="17"/>
        <v>69.5</v>
      </c>
      <c r="E111" s="11">
        <f>IFERROR(100/'Skjema total MA'!C111*C111,0)</f>
        <v>0.11498616006201641</v>
      </c>
      <c r="F111" s="308">
        <v>30138.498</v>
      </c>
      <c r="G111" s="159">
        <v>39356</v>
      </c>
      <c r="H111" s="171">
        <f t="shared" si="18"/>
        <v>30.6</v>
      </c>
      <c r="I111" s="11">
        <f>IFERROR(100/'Skjema total MA'!F111*G111,0)</f>
        <v>0.44124618238374558</v>
      </c>
      <c r="J111" s="309">
        <f t="shared" si="21"/>
        <v>30406.271000000001</v>
      </c>
      <c r="K111" s="236">
        <f t="shared" si="21"/>
        <v>39810</v>
      </c>
      <c r="L111" s="428">
        <f t="shared" si="20"/>
        <v>30.9</v>
      </c>
      <c r="M111" s="11">
        <f>IFERROR(100/'Skjema total MA'!I111*K111,0)</f>
        <v>0.42741585088266548</v>
      </c>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v>267.77300000000002</v>
      </c>
      <c r="C113" s="145">
        <v>454</v>
      </c>
      <c r="D113" s="166">
        <f t="shared" ref="D113:D121" si="22">IF(B113=0, "    ---- ", IF(ABS(ROUND(100/B113*C113-100,1))&lt;999,ROUND(100/B113*C113-100,1),IF(ROUND(100/B113*C113-100,1)&gt;999,999,-999)))</f>
        <v>69.5</v>
      </c>
      <c r="E113" s="27">
        <f>IFERROR(100/'Skjema total MA'!C113*C113,0)</f>
        <v>10.864864072282149</v>
      </c>
      <c r="F113" s="234">
        <v>30138.498</v>
      </c>
      <c r="G113" s="145">
        <v>39356</v>
      </c>
      <c r="H113" s="166">
        <f t="shared" ref="H113:H121" si="23">IF(F113=0, "    ---- ", IF(ABS(ROUND(100/F113*G113-100,1))&lt;999,ROUND(100/F113*G113-100,1),IF(ROUND(100/F113*G113-100,1)&gt;999,999,-999)))</f>
        <v>30.6</v>
      </c>
      <c r="I113" s="27">
        <f>IFERROR(100/'Skjema total MA'!F113*G113,0)</f>
        <v>0.44482151948626852</v>
      </c>
      <c r="J113" s="287">
        <f t="shared" ref="J113:K121" si="24">SUM(B113,F113)</f>
        <v>30406.271000000001</v>
      </c>
      <c r="K113" s="44">
        <f t="shared" si="24"/>
        <v>39810</v>
      </c>
      <c r="L113" s="254">
        <f t="shared" ref="L113:L121" si="25">IF(J113=0, "    ---- ", IF(ABS(ROUND(100/J113*K113-100,1))&lt;999,ROUND(100/J113*K113-100,1),IF(ROUND(100/J113*K113-100,1)&gt;999,999,-999)))</f>
        <v>30.9</v>
      </c>
      <c r="M113" s="27">
        <f>IFERROR(100/'Skjema total MA'!I113*K113,0)</f>
        <v>0.44974045152218167</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441.15</v>
      </c>
      <c r="C119" s="159">
        <v>1116</v>
      </c>
      <c r="D119" s="171">
        <f t="shared" si="22"/>
        <v>153</v>
      </c>
      <c r="E119" s="11">
        <f>IFERROR(100/'Skjema total MA'!C119*C119,0)</f>
        <v>0.22760609556235145</v>
      </c>
      <c r="F119" s="308">
        <v>16528.659</v>
      </c>
      <c r="G119" s="159">
        <v>59896</v>
      </c>
      <c r="H119" s="171">
        <f t="shared" si="23"/>
        <v>262.39999999999998</v>
      </c>
      <c r="I119" s="11">
        <f>IFERROR(100/'Skjema total MA'!F119*G119,0)</f>
        <v>0.69365021106994729</v>
      </c>
      <c r="J119" s="309">
        <f t="shared" si="24"/>
        <v>16969.809000000001</v>
      </c>
      <c r="K119" s="236">
        <f t="shared" si="24"/>
        <v>61012</v>
      </c>
      <c r="L119" s="428">
        <f t="shared" si="25"/>
        <v>259.5</v>
      </c>
      <c r="M119" s="11">
        <f>IFERROR(100/'Skjema total MA'!I119*K119,0)</f>
        <v>0.66860850188729859</v>
      </c>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v>441.15</v>
      </c>
      <c r="C121" s="145">
        <v>1116</v>
      </c>
      <c r="D121" s="166">
        <f t="shared" si="22"/>
        <v>153</v>
      </c>
      <c r="E121" s="27">
        <f>IFERROR(100/'Skjema total MA'!C121*C121,0)</f>
        <v>38.024194311019706</v>
      </c>
      <c r="F121" s="234">
        <v>16528.659</v>
      </c>
      <c r="G121" s="145">
        <v>59896</v>
      </c>
      <c r="H121" s="166">
        <f t="shared" si="23"/>
        <v>262.39999999999998</v>
      </c>
      <c r="I121" s="27">
        <f>IFERROR(100/'Skjema total MA'!F121*G121,0)</f>
        <v>0.69365021106994729</v>
      </c>
      <c r="J121" s="287">
        <f t="shared" si="24"/>
        <v>16969.809000000001</v>
      </c>
      <c r="K121" s="44">
        <f t="shared" si="24"/>
        <v>61012</v>
      </c>
      <c r="L121" s="254">
        <f t="shared" si="25"/>
        <v>259.5</v>
      </c>
      <c r="M121" s="27">
        <f>IFERROR(100/'Skjema total MA'!I121*K121,0)</f>
        <v>0.70633442640786936</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557" priority="132">
      <formula>kvartal &lt; 4</formula>
    </cfRule>
  </conditionalFormatting>
  <conditionalFormatting sqref="B115">
    <cfRule type="expression" dxfId="556" priority="76">
      <formula>kvartal &lt; 4</formula>
    </cfRule>
  </conditionalFormatting>
  <conditionalFormatting sqref="C115">
    <cfRule type="expression" dxfId="555" priority="75">
      <formula>kvartal &lt; 4</formula>
    </cfRule>
  </conditionalFormatting>
  <conditionalFormatting sqref="B123">
    <cfRule type="expression" dxfId="554" priority="74">
      <formula>kvartal &lt; 4</formula>
    </cfRule>
  </conditionalFormatting>
  <conditionalFormatting sqref="C123">
    <cfRule type="expression" dxfId="553" priority="73">
      <formula>kvartal &lt; 4</formula>
    </cfRule>
  </conditionalFormatting>
  <conditionalFormatting sqref="F115">
    <cfRule type="expression" dxfId="552" priority="58">
      <formula>kvartal &lt; 4</formula>
    </cfRule>
  </conditionalFormatting>
  <conditionalFormatting sqref="G115">
    <cfRule type="expression" dxfId="551" priority="57">
      <formula>kvartal &lt; 4</formula>
    </cfRule>
  </conditionalFormatting>
  <conditionalFormatting sqref="F123:G123">
    <cfRule type="expression" dxfId="550" priority="56">
      <formula>kvartal &lt; 4</formula>
    </cfRule>
  </conditionalFormatting>
  <conditionalFormatting sqref="J115:K115">
    <cfRule type="expression" dxfId="549" priority="32">
      <formula>kvartal &lt; 4</formula>
    </cfRule>
  </conditionalFormatting>
  <conditionalFormatting sqref="J123:K123">
    <cfRule type="expression" dxfId="548" priority="31">
      <formula>kvartal &lt; 4</formula>
    </cfRule>
  </conditionalFormatting>
  <conditionalFormatting sqref="A50:A52">
    <cfRule type="expression" dxfId="547" priority="12">
      <formula>kvartal &lt; 4</formula>
    </cfRule>
  </conditionalFormatting>
  <conditionalFormatting sqref="A69:A74">
    <cfRule type="expression" dxfId="546" priority="10">
      <formula>kvartal &lt; 4</formula>
    </cfRule>
  </conditionalFormatting>
  <conditionalFormatting sqref="A80:A85">
    <cfRule type="expression" dxfId="545" priority="9">
      <formula>kvartal &lt; 4</formula>
    </cfRule>
  </conditionalFormatting>
  <conditionalFormatting sqref="A90:A95">
    <cfRule type="expression" dxfId="544" priority="6">
      <formula>kvartal &lt; 4</formula>
    </cfRule>
  </conditionalFormatting>
  <conditionalFormatting sqref="A101:A106">
    <cfRule type="expression" dxfId="543" priority="5">
      <formula>kvartal &lt; 4</formula>
    </cfRule>
  </conditionalFormatting>
  <conditionalFormatting sqref="A115">
    <cfRule type="expression" dxfId="542" priority="4">
      <formula>kvartal &lt; 4</formula>
    </cfRule>
  </conditionalFormatting>
  <conditionalFormatting sqref="A123">
    <cfRule type="expression" dxfId="541" priority="3">
      <formula>kvartal &lt; 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N144"/>
  <sheetViews>
    <sheetView showGridLines="0" zoomScale="120" zoomScaleNormal="120" workbookViewId="0">
      <selection activeCell="B1" sqref="B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128</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1699</v>
      </c>
      <c r="C47" s="311">
        <v>838</v>
      </c>
      <c r="D47" s="427">
        <f t="shared" ref="D47:D48" si="0">IF(B47=0, "    ---- ", IF(ABS(ROUND(100/B47*C47-100,1))&lt;999,ROUND(100/B47*C47-100,1),IF(ROUND(100/B47*C47-100,1)&gt;999,999,-999)))</f>
        <v>-50.7</v>
      </c>
      <c r="E47" s="11">
        <f>IFERROR(100/'Skjema total MA'!C47*C47,0)</f>
        <v>2.9040689439246495E-2</v>
      </c>
      <c r="F47" s="145"/>
      <c r="G47" s="33"/>
      <c r="H47" s="159"/>
      <c r="I47" s="159"/>
      <c r="J47" s="37"/>
      <c r="K47" s="37"/>
      <c r="L47" s="159"/>
      <c r="M47" s="159"/>
      <c r="N47" s="148"/>
    </row>
    <row r="48" spans="1:14" s="3" customFormat="1" ht="15.75" x14ac:dyDescent="0.2">
      <c r="A48" s="38" t="s">
        <v>379</v>
      </c>
      <c r="B48" s="281">
        <v>1699</v>
      </c>
      <c r="C48" s="282">
        <v>838</v>
      </c>
      <c r="D48" s="254">
        <f t="shared" si="0"/>
        <v>-50.7</v>
      </c>
      <c r="E48" s="27">
        <f>IFERROR(100/'Skjema total MA'!C48*C48,0)</f>
        <v>5.3438356461330751E-2</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540" priority="132">
      <formula>kvartal &lt; 4</formula>
    </cfRule>
  </conditionalFormatting>
  <conditionalFormatting sqref="B115">
    <cfRule type="expression" dxfId="539" priority="76">
      <formula>kvartal &lt; 4</formula>
    </cfRule>
  </conditionalFormatting>
  <conditionalFormatting sqref="C115">
    <cfRule type="expression" dxfId="538" priority="75">
      <formula>kvartal &lt; 4</formula>
    </cfRule>
  </conditionalFormatting>
  <conditionalFormatting sqref="B123">
    <cfRule type="expression" dxfId="537" priority="74">
      <formula>kvartal &lt; 4</formula>
    </cfRule>
  </conditionalFormatting>
  <conditionalFormatting sqref="C123">
    <cfRule type="expression" dxfId="536" priority="73">
      <formula>kvartal &lt; 4</formula>
    </cfRule>
  </conditionalFormatting>
  <conditionalFormatting sqref="F115">
    <cfRule type="expression" dxfId="535" priority="58">
      <formula>kvartal &lt; 4</formula>
    </cfRule>
  </conditionalFormatting>
  <conditionalFormatting sqref="G115">
    <cfRule type="expression" dxfId="534" priority="57">
      <formula>kvartal &lt; 4</formula>
    </cfRule>
  </conditionalFormatting>
  <conditionalFormatting sqref="F123:G123">
    <cfRule type="expression" dxfId="533" priority="56">
      <formula>kvartal &lt; 4</formula>
    </cfRule>
  </conditionalFormatting>
  <conditionalFormatting sqref="J115:K115">
    <cfRule type="expression" dxfId="532" priority="32">
      <formula>kvartal &lt; 4</formula>
    </cfRule>
  </conditionalFormatting>
  <conditionalFormatting sqref="J123:K123">
    <cfRule type="expression" dxfId="531" priority="31">
      <formula>kvartal &lt; 4</formula>
    </cfRule>
  </conditionalFormatting>
  <conditionalFormatting sqref="A50:A52">
    <cfRule type="expression" dxfId="530" priority="12">
      <formula>kvartal &lt; 4</formula>
    </cfRule>
  </conditionalFormatting>
  <conditionalFormatting sqref="A69:A74">
    <cfRule type="expression" dxfId="529" priority="10">
      <formula>kvartal &lt; 4</formula>
    </cfRule>
  </conditionalFormatting>
  <conditionalFormatting sqref="A80:A85">
    <cfRule type="expression" dxfId="528" priority="9">
      <formula>kvartal &lt; 4</formula>
    </cfRule>
  </conditionalFormatting>
  <conditionalFormatting sqref="A90:A95">
    <cfRule type="expression" dxfId="527" priority="6">
      <formula>kvartal &lt; 4</formula>
    </cfRule>
  </conditionalFormatting>
  <conditionalFormatting sqref="A101:A106">
    <cfRule type="expression" dxfId="526" priority="5">
      <formula>kvartal &lt; 4</formula>
    </cfRule>
  </conditionalFormatting>
  <conditionalFormatting sqref="A115">
    <cfRule type="expression" dxfId="525" priority="4">
      <formula>kvartal &lt; 4</formula>
    </cfRule>
  </conditionalFormatting>
  <conditionalFormatting sqref="A123">
    <cfRule type="expression" dxfId="524" priority="3">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N144"/>
  <sheetViews>
    <sheetView showGridLines="0" zoomScaleNormal="100" zoomScaleSheetLayoutView="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129</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447653</v>
      </c>
      <c r="C7" s="307">
        <v>441826</v>
      </c>
      <c r="D7" s="350">
        <f>IF(B7=0, "    ---- ", IF(ABS(ROUND(100/B7*C7-100,1))&lt;999,ROUND(100/B7*C7-100,1),IF(ROUND(100/B7*C7-100,1)&gt;999,999,-999)))</f>
        <v>-1.3</v>
      </c>
      <c r="E7" s="11">
        <f>IFERROR(100/'Skjema total MA'!C7*C7,0)</f>
        <v>28.422113853866325</v>
      </c>
      <c r="F7" s="306"/>
      <c r="G7" s="307"/>
      <c r="H7" s="350"/>
      <c r="I7" s="160"/>
      <c r="J7" s="308">
        <f t="shared" ref="J7:K9" si="0">SUM(B7,F7)</f>
        <v>447653</v>
      </c>
      <c r="K7" s="309">
        <f t="shared" si="0"/>
        <v>441826</v>
      </c>
      <c r="L7" s="427">
        <f>IF(J7=0, "    ---- ", IF(ABS(ROUND(100/J7*K7-100,1))&lt;999,ROUND(100/J7*K7-100,1),IF(ROUND(100/J7*K7-100,1)&gt;999,999,-999)))</f>
        <v>-1.3</v>
      </c>
      <c r="M7" s="11">
        <f>IFERROR(100/'Skjema total MA'!I7*K7,0)</f>
        <v>10.810391379717622</v>
      </c>
    </row>
    <row r="8" spans="1:14" ht="15.75" x14ac:dyDescent="0.2">
      <c r="A8" s="21" t="s">
        <v>25</v>
      </c>
      <c r="B8" s="281">
        <v>271079</v>
      </c>
      <c r="C8" s="282">
        <v>312304</v>
      </c>
      <c r="D8" s="166">
        <f t="shared" ref="D8:D9" si="1">IF(B8=0, "    ---- ", IF(ABS(ROUND(100/B8*C8-100,1))&lt;999,ROUND(100/B8*C8-100,1),IF(ROUND(100/B8*C8-100,1)&gt;999,999,-999)))</f>
        <v>15.2</v>
      </c>
      <c r="E8" s="27">
        <f>IFERROR(100/'Skjema total MA'!C8*C8,0)</f>
        <v>30.108747870937705</v>
      </c>
      <c r="F8" s="285"/>
      <c r="G8" s="286"/>
      <c r="H8" s="166"/>
      <c r="I8" s="175"/>
      <c r="J8" s="234">
        <f t="shared" si="0"/>
        <v>271079</v>
      </c>
      <c r="K8" s="287">
        <f t="shared" si="0"/>
        <v>312304</v>
      </c>
      <c r="L8" s="166">
        <f t="shared" ref="L8:L9" si="2">IF(J8=0, "    ---- ", IF(ABS(ROUND(100/J8*K8-100,1))&lt;999,ROUND(100/J8*K8-100,1),IF(ROUND(100/J8*K8-100,1)&gt;999,999,-999)))</f>
        <v>15.2</v>
      </c>
      <c r="M8" s="27">
        <f>IFERROR(100/'Skjema total MA'!I8*K8,0)</f>
        <v>30.108747870937705</v>
      </c>
    </row>
    <row r="9" spans="1:14" ht="15.75" x14ac:dyDescent="0.2">
      <c r="A9" s="21" t="s">
        <v>24</v>
      </c>
      <c r="B9" s="281">
        <v>176574</v>
      </c>
      <c r="C9" s="282">
        <v>129522</v>
      </c>
      <c r="D9" s="166">
        <f t="shared" si="1"/>
        <v>-26.6</v>
      </c>
      <c r="E9" s="27">
        <f>IFERROR(100/'Skjema total MA'!C9*C9,0)</f>
        <v>38.849533471027698</v>
      </c>
      <c r="F9" s="285"/>
      <c r="G9" s="286"/>
      <c r="H9" s="166"/>
      <c r="I9" s="175"/>
      <c r="J9" s="234">
        <f t="shared" si="0"/>
        <v>176574</v>
      </c>
      <c r="K9" s="287">
        <f t="shared" si="0"/>
        <v>129522</v>
      </c>
      <c r="L9" s="166">
        <f t="shared" si="2"/>
        <v>-26.6</v>
      </c>
      <c r="M9" s="27">
        <f>IFERROR(100/'Skjema total MA'!I9*K9,0)</f>
        <v>38.849533471027698</v>
      </c>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583949</v>
      </c>
      <c r="C47" s="311">
        <v>640210</v>
      </c>
      <c r="D47" s="427">
        <f t="shared" ref="D47:D58" si="3">IF(B47=0, "    ---- ", IF(ABS(ROUND(100/B47*C47-100,1))&lt;999,ROUND(100/B47*C47-100,1),IF(ROUND(100/B47*C47-100,1)&gt;999,999,-999)))</f>
        <v>9.6</v>
      </c>
      <c r="E47" s="11">
        <f>IFERROR(100/'Skjema total MA'!C47*C47,0)</f>
        <v>22.18632432684964</v>
      </c>
      <c r="F47" s="145"/>
      <c r="G47" s="33"/>
      <c r="H47" s="159"/>
      <c r="I47" s="159"/>
      <c r="J47" s="37"/>
      <c r="K47" s="37"/>
      <c r="L47" s="159"/>
      <c r="M47" s="159"/>
      <c r="N47" s="148"/>
    </row>
    <row r="48" spans="1:14" s="3" customFormat="1" ht="15.75" x14ac:dyDescent="0.2">
      <c r="A48" s="38" t="s">
        <v>379</v>
      </c>
      <c r="B48" s="281">
        <v>340884</v>
      </c>
      <c r="C48" s="282">
        <v>366710</v>
      </c>
      <c r="D48" s="254">
        <f t="shared" si="3"/>
        <v>7.6</v>
      </c>
      <c r="E48" s="27">
        <f>IFERROR(100/'Skjema total MA'!C48*C48,0)</f>
        <v>23.384701310184486</v>
      </c>
      <c r="F48" s="145"/>
      <c r="G48" s="33"/>
      <c r="H48" s="145"/>
      <c r="I48" s="145"/>
      <c r="J48" s="33"/>
      <c r="K48" s="33"/>
      <c r="L48" s="159"/>
      <c r="M48" s="159"/>
      <c r="N48" s="148"/>
    </row>
    <row r="49" spans="1:14" s="3" customFormat="1" ht="15.75" x14ac:dyDescent="0.2">
      <c r="A49" s="38" t="s">
        <v>380</v>
      </c>
      <c r="B49" s="44">
        <v>243065</v>
      </c>
      <c r="C49" s="287">
        <v>273500</v>
      </c>
      <c r="D49" s="254">
        <f>IF(B49=0, "    ---- ", IF(ABS(ROUND(100/B49*C49-100,1))&lt;999,ROUND(100/B49*C49-100,1),IF(ROUND(100/B49*C49-100,1)&gt;999,999,-999)))</f>
        <v>12.5</v>
      </c>
      <c r="E49" s="27">
        <f>IFERROR(100/'Skjema total MA'!C49*C49,0)</f>
        <v>20.759889013478624</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19248</v>
      </c>
      <c r="C53" s="311">
        <v>42822</v>
      </c>
      <c r="D53" s="428">
        <f t="shared" si="3"/>
        <v>122.5</v>
      </c>
      <c r="E53" s="11">
        <f>IFERROR(100/'Skjema total MA'!C53*C53,0)</f>
        <v>41.897525239927461</v>
      </c>
      <c r="F53" s="145"/>
      <c r="G53" s="33"/>
      <c r="H53" s="145"/>
      <c r="I53" s="145"/>
      <c r="J53" s="33"/>
      <c r="K53" s="33"/>
      <c r="L53" s="159"/>
      <c r="M53" s="159"/>
      <c r="N53" s="148"/>
    </row>
    <row r="54" spans="1:14" s="3" customFormat="1" ht="15.75" x14ac:dyDescent="0.2">
      <c r="A54" s="38" t="s">
        <v>379</v>
      </c>
      <c r="B54" s="281">
        <v>19248</v>
      </c>
      <c r="C54" s="282">
        <v>42822</v>
      </c>
      <c r="D54" s="254">
        <f t="shared" si="3"/>
        <v>122.5</v>
      </c>
      <c r="E54" s="27">
        <f>IFERROR(100/'Skjema total MA'!C54*C54,0)</f>
        <v>41.897525239927461</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83351</v>
      </c>
      <c r="C56" s="311">
        <v>24280</v>
      </c>
      <c r="D56" s="428">
        <f t="shared" si="3"/>
        <v>-70.900000000000006</v>
      </c>
      <c r="E56" s="11">
        <f>IFERROR(100/'Skjema total MA'!C56*C56,0)</f>
        <v>25.707499666453661</v>
      </c>
      <c r="F56" s="145"/>
      <c r="G56" s="33"/>
      <c r="H56" s="145"/>
      <c r="I56" s="145"/>
      <c r="J56" s="33"/>
      <c r="K56" s="33"/>
      <c r="L56" s="159"/>
      <c r="M56" s="159"/>
      <c r="N56" s="148"/>
    </row>
    <row r="57" spans="1:14" s="3" customFormat="1" ht="15.75" x14ac:dyDescent="0.2">
      <c r="A57" s="38" t="s">
        <v>379</v>
      </c>
      <c r="B57" s="281">
        <v>17319</v>
      </c>
      <c r="C57" s="282">
        <v>24280</v>
      </c>
      <c r="D57" s="254">
        <f t="shared" si="3"/>
        <v>40.200000000000003</v>
      </c>
      <c r="E57" s="27">
        <f>IFERROR(100/'Skjema total MA'!C57*C57,0)</f>
        <v>25.707499666453661</v>
      </c>
      <c r="F57" s="145"/>
      <c r="G57" s="33"/>
      <c r="H57" s="145"/>
      <c r="I57" s="145"/>
      <c r="J57" s="33"/>
      <c r="K57" s="33"/>
      <c r="L57" s="159"/>
      <c r="M57" s="159"/>
      <c r="N57" s="148"/>
    </row>
    <row r="58" spans="1:14" s="3" customFormat="1" ht="15.75" x14ac:dyDescent="0.2">
      <c r="A58" s="46" t="s">
        <v>380</v>
      </c>
      <c r="B58" s="283">
        <v>66032</v>
      </c>
      <c r="C58" s="284">
        <v>0</v>
      </c>
      <c r="D58" s="255">
        <f t="shared" si="3"/>
        <v>-100</v>
      </c>
      <c r="E58" s="22">
        <f>IFERROR(100/'Skjema total MA'!C58*C58,0)</f>
        <v>0</v>
      </c>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523" priority="132">
      <formula>kvartal &lt; 4</formula>
    </cfRule>
  </conditionalFormatting>
  <conditionalFormatting sqref="B115">
    <cfRule type="expression" dxfId="522" priority="76">
      <formula>kvartal &lt; 4</formula>
    </cfRule>
  </conditionalFormatting>
  <conditionalFormatting sqref="C115">
    <cfRule type="expression" dxfId="521" priority="75">
      <formula>kvartal &lt; 4</formula>
    </cfRule>
  </conditionalFormatting>
  <conditionalFormatting sqref="B123">
    <cfRule type="expression" dxfId="520" priority="74">
      <formula>kvartal &lt; 4</formula>
    </cfRule>
  </conditionalFormatting>
  <conditionalFormatting sqref="C123">
    <cfRule type="expression" dxfId="519" priority="73">
      <formula>kvartal &lt; 4</formula>
    </cfRule>
  </conditionalFormatting>
  <conditionalFormatting sqref="F115">
    <cfRule type="expression" dxfId="518" priority="58">
      <formula>kvartal &lt; 4</formula>
    </cfRule>
  </conditionalFormatting>
  <conditionalFormatting sqref="G115">
    <cfRule type="expression" dxfId="517" priority="57">
      <formula>kvartal &lt; 4</formula>
    </cfRule>
  </conditionalFormatting>
  <conditionalFormatting sqref="F123:G123">
    <cfRule type="expression" dxfId="516" priority="56">
      <formula>kvartal &lt; 4</formula>
    </cfRule>
  </conditionalFormatting>
  <conditionalFormatting sqref="J115:K115">
    <cfRule type="expression" dxfId="515" priority="32">
      <formula>kvartal &lt; 4</formula>
    </cfRule>
  </conditionalFormatting>
  <conditionalFormatting sqref="J123:K123">
    <cfRule type="expression" dxfId="514" priority="31">
      <formula>kvartal &lt; 4</formula>
    </cfRule>
  </conditionalFormatting>
  <conditionalFormatting sqref="A50:A52">
    <cfRule type="expression" dxfId="513" priority="12">
      <formula>kvartal &lt; 4</formula>
    </cfRule>
  </conditionalFormatting>
  <conditionalFormatting sqref="A69:A74">
    <cfRule type="expression" dxfId="512" priority="10">
      <formula>kvartal &lt; 4</formula>
    </cfRule>
  </conditionalFormatting>
  <conditionalFormatting sqref="A80:A85">
    <cfRule type="expression" dxfId="511" priority="9">
      <formula>kvartal &lt; 4</formula>
    </cfRule>
  </conditionalFormatting>
  <conditionalFormatting sqref="A90:A95">
    <cfRule type="expression" dxfId="510" priority="6">
      <formula>kvartal &lt; 4</formula>
    </cfRule>
  </conditionalFormatting>
  <conditionalFormatting sqref="A101:A106">
    <cfRule type="expression" dxfId="509" priority="5">
      <formula>kvartal &lt; 4</formula>
    </cfRule>
  </conditionalFormatting>
  <conditionalFormatting sqref="A115">
    <cfRule type="expression" dxfId="508" priority="4">
      <formula>kvartal &lt; 4</formula>
    </cfRule>
  </conditionalFormatting>
  <conditionalFormatting sqref="A123">
    <cfRule type="expression" dxfId="507" priority="3">
      <formula>kvartal &lt; 4</formula>
    </cfRule>
  </conditionalFormatting>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N144"/>
  <sheetViews>
    <sheetView showGridLines="0" zoomScaleNormal="100" workbookViewId="0">
      <selection activeCell="B1" sqref="B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130</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v>20238</v>
      </c>
      <c r="G7" s="307">
        <v>52307</v>
      </c>
      <c r="H7" s="350">
        <f>IF(F7=0, "    ---- ", IF(ABS(ROUND(100/F7*G7-100,1))&lt;999,ROUND(100/F7*G7-100,1),IF(ROUND(100/F7*G7-100,1)&gt;999,999,-999)))</f>
        <v>158.5</v>
      </c>
      <c r="I7" s="160">
        <f>IFERROR(100/'Skjema total MA'!F7*G7,0)</f>
        <v>2.0654015676234314</v>
      </c>
      <c r="J7" s="308">
        <f t="shared" ref="J7:K12" si="0">SUM(B7,F7)</f>
        <v>20238</v>
      </c>
      <c r="K7" s="309">
        <f t="shared" si="0"/>
        <v>52307</v>
      </c>
      <c r="L7" s="427">
        <f>IF(J7=0, "    ---- ", IF(ABS(ROUND(100/J7*K7-100,1))&lt;999,ROUND(100/J7*K7-100,1),IF(ROUND(100/J7*K7-100,1)&gt;999,999,-999)))</f>
        <v>158.5</v>
      </c>
      <c r="M7" s="11">
        <f>IFERROR(100/'Skjema total MA'!I7*K7,0)</f>
        <v>1.2798231473450852</v>
      </c>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v>555994</v>
      </c>
      <c r="G10" s="311">
        <v>610902</v>
      </c>
      <c r="H10" s="171">
        <f t="shared" ref="H10:H12" si="1">IF(F10=0, "    ---- ", IF(ABS(ROUND(100/F10*G10-100,1))&lt;999,ROUND(100/F10*G10-100,1),IF(ROUND(100/F10*G10-100,1)&gt;999,999,-999)))</f>
        <v>9.9</v>
      </c>
      <c r="I10" s="160">
        <f>IFERROR(100/'Skjema total MA'!F10*G10,0)</f>
        <v>1.3106664459894504</v>
      </c>
      <c r="J10" s="308">
        <f t="shared" si="0"/>
        <v>555994</v>
      </c>
      <c r="K10" s="309">
        <f t="shared" si="0"/>
        <v>610902</v>
      </c>
      <c r="L10" s="428">
        <f t="shared" ref="L10:L12" si="2">IF(J10=0, "    ---- ", IF(ABS(ROUND(100/J10*K10-100,1))&lt;999,ROUND(100/J10*K10-100,1),IF(ROUND(100/J10*K10-100,1)&gt;999,999,-999)))</f>
        <v>9.9</v>
      </c>
      <c r="M10" s="11">
        <f>IFERROR(100/'Skjema total MA'!I10*K10,0)</f>
        <v>0.93320606264772243</v>
      </c>
    </row>
    <row r="11" spans="1:14" s="43" customFormat="1" ht="15.75" x14ac:dyDescent="0.2">
      <c r="A11" s="13" t="s">
        <v>369</v>
      </c>
      <c r="B11" s="310"/>
      <c r="C11" s="311"/>
      <c r="D11" s="171"/>
      <c r="E11" s="11"/>
      <c r="F11" s="310">
        <v>1408</v>
      </c>
      <c r="G11" s="311">
        <v>1245</v>
      </c>
      <c r="H11" s="171">
        <f t="shared" si="1"/>
        <v>-11.6</v>
      </c>
      <c r="I11" s="160">
        <f>IFERROR(100/'Skjema total MA'!F11*G11,0)</f>
        <v>0.97922631733728671</v>
      </c>
      <c r="J11" s="308">
        <f t="shared" si="0"/>
        <v>1408</v>
      </c>
      <c r="K11" s="309">
        <f t="shared" si="0"/>
        <v>1245</v>
      </c>
      <c r="L11" s="428">
        <f t="shared" si="2"/>
        <v>-11.6</v>
      </c>
      <c r="M11" s="11">
        <f>IFERROR(100/'Skjema total MA'!I11*K11,0)</f>
        <v>0.89128352152447832</v>
      </c>
      <c r="N11" s="143"/>
    </row>
    <row r="12" spans="1:14" s="43" customFormat="1" ht="15.75" x14ac:dyDescent="0.2">
      <c r="A12" s="41" t="s">
        <v>370</v>
      </c>
      <c r="B12" s="312"/>
      <c r="C12" s="313"/>
      <c r="D12" s="169"/>
      <c r="E12" s="36"/>
      <c r="F12" s="312">
        <v>870</v>
      </c>
      <c r="G12" s="313">
        <v>507</v>
      </c>
      <c r="H12" s="169">
        <f t="shared" si="1"/>
        <v>-41.7</v>
      </c>
      <c r="I12" s="169">
        <f>IFERROR(100/'Skjema total MA'!F12*G12,0)</f>
        <v>0.50214560249426388</v>
      </c>
      <c r="J12" s="314">
        <f t="shared" si="0"/>
        <v>870</v>
      </c>
      <c r="K12" s="315">
        <f t="shared" si="0"/>
        <v>507</v>
      </c>
      <c r="L12" s="429">
        <f t="shared" si="2"/>
        <v>-41.7</v>
      </c>
      <c r="M12" s="36">
        <f>IFERROR(100/'Skjema total MA'!I12*K12,0)</f>
        <v>0.49555887825709094</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136472</v>
      </c>
      <c r="C22" s="310">
        <v>148206</v>
      </c>
      <c r="D22" s="350">
        <f t="shared" ref="D22:D29" si="3">IF(B22=0, "    ---- ", IF(ABS(ROUND(100/B22*C22-100,1))&lt;999,ROUND(100/B22*C22-100,1),IF(ROUND(100/B22*C22-100,1)&gt;999,999,-999)))</f>
        <v>8.6</v>
      </c>
      <c r="E22" s="11">
        <f>IFERROR(100/'Skjema total MA'!C22*C22,0)</f>
        <v>21.340602642300176</v>
      </c>
      <c r="F22" s="318">
        <v>16347</v>
      </c>
      <c r="G22" s="318">
        <v>19504</v>
      </c>
      <c r="H22" s="350">
        <f t="shared" ref="H22:H35" si="4">IF(F22=0, "    ---- ", IF(ABS(ROUND(100/F22*G22-100,1))&lt;999,ROUND(100/F22*G22-100,1),IF(ROUND(100/F22*G22-100,1)&gt;999,999,-999)))</f>
        <v>19.3</v>
      </c>
      <c r="I22" s="11">
        <f>IFERROR(100/'Skjema total MA'!F22*G22,0)</f>
        <v>5.8389155700521842</v>
      </c>
      <c r="J22" s="316">
        <f t="shared" ref="J22:K35" si="5">SUM(B22,F22)</f>
        <v>152819</v>
      </c>
      <c r="K22" s="316">
        <f t="shared" si="5"/>
        <v>167710</v>
      </c>
      <c r="L22" s="427">
        <f t="shared" ref="L22:L35" si="6">IF(J22=0, "    ---- ", IF(ABS(ROUND(100/J22*K22-100,1))&lt;999,ROUND(100/J22*K22-100,1),IF(ROUND(100/J22*K22-100,1)&gt;999,999,-999)))</f>
        <v>9.6999999999999993</v>
      </c>
      <c r="M22" s="24">
        <f>IFERROR(100/'Skjema total MA'!I22*K22,0)</f>
        <v>16.306055465604668</v>
      </c>
    </row>
    <row r="23" spans="1:14" ht="15.75" x14ac:dyDescent="0.2">
      <c r="A23" s="583" t="s">
        <v>371</v>
      </c>
      <c r="B23" s="281"/>
      <c r="C23" s="281"/>
      <c r="D23" s="166"/>
      <c r="E23" s="11"/>
      <c r="F23" s="290">
        <v>2</v>
      </c>
      <c r="G23" s="290">
        <v>0</v>
      </c>
      <c r="H23" s="166">
        <f t="shared" si="4"/>
        <v>-100</v>
      </c>
      <c r="I23" s="417">
        <f>IFERROR(100/'Skjema total MA'!F23*G23,0)</f>
        <v>0</v>
      </c>
      <c r="J23" s="290">
        <f t="shared" ref="J23:J26" si="7">SUM(B23,F23)</f>
        <v>2</v>
      </c>
      <c r="K23" s="290">
        <f t="shared" ref="K23:K26" si="8">SUM(C23,G23)</f>
        <v>0</v>
      </c>
      <c r="L23" s="166">
        <f t="shared" si="6"/>
        <v>-100</v>
      </c>
      <c r="M23" s="23">
        <f>IFERROR(100/'Skjema total MA'!I23*K23,0)</f>
        <v>0</v>
      </c>
    </row>
    <row r="24" spans="1:14" ht="15.75" x14ac:dyDescent="0.2">
      <c r="A24" s="583" t="s">
        <v>372</v>
      </c>
      <c r="B24" s="281"/>
      <c r="C24" s="281"/>
      <c r="D24" s="166"/>
      <c r="E24" s="11"/>
      <c r="F24" s="290">
        <v>0</v>
      </c>
      <c r="G24" s="290">
        <v>7</v>
      </c>
      <c r="H24" s="166" t="str">
        <f t="shared" si="4"/>
        <v xml:space="preserve">    ---- </v>
      </c>
      <c r="I24" s="417">
        <f>IFERROR(100/'Skjema total MA'!F24*G24,0)</f>
        <v>1.289399204440691</v>
      </c>
      <c r="J24" s="290">
        <f t="shared" si="7"/>
        <v>0</v>
      </c>
      <c r="K24" s="290">
        <f t="shared" si="8"/>
        <v>7</v>
      </c>
      <c r="L24" s="166" t="str">
        <f t="shared" si="6"/>
        <v xml:space="preserve">    ---- </v>
      </c>
      <c r="M24" s="23">
        <f>IFERROR(100/'Skjema total MA'!I24*K24,0)</f>
        <v>8.7391990491112209E-2</v>
      </c>
    </row>
    <row r="25" spans="1:14" ht="15.75" x14ac:dyDescent="0.2">
      <c r="A25" s="583" t="s">
        <v>373</v>
      </c>
      <c r="B25" s="281"/>
      <c r="C25" s="281"/>
      <c r="D25" s="166"/>
      <c r="E25" s="11"/>
      <c r="F25" s="290">
        <v>4</v>
      </c>
      <c r="G25" s="290">
        <v>0</v>
      </c>
      <c r="H25" s="166">
        <f t="shared" si="4"/>
        <v>-100</v>
      </c>
      <c r="I25" s="417">
        <f>IFERROR(100/'Skjema total MA'!F25*G25,0)</f>
        <v>0</v>
      </c>
      <c r="J25" s="290">
        <f t="shared" si="7"/>
        <v>4</v>
      </c>
      <c r="K25" s="290">
        <f t="shared" si="8"/>
        <v>0</v>
      </c>
      <c r="L25" s="166">
        <f t="shared" si="6"/>
        <v>-100</v>
      </c>
      <c r="M25" s="23">
        <f>IFERROR(100/'Skjema total MA'!I25*K25,0)</f>
        <v>0</v>
      </c>
    </row>
    <row r="26" spans="1:14" ht="15.75" x14ac:dyDescent="0.2">
      <c r="A26" s="583" t="s">
        <v>374</v>
      </c>
      <c r="B26" s="281"/>
      <c r="C26" s="281"/>
      <c r="D26" s="166"/>
      <c r="E26" s="11"/>
      <c r="F26" s="290">
        <v>16341</v>
      </c>
      <c r="G26" s="290">
        <v>19497</v>
      </c>
      <c r="H26" s="166">
        <f t="shared" si="4"/>
        <v>19.3</v>
      </c>
      <c r="I26" s="417">
        <f>IFERROR(100/'Skjema total MA'!F26*G26,0)</f>
        <v>6.5731689945485998</v>
      </c>
      <c r="J26" s="290">
        <f t="shared" si="7"/>
        <v>16341</v>
      </c>
      <c r="K26" s="290">
        <f t="shared" si="8"/>
        <v>19497</v>
      </c>
      <c r="L26" s="166">
        <f t="shared" si="6"/>
        <v>19.3</v>
      </c>
      <c r="M26" s="23">
        <f>IFERROR(100/'Skjema total MA'!I26*K26,0)</f>
        <v>6.5731689945485998</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136472</v>
      </c>
      <c r="C28" s="287">
        <v>148206</v>
      </c>
      <c r="D28" s="166">
        <f t="shared" si="3"/>
        <v>8.6</v>
      </c>
      <c r="E28" s="11">
        <f>IFERROR(100/'Skjema total MA'!C28*C28,0)</f>
        <v>20.34889269782364</v>
      </c>
      <c r="F28" s="234"/>
      <c r="G28" s="287"/>
      <c r="H28" s="166"/>
      <c r="I28" s="27"/>
      <c r="J28" s="44">
        <f t="shared" si="5"/>
        <v>136472</v>
      </c>
      <c r="K28" s="44">
        <f t="shared" si="5"/>
        <v>148206</v>
      </c>
      <c r="L28" s="254">
        <f t="shared" si="6"/>
        <v>8.6</v>
      </c>
      <c r="M28" s="23">
        <f>IFERROR(100/'Skjema total MA'!I28*K28,0)</f>
        <v>20.34889269782364</v>
      </c>
    </row>
    <row r="29" spans="1:14" s="3" customFormat="1" ht="15.75" x14ac:dyDescent="0.2">
      <c r="A29" s="13" t="s">
        <v>368</v>
      </c>
      <c r="B29" s="236">
        <v>1708942</v>
      </c>
      <c r="C29" s="236">
        <v>2042921</v>
      </c>
      <c r="D29" s="171">
        <f t="shared" si="3"/>
        <v>19.5</v>
      </c>
      <c r="E29" s="11">
        <f>IFERROR(100/'Skjema total MA'!C29*C29,0)</f>
        <v>4.3623423768056382</v>
      </c>
      <c r="F29" s="308">
        <v>1557584</v>
      </c>
      <c r="G29" s="308">
        <v>1444080</v>
      </c>
      <c r="H29" s="171">
        <f t="shared" si="4"/>
        <v>-7.3</v>
      </c>
      <c r="I29" s="11">
        <f>IFERROR(100/'Skjema total MA'!F29*G29,0)</f>
        <v>7.1888497343471371</v>
      </c>
      <c r="J29" s="236">
        <f t="shared" si="5"/>
        <v>3266526</v>
      </c>
      <c r="K29" s="236">
        <f t="shared" si="5"/>
        <v>3487001</v>
      </c>
      <c r="L29" s="428">
        <f t="shared" si="6"/>
        <v>6.7</v>
      </c>
      <c r="M29" s="24">
        <f>IFERROR(100/'Skjema total MA'!I29*K29,0)</f>
        <v>5.210809670975161</v>
      </c>
      <c r="N29" s="148"/>
    </row>
    <row r="30" spans="1:14" s="3" customFormat="1" ht="15.75" x14ac:dyDescent="0.2">
      <c r="A30" s="583" t="s">
        <v>371</v>
      </c>
      <c r="B30" s="281"/>
      <c r="C30" s="281"/>
      <c r="D30" s="166"/>
      <c r="E30" s="11"/>
      <c r="F30" s="290"/>
      <c r="G30" s="290">
        <v>25054</v>
      </c>
      <c r="H30" s="166" t="str">
        <f t="shared" si="4"/>
        <v xml:space="preserve">    ---- </v>
      </c>
      <c r="I30" s="417">
        <f>IFERROR(100/'Skjema total MA'!F30*G30,0)</f>
        <v>0.63448092659115107</v>
      </c>
      <c r="J30" s="290"/>
      <c r="K30" s="290">
        <f t="shared" ref="K30:K33" si="9">SUM(C30,G30)</f>
        <v>25054</v>
      </c>
      <c r="L30" s="166" t="str">
        <f t="shared" si="6"/>
        <v xml:space="preserve">    ---- </v>
      </c>
      <c r="M30" s="23">
        <f>IFERROR(100/'Skjema total MA'!I30*K30,0)</f>
        <v>0.1373327976909294</v>
      </c>
      <c r="N30" s="148"/>
    </row>
    <row r="31" spans="1:14" s="3" customFormat="1" ht="15.75" x14ac:dyDescent="0.2">
      <c r="A31" s="583" t="s">
        <v>372</v>
      </c>
      <c r="B31" s="281"/>
      <c r="C31" s="281"/>
      <c r="D31" s="166"/>
      <c r="E31" s="11"/>
      <c r="F31" s="290"/>
      <c r="G31" s="290">
        <v>1049819</v>
      </c>
      <c r="H31" s="166" t="str">
        <f t="shared" si="4"/>
        <v xml:space="preserve">    ---- </v>
      </c>
      <c r="I31" s="417">
        <f>IFERROR(100/'Skjema total MA'!F31*G31,0)</f>
        <v>12.154425981312571</v>
      </c>
      <c r="J31" s="290"/>
      <c r="K31" s="290">
        <f t="shared" si="9"/>
        <v>1049819</v>
      </c>
      <c r="L31" s="166" t="str">
        <f t="shared" si="6"/>
        <v xml:space="preserve">    ---- </v>
      </c>
      <c r="M31" s="23">
        <f>IFERROR(100/'Skjema total MA'!I31*K31,0)</f>
        <v>3.1692794260760899</v>
      </c>
      <c r="N31" s="148"/>
    </row>
    <row r="32" spans="1:14" ht="15.75" x14ac:dyDescent="0.2">
      <c r="A32" s="583" t="s">
        <v>373</v>
      </c>
      <c r="B32" s="281"/>
      <c r="C32" s="281"/>
      <c r="D32" s="166"/>
      <c r="E32" s="11"/>
      <c r="F32" s="290"/>
      <c r="G32" s="290">
        <v>113682</v>
      </c>
      <c r="H32" s="166" t="str">
        <f t="shared" si="4"/>
        <v xml:space="preserve">    ---- </v>
      </c>
      <c r="I32" s="417">
        <f>IFERROR(100/'Skjema total MA'!F32*G32,0)</f>
        <v>2.6648134662507812</v>
      </c>
      <c r="J32" s="290"/>
      <c r="K32" s="290">
        <f t="shared" si="9"/>
        <v>113682</v>
      </c>
      <c r="L32" s="166" t="str">
        <f t="shared" si="6"/>
        <v xml:space="preserve">    ---- </v>
      </c>
      <c r="M32" s="23">
        <f>IFERROR(100/'Skjema total MA'!I32*K32,0)</f>
        <v>1.5693034645214528</v>
      </c>
    </row>
    <row r="33" spans="1:14" ht="15.75" x14ac:dyDescent="0.2">
      <c r="A33" s="583" t="s">
        <v>374</v>
      </c>
      <c r="B33" s="281"/>
      <c r="C33" s="281"/>
      <c r="D33" s="166"/>
      <c r="E33" s="11"/>
      <c r="F33" s="290"/>
      <c r="G33" s="290">
        <v>255525</v>
      </c>
      <c r="H33" s="166" t="str">
        <f t="shared" si="4"/>
        <v xml:space="preserve">    ---- </v>
      </c>
      <c r="I33" s="417">
        <f>IFERROR(100/'Skjema total MA'!F34*G33,0)</f>
        <v>2275.6723284310651</v>
      </c>
      <c r="J33" s="290"/>
      <c r="K33" s="290">
        <f t="shared" si="9"/>
        <v>255525</v>
      </c>
      <c r="L33" s="166" t="str">
        <f t="shared" si="6"/>
        <v xml:space="preserve">    ---- </v>
      </c>
      <c r="M33" s="23">
        <f>IFERROR(100/'Skjema total MA'!I34*K33,0)</f>
        <v>1446.1349519146927</v>
      </c>
    </row>
    <row r="34" spans="1:14" ht="15.75" x14ac:dyDescent="0.2">
      <c r="A34" s="13" t="s">
        <v>369</v>
      </c>
      <c r="B34" s="236"/>
      <c r="C34" s="309"/>
      <c r="D34" s="171"/>
      <c r="E34" s="11"/>
      <c r="F34" s="308">
        <v>2890</v>
      </c>
      <c r="G34" s="309">
        <v>4153</v>
      </c>
      <c r="H34" s="171">
        <f t="shared" si="4"/>
        <v>43.7</v>
      </c>
      <c r="I34" s="11">
        <f>IFERROR(100/'Skjema total MA'!F34*G34,0)</f>
        <v>36.986076430776691</v>
      </c>
      <c r="J34" s="236">
        <f t="shared" si="5"/>
        <v>2890</v>
      </c>
      <c r="K34" s="236">
        <f t="shared" si="5"/>
        <v>4153</v>
      </c>
      <c r="L34" s="428">
        <f t="shared" si="6"/>
        <v>43.7</v>
      </c>
      <c r="M34" s="24">
        <f>IFERROR(100/'Skjema total MA'!I34*K34,0)</f>
        <v>23.503760709526343</v>
      </c>
    </row>
    <row r="35" spans="1:14" ht="15.75" x14ac:dyDescent="0.2">
      <c r="A35" s="13" t="s">
        <v>370</v>
      </c>
      <c r="B35" s="236"/>
      <c r="C35" s="309"/>
      <c r="D35" s="171"/>
      <c r="E35" s="11"/>
      <c r="F35" s="308">
        <v>3006</v>
      </c>
      <c r="G35" s="309">
        <v>1519</v>
      </c>
      <c r="H35" s="171">
        <f t="shared" si="4"/>
        <v>-49.5</v>
      </c>
      <c r="I35" s="11">
        <f>IFERROR(100/'Skjema total MA'!F35*G35,0)</f>
        <v>3.3365994930155902</v>
      </c>
      <c r="J35" s="236">
        <f t="shared" si="5"/>
        <v>3006</v>
      </c>
      <c r="K35" s="236">
        <f t="shared" si="5"/>
        <v>1519</v>
      </c>
      <c r="L35" s="428">
        <f t="shared" si="6"/>
        <v>-49.5</v>
      </c>
      <c r="M35" s="24">
        <f>IFERROR(100/'Skjema total MA'!I35*K35,0)</f>
        <v>6.0605211236000613</v>
      </c>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65189</v>
      </c>
      <c r="C66" s="353">
        <v>61155</v>
      </c>
      <c r="D66" s="350">
        <v>-6.2</v>
      </c>
      <c r="E66" s="11">
        <f>IFERROR(100/'Skjema total MA'!C66*C66,0)</f>
        <v>1.754114704394657</v>
      </c>
      <c r="F66" s="352">
        <v>744880</v>
      </c>
      <c r="G66" s="352">
        <v>755097</v>
      </c>
      <c r="H66" s="350">
        <f t="shared" ref="H66:H111" si="10">IF(F66=0, "    ---- ", IF(ABS(ROUND(100/F66*G66-100,1))&lt;999,ROUND(100/F66*G66-100,1),IF(ROUND(100/F66*G66-100,1)&gt;999,999,-999)))</f>
        <v>1.4</v>
      </c>
      <c r="I66" s="11">
        <f>IFERROR(100/'Skjema total MA'!F66*G66,0)</f>
        <v>8.5874612826308763</v>
      </c>
      <c r="J66" s="309">
        <f t="shared" ref="J66:K79" si="11">SUM(B66,F66)</f>
        <v>810069</v>
      </c>
      <c r="K66" s="316">
        <f t="shared" si="11"/>
        <v>816252</v>
      </c>
      <c r="L66" s="428">
        <f t="shared" ref="L66:L111" si="12">IF(J66=0, "    ---- ", IF(ABS(ROUND(100/J66*K66-100,1))&lt;999,ROUND(100/J66*K66-100,1),IF(ROUND(100/J66*K66-100,1)&gt;999,999,-999)))</f>
        <v>0.8</v>
      </c>
      <c r="M66" s="11">
        <f>IFERROR(100/'Skjema total MA'!I66*K66,0)</f>
        <v>6.6473324476253284</v>
      </c>
    </row>
    <row r="67" spans="1:14" x14ac:dyDescent="0.2">
      <c r="A67" s="419" t="s">
        <v>9</v>
      </c>
      <c r="B67" s="44">
        <v>65189</v>
      </c>
      <c r="C67" s="145">
        <v>61155</v>
      </c>
      <c r="D67" s="166">
        <v>-6.2</v>
      </c>
      <c r="E67" s="27">
        <f>IFERROR(100/'Skjema total MA'!C67*C67,0)</f>
        <v>2.2183802976712999</v>
      </c>
      <c r="F67" s="234"/>
      <c r="G67" s="145"/>
      <c r="H67" s="166"/>
      <c r="I67" s="27"/>
      <c r="J67" s="287">
        <f t="shared" si="11"/>
        <v>65189</v>
      </c>
      <c r="K67" s="44">
        <f t="shared" si="11"/>
        <v>61155</v>
      </c>
      <c r="L67" s="254">
        <f t="shared" si="12"/>
        <v>-6.2</v>
      </c>
      <c r="M67" s="27">
        <f>IFERROR(100/'Skjema total MA'!I67*K67,0)</f>
        <v>2.2183802976712999</v>
      </c>
    </row>
    <row r="68" spans="1:14" x14ac:dyDescent="0.2">
      <c r="A68" s="21" t="s">
        <v>10</v>
      </c>
      <c r="B68" s="292"/>
      <c r="C68" s="293"/>
      <c r="D68" s="166"/>
      <c r="E68" s="27"/>
      <c r="F68" s="292">
        <v>744880</v>
      </c>
      <c r="G68" s="293">
        <v>755097</v>
      </c>
      <c r="H68" s="166">
        <f t="shared" si="10"/>
        <v>1.4</v>
      </c>
      <c r="I68" s="27">
        <f>IFERROR(100/'Skjema total MA'!F68*G68,0)</f>
        <v>8.9295795903715707</v>
      </c>
      <c r="J68" s="287">
        <f t="shared" si="11"/>
        <v>744880</v>
      </c>
      <c r="K68" s="44">
        <f t="shared" si="11"/>
        <v>755097</v>
      </c>
      <c r="L68" s="254">
        <f t="shared" si="12"/>
        <v>1.4</v>
      </c>
      <c r="M68" s="27">
        <f>IFERROR(100/'Skjema total MA'!I68*K68,0)</f>
        <v>8.8313804522137804</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v>65189</v>
      </c>
      <c r="C77" s="234">
        <v>61155</v>
      </c>
      <c r="D77" s="166">
        <v>-6.2</v>
      </c>
      <c r="E77" s="27">
        <f>IFERROR(100/'Skjema total MA'!C77*C77,0)</f>
        <v>2.2313537753471908</v>
      </c>
      <c r="F77" s="234">
        <v>744880</v>
      </c>
      <c r="G77" s="145">
        <v>755097</v>
      </c>
      <c r="H77" s="166">
        <f t="shared" si="10"/>
        <v>1.4</v>
      </c>
      <c r="I77" s="27">
        <f>IFERROR(100/'Skjema total MA'!F77*G77,0)</f>
        <v>8.9349006106860536</v>
      </c>
      <c r="J77" s="287">
        <f t="shared" si="11"/>
        <v>810069</v>
      </c>
      <c r="K77" s="44">
        <f t="shared" si="11"/>
        <v>816252</v>
      </c>
      <c r="L77" s="254">
        <f t="shared" si="12"/>
        <v>0.8</v>
      </c>
      <c r="M77" s="27">
        <f>IFERROR(100/'Skjema total MA'!I77*K77,0)</f>
        <v>7.2932984537530317</v>
      </c>
    </row>
    <row r="78" spans="1:14" x14ac:dyDescent="0.2">
      <c r="A78" s="21" t="s">
        <v>9</v>
      </c>
      <c r="B78" s="234">
        <v>65189</v>
      </c>
      <c r="C78" s="145">
        <v>61155</v>
      </c>
      <c r="D78" s="166">
        <v>-6.2</v>
      </c>
      <c r="E78" s="27">
        <f>IFERROR(100/'Skjema total MA'!C78*C78,0)</f>
        <v>2.3098249349353406</v>
      </c>
      <c r="F78" s="234"/>
      <c r="G78" s="145"/>
      <c r="H78" s="166"/>
      <c r="I78" s="27"/>
      <c r="J78" s="287">
        <f t="shared" si="11"/>
        <v>65189</v>
      </c>
      <c r="K78" s="44">
        <f t="shared" si="11"/>
        <v>61155</v>
      </c>
      <c r="L78" s="254">
        <f t="shared" si="12"/>
        <v>-6.2</v>
      </c>
      <c r="M78" s="27">
        <f>IFERROR(100/'Skjema total MA'!I78*K78,0)</f>
        <v>2.3098249349353406</v>
      </c>
    </row>
    <row r="79" spans="1:14" x14ac:dyDescent="0.2">
      <c r="A79" s="21" t="s">
        <v>10</v>
      </c>
      <c r="B79" s="292"/>
      <c r="C79" s="293"/>
      <c r="D79" s="166"/>
      <c r="E79" s="27"/>
      <c r="F79" s="292">
        <v>744880</v>
      </c>
      <c r="G79" s="293">
        <v>755097</v>
      </c>
      <c r="H79" s="166">
        <f t="shared" si="10"/>
        <v>1.4</v>
      </c>
      <c r="I79" s="27">
        <f>IFERROR(100/'Skjema total MA'!F79*G79,0)</f>
        <v>8.9349006106860536</v>
      </c>
      <c r="J79" s="287">
        <f t="shared" si="11"/>
        <v>744880</v>
      </c>
      <c r="K79" s="44">
        <f t="shared" si="11"/>
        <v>755097</v>
      </c>
      <c r="L79" s="254">
        <f t="shared" si="12"/>
        <v>1.4</v>
      </c>
      <c r="M79" s="27">
        <f>IFERROR(100/'Skjema total MA'!I79*K79,0)</f>
        <v>8.8375334301666584</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v>5089512</v>
      </c>
      <c r="C87" s="353">
        <v>5213491</v>
      </c>
      <c r="D87" s="171">
        <v>2.4</v>
      </c>
      <c r="E87" s="11">
        <f>IFERROR(100/'Skjema total MA'!C87*C87,0)</f>
        <v>1.3277560454151645</v>
      </c>
      <c r="F87" s="352">
        <v>24768563</v>
      </c>
      <c r="G87" s="352">
        <v>24152091</v>
      </c>
      <c r="H87" s="171">
        <f t="shared" si="10"/>
        <v>-2.5</v>
      </c>
      <c r="I87" s="11">
        <f>IFERROR(100/'Skjema total MA'!F87*G87,0)</f>
        <v>8.617774378157927</v>
      </c>
      <c r="J87" s="309">
        <f t="shared" ref="J87:K111" si="13">SUM(B87,F87)</f>
        <v>29858075</v>
      </c>
      <c r="K87" s="236">
        <f t="shared" si="13"/>
        <v>29365582</v>
      </c>
      <c r="L87" s="428">
        <f t="shared" si="12"/>
        <v>-1.6</v>
      </c>
      <c r="M87" s="11">
        <f>IFERROR(100/'Skjema total MA'!I87*K87,0)</f>
        <v>4.3639472286350527</v>
      </c>
    </row>
    <row r="88" spans="1:13" x14ac:dyDescent="0.2">
      <c r="A88" s="21" t="s">
        <v>9</v>
      </c>
      <c r="B88" s="234">
        <v>5089512</v>
      </c>
      <c r="C88" s="145">
        <v>5213491</v>
      </c>
      <c r="D88" s="166">
        <v>2.4</v>
      </c>
      <c r="E88" s="27">
        <f>IFERROR(100/'Skjema total MA'!C88*C88,0)</f>
        <v>1.3655560453879154</v>
      </c>
      <c r="F88" s="234"/>
      <c r="G88" s="145"/>
      <c r="H88" s="166"/>
      <c r="I88" s="27"/>
      <c r="J88" s="287">
        <f t="shared" si="13"/>
        <v>5089512</v>
      </c>
      <c r="K88" s="44">
        <f t="shared" si="13"/>
        <v>5213491</v>
      </c>
      <c r="L88" s="254">
        <f t="shared" si="12"/>
        <v>2.4</v>
      </c>
      <c r="M88" s="27">
        <f>IFERROR(100/'Skjema total MA'!I88*K88,0)</f>
        <v>1.3655560453879154</v>
      </c>
    </row>
    <row r="89" spans="1:13" x14ac:dyDescent="0.2">
      <c r="A89" s="21" t="s">
        <v>10</v>
      </c>
      <c r="B89" s="234"/>
      <c r="C89" s="145"/>
      <c r="D89" s="166"/>
      <c r="E89" s="27"/>
      <c r="F89" s="234">
        <v>24768563</v>
      </c>
      <c r="G89" s="145">
        <v>24152091</v>
      </c>
      <c r="H89" s="166">
        <f t="shared" si="10"/>
        <v>-2.5</v>
      </c>
      <c r="I89" s="27">
        <f>IFERROR(100/'Skjema total MA'!F89*G89,0)</f>
        <v>8.6691945597451632</v>
      </c>
      <c r="J89" s="287">
        <f t="shared" si="13"/>
        <v>24768563</v>
      </c>
      <c r="K89" s="44">
        <f t="shared" si="13"/>
        <v>24152091</v>
      </c>
      <c r="L89" s="254">
        <f t="shared" si="12"/>
        <v>-2.5</v>
      </c>
      <c r="M89" s="27">
        <f>IFERROR(100/'Skjema total MA'!I89*K89,0)</f>
        <v>8.5737811821621221</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v>5089512</v>
      </c>
      <c r="C98" s="234">
        <v>5213491</v>
      </c>
      <c r="D98" s="166">
        <v>2.4</v>
      </c>
      <c r="E98" s="27">
        <f>IFERROR(100/'Skjema total MA'!C98*C98,0)</f>
        <v>1.3709092388818667</v>
      </c>
      <c r="F98" s="292">
        <v>24768563</v>
      </c>
      <c r="G98" s="292">
        <v>24152091</v>
      </c>
      <c r="H98" s="166">
        <f t="shared" si="10"/>
        <v>-2.5</v>
      </c>
      <c r="I98" s="27">
        <f>IFERROR(100/'Skjema total MA'!F98*G98,0)</f>
        <v>8.6936023053168263</v>
      </c>
      <c r="J98" s="287">
        <f t="shared" si="13"/>
        <v>29858075</v>
      </c>
      <c r="K98" s="44">
        <f t="shared" si="13"/>
        <v>29365582</v>
      </c>
      <c r="L98" s="254">
        <f t="shared" si="12"/>
        <v>-1.6</v>
      </c>
      <c r="M98" s="27">
        <f>IFERROR(100/'Skjema total MA'!I98*K98,0)</f>
        <v>4.4621157008508918</v>
      </c>
    </row>
    <row r="99" spans="1:13" x14ac:dyDescent="0.2">
      <c r="A99" s="21" t="s">
        <v>9</v>
      </c>
      <c r="B99" s="292">
        <v>5089512</v>
      </c>
      <c r="C99" s="293">
        <v>5213491</v>
      </c>
      <c r="D99" s="166">
        <v>2.4</v>
      </c>
      <c r="E99" s="27">
        <f>IFERROR(100/'Skjema total MA'!C99*C99,0)</f>
        <v>1.3821774961514735</v>
      </c>
      <c r="F99" s="234"/>
      <c r="G99" s="145"/>
      <c r="H99" s="166"/>
      <c r="I99" s="27"/>
      <c r="J99" s="287">
        <f t="shared" si="13"/>
        <v>5089512</v>
      </c>
      <c r="K99" s="44">
        <f t="shared" si="13"/>
        <v>5213491</v>
      </c>
      <c r="L99" s="254">
        <f t="shared" si="12"/>
        <v>2.4</v>
      </c>
      <c r="M99" s="27">
        <f>IFERROR(100/'Skjema total MA'!I99*K99,0)</f>
        <v>1.3821774961514735</v>
      </c>
    </row>
    <row r="100" spans="1:13" x14ac:dyDescent="0.2">
      <c r="A100" s="21" t="s">
        <v>10</v>
      </c>
      <c r="B100" s="292"/>
      <c r="C100" s="293"/>
      <c r="D100" s="166"/>
      <c r="E100" s="27"/>
      <c r="F100" s="234">
        <v>24768563</v>
      </c>
      <c r="G100" s="234">
        <v>24152091</v>
      </c>
      <c r="H100" s="166">
        <f t="shared" si="10"/>
        <v>-2.5</v>
      </c>
      <c r="I100" s="27">
        <f>IFERROR(100/'Skjema total MA'!F100*G100,0)</f>
        <v>8.6936023053168263</v>
      </c>
      <c r="J100" s="287">
        <f t="shared" si="13"/>
        <v>24768563</v>
      </c>
      <c r="K100" s="44">
        <f t="shared" si="13"/>
        <v>24152091</v>
      </c>
      <c r="L100" s="254">
        <f t="shared" si="12"/>
        <v>-2.5</v>
      </c>
      <c r="M100" s="27">
        <f>IFERROR(100/'Skjema total MA'!I100*K100,0)</f>
        <v>8.5976538800173046</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v>4119089</v>
      </c>
      <c r="C108" s="234">
        <v>4095261</v>
      </c>
      <c r="D108" s="166">
        <v>-0.6</v>
      </c>
      <c r="E108" s="27">
        <f>IFERROR(100/'Skjema total MA'!C108*C108,0)</f>
        <v>1.2703765194656962</v>
      </c>
      <c r="F108" s="234"/>
      <c r="G108" s="234"/>
      <c r="H108" s="166"/>
      <c r="I108" s="27"/>
      <c r="J108" s="287">
        <f t="shared" si="13"/>
        <v>4119089</v>
      </c>
      <c r="K108" s="44">
        <f t="shared" si="13"/>
        <v>4095261</v>
      </c>
      <c r="L108" s="254">
        <f t="shared" si="12"/>
        <v>-0.6</v>
      </c>
      <c r="M108" s="27">
        <f>IFERROR(100/'Skjema total MA'!I108*K108,0)</f>
        <v>1.2134123939282102</v>
      </c>
    </row>
    <row r="109" spans="1:13" ht="15.75" x14ac:dyDescent="0.2">
      <c r="A109" s="21" t="s">
        <v>388</v>
      </c>
      <c r="B109" s="234"/>
      <c r="C109" s="234"/>
      <c r="D109" s="166"/>
      <c r="E109" s="27"/>
      <c r="F109" s="234">
        <v>8486249</v>
      </c>
      <c r="G109" s="234">
        <v>9041825</v>
      </c>
      <c r="H109" s="166">
        <f t="shared" si="10"/>
        <v>6.5</v>
      </c>
      <c r="I109" s="27">
        <f>IFERROR(100/'Skjema total MA'!F109*G109,0)</f>
        <v>9.2979703228492756</v>
      </c>
      <c r="J109" s="287">
        <f t="shared" si="13"/>
        <v>8486249</v>
      </c>
      <c r="K109" s="44">
        <f t="shared" si="13"/>
        <v>9041825</v>
      </c>
      <c r="L109" s="254">
        <f t="shared" si="12"/>
        <v>6.5</v>
      </c>
      <c r="M109" s="27">
        <f>IFERROR(100/'Skjema total MA'!I109*K109,0)</f>
        <v>9.1952242553305403</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39261</v>
      </c>
      <c r="C111" s="159">
        <v>14507</v>
      </c>
      <c r="D111" s="171">
        <v>-63</v>
      </c>
      <c r="E111" s="11">
        <f>IFERROR(100/'Skjema total MA'!C111*C111,0)</f>
        <v>3.674238378897956</v>
      </c>
      <c r="F111" s="308">
        <v>882741</v>
      </c>
      <c r="G111" s="159">
        <v>417142</v>
      </c>
      <c r="H111" s="171">
        <f t="shared" si="10"/>
        <v>-52.7</v>
      </c>
      <c r="I111" s="11">
        <f>IFERROR(100/'Skjema total MA'!F111*G111,0)</f>
        <v>4.6768552447382961</v>
      </c>
      <c r="J111" s="309">
        <f t="shared" si="13"/>
        <v>922002</v>
      </c>
      <c r="K111" s="236">
        <f t="shared" si="13"/>
        <v>431649</v>
      </c>
      <c r="L111" s="428">
        <f t="shared" si="12"/>
        <v>-53.2</v>
      </c>
      <c r="M111" s="11">
        <f>IFERROR(100/'Skjema total MA'!I111*K111,0)</f>
        <v>4.6343537959721592</v>
      </c>
    </row>
    <row r="112" spans="1:13" x14ac:dyDescent="0.2">
      <c r="A112" s="21" t="s">
        <v>9</v>
      </c>
      <c r="B112" s="234">
        <v>39261</v>
      </c>
      <c r="C112" s="145">
        <v>14507</v>
      </c>
      <c r="D112" s="166">
        <v>-63</v>
      </c>
      <c r="E112" s="27">
        <f>IFERROR(100/'Skjema total MA'!C112*C112,0)</f>
        <v>20.387123810206077</v>
      </c>
      <c r="F112" s="234"/>
      <c r="G112" s="145"/>
      <c r="H112" s="166"/>
      <c r="I112" s="27"/>
      <c r="J112" s="287">
        <f t="shared" ref="J112:K125" si="14">SUM(B112,F112)</f>
        <v>39261</v>
      </c>
      <c r="K112" s="44">
        <f t="shared" si="14"/>
        <v>14507</v>
      </c>
      <c r="L112" s="254">
        <f t="shared" ref="L112:L125" si="15">IF(J112=0, "    ---- ", IF(ABS(ROUND(100/J112*K112-100,1))&lt;999,ROUND(100/J112*K112-100,1),IF(ROUND(100/J112*K112-100,1)&gt;999,999,-999)))</f>
        <v>-63</v>
      </c>
      <c r="M112" s="27">
        <f>IFERROR(100/'Skjema total MA'!I112*K112,0)</f>
        <v>19.428813039289683</v>
      </c>
    </row>
    <row r="113" spans="1:14" x14ac:dyDescent="0.2">
      <c r="A113" s="21" t="s">
        <v>10</v>
      </c>
      <c r="B113" s="234"/>
      <c r="C113" s="145"/>
      <c r="D113" s="166"/>
      <c r="E113" s="27"/>
      <c r="F113" s="234">
        <v>882741</v>
      </c>
      <c r="G113" s="145">
        <v>417142</v>
      </c>
      <c r="H113" s="166">
        <f t="shared" ref="H113:H125" si="16">IF(F113=0, "    ---- ", IF(ABS(ROUND(100/F113*G113-100,1))&lt;999,ROUND(100/F113*G113-100,1),IF(ROUND(100/F113*G113-100,1)&gt;999,999,-999)))</f>
        <v>-52.7</v>
      </c>
      <c r="I113" s="27">
        <f>IFERROR(100/'Skjema total MA'!F113*G113,0)</f>
        <v>4.7147509472898923</v>
      </c>
      <c r="J113" s="287">
        <f t="shared" si="14"/>
        <v>882741</v>
      </c>
      <c r="K113" s="44">
        <f t="shared" si="14"/>
        <v>417142</v>
      </c>
      <c r="L113" s="254">
        <f t="shared" si="15"/>
        <v>-52.7</v>
      </c>
      <c r="M113" s="27">
        <f>IFERROR(100/'Skjema total MA'!I113*K113,0)</f>
        <v>4.7125252808054734</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v>6434</v>
      </c>
      <c r="C116" s="234">
        <v>4194</v>
      </c>
      <c r="D116" s="166">
        <v>-34.799999999999997</v>
      </c>
      <c r="E116" s="27">
        <f>IFERROR(100/'Skjema total MA'!C116*C116,0)</f>
        <v>18.960793879488286</v>
      </c>
      <c r="F116" s="234"/>
      <c r="G116" s="234"/>
      <c r="H116" s="166"/>
      <c r="I116" s="27"/>
      <c r="J116" s="287">
        <f t="shared" si="14"/>
        <v>6434</v>
      </c>
      <c r="K116" s="44">
        <f t="shared" si="14"/>
        <v>4194</v>
      </c>
      <c r="L116" s="254">
        <f t="shared" si="15"/>
        <v>-34.799999999999997</v>
      </c>
      <c r="M116" s="27">
        <f>IFERROR(100/'Skjema total MA'!I116*K116,0)</f>
        <v>16.364196947519307</v>
      </c>
    </row>
    <row r="117" spans="1:14" ht="15.75" x14ac:dyDescent="0.2">
      <c r="A117" s="21" t="s">
        <v>391</v>
      </c>
      <c r="B117" s="234"/>
      <c r="C117" s="234"/>
      <c r="D117" s="166"/>
      <c r="E117" s="27"/>
      <c r="F117" s="234">
        <v>57749</v>
      </c>
      <c r="G117" s="234">
        <v>58728</v>
      </c>
      <c r="H117" s="166">
        <f t="shared" si="16"/>
        <v>1.7</v>
      </c>
      <c r="I117" s="27">
        <f>IFERROR(100/'Skjema total MA'!F117*G117,0)</f>
        <v>7.1537288299413468</v>
      </c>
      <c r="J117" s="287">
        <f t="shared" si="14"/>
        <v>57749</v>
      </c>
      <c r="K117" s="44">
        <f t="shared" si="14"/>
        <v>58728</v>
      </c>
      <c r="L117" s="254">
        <f t="shared" si="15"/>
        <v>1.7</v>
      </c>
      <c r="M117" s="27">
        <f>IFERROR(100/'Skjema total MA'!I117*K117,0)</f>
        <v>7.1537288299413468</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18707</v>
      </c>
      <c r="C119" s="159">
        <v>69237</v>
      </c>
      <c r="D119" s="171">
        <v>270.10000000000002</v>
      </c>
      <c r="E119" s="11">
        <f>IFERROR(100/'Skjema total MA'!C119*C119,0)</f>
        <v>14.120755590009434</v>
      </c>
      <c r="F119" s="308">
        <v>437828</v>
      </c>
      <c r="G119" s="159">
        <v>1366670</v>
      </c>
      <c r="H119" s="171">
        <f t="shared" si="16"/>
        <v>212.1</v>
      </c>
      <c r="I119" s="11">
        <f>IFERROR(100/'Skjema total MA'!F119*G119,0)</f>
        <v>15.827282856333726</v>
      </c>
      <c r="J119" s="309">
        <f t="shared" si="14"/>
        <v>456535</v>
      </c>
      <c r="K119" s="236">
        <f t="shared" si="14"/>
        <v>1435907</v>
      </c>
      <c r="L119" s="428">
        <f t="shared" si="15"/>
        <v>214.5</v>
      </c>
      <c r="M119" s="11">
        <f>IFERROR(100/'Skjema total MA'!I119*K119,0)</f>
        <v>15.735586902895909</v>
      </c>
    </row>
    <row r="120" spans="1:14" x14ac:dyDescent="0.2">
      <c r="A120" s="21" t="s">
        <v>9</v>
      </c>
      <c r="B120" s="234">
        <v>18707</v>
      </c>
      <c r="C120" s="145">
        <v>69237</v>
      </c>
      <c r="D120" s="166">
        <v>270.10000000000002</v>
      </c>
      <c r="E120" s="27">
        <f>IFERROR(100/'Skjema total MA'!C120*C120,0)</f>
        <v>15.870003908192176</v>
      </c>
      <c r="F120" s="234"/>
      <c r="G120" s="145"/>
      <c r="H120" s="166"/>
      <c r="I120" s="27"/>
      <c r="J120" s="287">
        <f t="shared" si="14"/>
        <v>18707</v>
      </c>
      <c r="K120" s="44">
        <f t="shared" si="14"/>
        <v>69237</v>
      </c>
      <c r="L120" s="254">
        <f t="shared" si="15"/>
        <v>270.10000000000002</v>
      </c>
      <c r="M120" s="27">
        <f>IFERROR(100/'Skjema total MA'!I120*K120,0)</f>
        <v>15.870003908192176</v>
      </c>
    </row>
    <row r="121" spans="1:14" x14ac:dyDescent="0.2">
      <c r="A121" s="21" t="s">
        <v>10</v>
      </c>
      <c r="B121" s="234"/>
      <c r="C121" s="145"/>
      <c r="D121" s="166"/>
      <c r="E121" s="27"/>
      <c r="F121" s="234">
        <v>437828</v>
      </c>
      <c r="G121" s="145">
        <v>1366670</v>
      </c>
      <c r="H121" s="166">
        <f t="shared" si="16"/>
        <v>212.1</v>
      </c>
      <c r="I121" s="27">
        <f>IFERROR(100/'Skjema total MA'!F121*G121,0)</f>
        <v>15.827282856333726</v>
      </c>
      <c r="J121" s="287">
        <f t="shared" si="14"/>
        <v>437828</v>
      </c>
      <c r="K121" s="44">
        <f t="shared" si="14"/>
        <v>1366670</v>
      </c>
      <c r="L121" s="254">
        <f t="shared" si="15"/>
        <v>212.1</v>
      </c>
      <c r="M121" s="27">
        <f>IFERROR(100/'Skjema total MA'!I121*K121,0)</f>
        <v>15.821905043906819</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v>93262</v>
      </c>
      <c r="G125" s="234">
        <v>137531</v>
      </c>
      <c r="H125" s="166">
        <f t="shared" si="16"/>
        <v>47.5</v>
      </c>
      <c r="I125" s="27">
        <f>IFERROR(100/'Skjema total MA'!F125*G125,0)</f>
        <v>16.764995968346074</v>
      </c>
      <c r="J125" s="287">
        <f t="shared" si="14"/>
        <v>93262</v>
      </c>
      <c r="K125" s="44">
        <f t="shared" si="14"/>
        <v>137531</v>
      </c>
      <c r="L125" s="254">
        <f t="shared" si="15"/>
        <v>47.5</v>
      </c>
      <c r="M125" s="27">
        <f>IFERROR(100/'Skjema total MA'!I125*K125,0)</f>
        <v>16.764658200845517</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506" priority="132">
      <formula>kvartal &lt; 4</formula>
    </cfRule>
  </conditionalFormatting>
  <conditionalFormatting sqref="B115">
    <cfRule type="expression" dxfId="505" priority="76">
      <formula>kvartal &lt; 4</formula>
    </cfRule>
  </conditionalFormatting>
  <conditionalFormatting sqref="C115">
    <cfRule type="expression" dxfId="504" priority="75">
      <formula>kvartal &lt; 4</formula>
    </cfRule>
  </conditionalFormatting>
  <conditionalFormatting sqref="B123">
    <cfRule type="expression" dxfId="503" priority="74">
      <formula>kvartal &lt; 4</formula>
    </cfRule>
  </conditionalFormatting>
  <conditionalFormatting sqref="C123">
    <cfRule type="expression" dxfId="502" priority="73">
      <formula>kvartal &lt; 4</formula>
    </cfRule>
  </conditionalFormatting>
  <conditionalFormatting sqref="F115">
    <cfRule type="expression" dxfId="501" priority="58">
      <formula>kvartal &lt; 4</formula>
    </cfRule>
  </conditionalFormatting>
  <conditionalFormatting sqref="G115">
    <cfRule type="expression" dxfId="500" priority="57">
      <formula>kvartal &lt; 4</formula>
    </cfRule>
  </conditionalFormatting>
  <conditionalFormatting sqref="F123:G123">
    <cfRule type="expression" dxfId="499" priority="56">
      <formula>kvartal &lt; 4</formula>
    </cfRule>
  </conditionalFormatting>
  <conditionalFormatting sqref="J115:K115">
    <cfRule type="expression" dxfId="498" priority="32">
      <formula>kvartal &lt; 4</formula>
    </cfRule>
  </conditionalFormatting>
  <conditionalFormatting sqref="J123:K123">
    <cfRule type="expression" dxfId="497" priority="31">
      <formula>kvartal &lt; 4</formula>
    </cfRule>
  </conditionalFormatting>
  <conditionalFormatting sqref="A50:A52">
    <cfRule type="expression" dxfId="496" priority="12">
      <formula>kvartal &lt; 4</formula>
    </cfRule>
  </conditionalFormatting>
  <conditionalFormatting sqref="A69:A74">
    <cfRule type="expression" dxfId="495" priority="10">
      <formula>kvartal &lt; 4</formula>
    </cfRule>
  </conditionalFormatting>
  <conditionalFormatting sqref="A80:A85">
    <cfRule type="expression" dxfId="494" priority="9">
      <formula>kvartal &lt; 4</formula>
    </cfRule>
  </conditionalFormatting>
  <conditionalFormatting sqref="A90:A95">
    <cfRule type="expression" dxfId="493" priority="6">
      <formula>kvartal &lt; 4</formula>
    </cfRule>
  </conditionalFormatting>
  <conditionalFormatting sqref="A101:A106">
    <cfRule type="expression" dxfId="492" priority="5">
      <formula>kvartal &lt; 4</formula>
    </cfRule>
  </conditionalFormatting>
  <conditionalFormatting sqref="A115">
    <cfRule type="expression" dxfId="491" priority="4">
      <formula>kvartal &lt; 4</formula>
    </cfRule>
  </conditionalFormatting>
  <conditionalFormatting sqref="A123">
    <cfRule type="expression" dxfId="490" priority="3">
      <formula>kvartal &lt; 4</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91</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9199.4593499999992</v>
      </c>
      <c r="C7" s="307">
        <v>8942.1200000000008</v>
      </c>
      <c r="D7" s="350">
        <f>IF(B7=0, "    ---- ", IF(ABS(ROUND(100/B7*C7-100,1))&lt;999,ROUND(100/B7*C7-100,1),IF(ROUND(100/B7*C7-100,1)&gt;999,999,-999)))</f>
        <v>-2.8</v>
      </c>
      <c r="E7" s="11">
        <f>IFERROR(100/'Skjema total MA'!C7*C7,0)</f>
        <v>0.57523539297129456</v>
      </c>
      <c r="F7" s="306"/>
      <c r="G7" s="307"/>
      <c r="H7" s="350"/>
      <c r="I7" s="160"/>
      <c r="J7" s="308">
        <f t="shared" ref="J7:K10" si="0">SUM(B7,F7)</f>
        <v>9199.4593499999992</v>
      </c>
      <c r="K7" s="309">
        <f t="shared" si="0"/>
        <v>8942.1200000000008</v>
      </c>
      <c r="L7" s="427">
        <f>IF(J7=0, "    ---- ", IF(ABS(ROUND(100/J7*K7-100,1))&lt;999,ROUND(100/J7*K7-100,1),IF(ROUND(100/J7*K7-100,1)&gt;999,999,-999)))</f>
        <v>-2.8</v>
      </c>
      <c r="M7" s="11">
        <f>IFERROR(100/'Skjema total MA'!I7*K7,0)</f>
        <v>0.21879159887467137</v>
      </c>
    </row>
    <row r="8" spans="1:14" ht="15.75" x14ac:dyDescent="0.2">
      <c r="A8" s="21" t="s">
        <v>25</v>
      </c>
      <c r="B8" s="281">
        <v>5635.4140367</v>
      </c>
      <c r="C8" s="282">
        <v>5508.3596336000001</v>
      </c>
      <c r="D8" s="166">
        <f t="shared" ref="D8:D10" si="1">IF(B8=0, "    ---- ", IF(ABS(ROUND(100/B8*C8-100,1))&lt;999,ROUND(100/B8*C8-100,1),IF(ROUND(100/B8*C8-100,1)&gt;999,999,-999)))</f>
        <v>-2.2999999999999998</v>
      </c>
      <c r="E8" s="27">
        <f>IFERROR(100/'Skjema total MA'!C8*C8,0)</f>
        <v>0.53105247256043209</v>
      </c>
      <c r="F8" s="285"/>
      <c r="G8" s="286"/>
      <c r="H8" s="166"/>
      <c r="I8" s="175"/>
      <c r="J8" s="234">
        <f t="shared" si="0"/>
        <v>5635.4140367</v>
      </c>
      <c r="K8" s="287">
        <f t="shared" si="0"/>
        <v>5508.3596336000001</v>
      </c>
      <c r="L8" s="166">
        <f t="shared" ref="L8:L9" si="2">IF(J8=0, "    ---- ", IF(ABS(ROUND(100/J8*K8-100,1))&lt;999,ROUND(100/J8*K8-100,1),IF(ROUND(100/J8*K8-100,1)&gt;999,999,-999)))</f>
        <v>-2.2999999999999998</v>
      </c>
      <c r="M8" s="27">
        <f>IFERROR(100/'Skjema total MA'!I8*K8,0)</f>
        <v>0.53105247256043209</v>
      </c>
    </row>
    <row r="9" spans="1:14" ht="15.75" x14ac:dyDescent="0.2">
      <c r="A9" s="21" t="s">
        <v>24</v>
      </c>
      <c r="B9" s="281">
        <v>3386.1510039</v>
      </c>
      <c r="C9" s="282">
        <v>3290.4304112</v>
      </c>
      <c r="D9" s="166">
        <f t="shared" si="1"/>
        <v>-2.8</v>
      </c>
      <c r="E9" s="27">
        <f>IFERROR(100/'Skjema total MA'!C9*C9,0)</f>
        <v>0.9869496023378409</v>
      </c>
      <c r="F9" s="285"/>
      <c r="G9" s="286"/>
      <c r="H9" s="166"/>
      <c r="I9" s="175"/>
      <c r="J9" s="234">
        <f t="shared" si="0"/>
        <v>3386.1510039</v>
      </c>
      <c r="K9" s="287">
        <f t="shared" si="0"/>
        <v>3290.4304112</v>
      </c>
      <c r="L9" s="166">
        <f t="shared" si="2"/>
        <v>-2.8</v>
      </c>
      <c r="M9" s="27">
        <f>IFERROR(100/'Skjema total MA'!I9*K9,0)</f>
        <v>0.9869496023378409</v>
      </c>
    </row>
    <row r="10" spans="1:14" ht="15.75" x14ac:dyDescent="0.2">
      <c r="A10" s="13" t="s">
        <v>368</v>
      </c>
      <c r="B10" s="310">
        <v>22149.061791620199</v>
      </c>
      <c r="C10" s="311">
        <v>25347.7612336075</v>
      </c>
      <c r="D10" s="171">
        <f t="shared" si="1"/>
        <v>14.4</v>
      </c>
      <c r="E10" s="11">
        <f>IFERROR(100/'Skjema total MA'!C10*C10,0)</f>
        <v>0.1344517368689602</v>
      </c>
      <c r="F10" s="310"/>
      <c r="G10" s="311"/>
      <c r="H10" s="171"/>
      <c r="I10" s="160"/>
      <c r="J10" s="308">
        <f t="shared" si="0"/>
        <v>22149.061791620199</v>
      </c>
      <c r="K10" s="309">
        <f t="shared" si="0"/>
        <v>25347.7612336075</v>
      </c>
      <c r="L10" s="428">
        <f t="shared" ref="L10" si="3">IF(J10=0, "    ---- ", IF(ABS(ROUND(100/J10*K10-100,1))&lt;999,ROUND(100/J10*K10-100,1),IF(ROUND(100/J10*K10-100,1)&gt;999,999,-999)))</f>
        <v>14.4</v>
      </c>
      <c r="M10" s="11">
        <f>IFERROR(100/'Skjema total MA'!I10*K10,0)</f>
        <v>3.8720915069437374E-2</v>
      </c>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28.416</v>
      </c>
      <c r="C22" s="310">
        <v>27.748799999999999</v>
      </c>
      <c r="D22" s="350">
        <f t="shared" ref="D22:D29" si="4">IF(B22=0, "    ---- ", IF(ABS(ROUND(100/B22*C22-100,1))&lt;999,ROUND(100/B22*C22-100,1),IF(ROUND(100/B22*C22-100,1)&gt;999,999,-999)))</f>
        <v>-2.2999999999999998</v>
      </c>
      <c r="E22" s="11">
        <f>IFERROR(100/'Skjema total MA'!C22*C22,0)</f>
        <v>3.9956284806327621E-3</v>
      </c>
      <c r="F22" s="318"/>
      <c r="G22" s="318"/>
      <c r="H22" s="350"/>
      <c r="I22" s="11"/>
      <c r="J22" s="316">
        <f t="shared" ref="J22:K29" si="5">SUM(B22,F22)</f>
        <v>28.416</v>
      </c>
      <c r="K22" s="316">
        <f t="shared" si="5"/>
        <v>27.748799999999999</v>
      </c>
      <c r="L22" s="427">
        <f t="shared" ref="L22:L29" si="6">IF(J22=0, "    ---- ", IF(ABS(ROUND(100/J22*K22-100,1))&lt;999,ROUND(100/J22*K22-100,1),IF(ROUND(100/J22*K22-100,1)&gt;999,999,-999)))</f>
        <v>-2.2999999999999998</v>
      </c>
      <c r="M22" s="24">
        <f>IFERROR(100/'Skjema total MA'!I22*K22,0)</f>
        <v>2.6979516540693508E-3</v>
      </c>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v>28.416</v>
      </c>
      <c r="C24" s="281">
        <v>27.748799999999999</v>
      </c>
      <c r="D24" s="166">
        <f t="shared" ref="D24" si="7">IF(B24=0, "    ---- ", IF(ABS(ROUND(100/B24*C24-100,1))&lt;999,ROUND(100/B24*C24-100,1),IF(ROUND(100/B24*C24-100,1)&gt;999,999,-999)))</f>
        <v>-2.2999999999999998</v>
      </c>
      <c r="E24" s="11">
        <f>IFERROR(100/'Skjema total MA'!C24*C24,0)</f>
        <v>0.37161918088199619</v>
      </c>
      <c r="F24" s="290"/>
      <c r="G24" s="290"/>
      <c r="H24" s="166"/>
      <c r="I24" s="417"/>
      <c r="J24" s="290">
        <f t="shared" ref="J24" si="8">SUM(B24,F24)</f>
        <v>28.416</v>
      </c>
      <c r="K24" s="290">
        <f t="shared" ref="K24" si="9">SUM(C24,G24)</f>
        <v>27.748799999999999</v>
      </c>
      <c r="L24" s="166">
        <f t="shared" ref="L24" si="10">IF(J24=0, "    ---- ", IF(ABS(ROUND(100/J24*K24-100,1))&lt;999,ROUND(100/J24*K24-100,1),IF(ROUND(100/J24*K24-100,1)&gt;999,999,-999)))</f>
        <v>-2.2999999999999998</v>
      </c>
      <c r="M24" s="23">
        <f>IFERROR(100/'Skjema total MA'!I24*K24,0)</f>
        <v>0.34643183796282495</v>
      </c>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v>2007</v>
      </c>
      <c r="C29" s="236">
        <v>1670.5965856538</v>
      </c>
      <c r="D29" s="171">
        <f t="shared" si="4"/>
        <v>-16.8</v>
      </c>
      <c r="E29" s="11">
        <f>IFERROR(100/'Skjema total MA'!C29*C29,0)</f>
        <v>3.5673010753447553E-3</v>
      </c>
      <c r="F29" s="308"/>
      <c r="G29" s="308"/>
      <c r="H29" s="171"/>
      <c r="I29" s="11"/>
      <c r="J29" s="236">
        <f t="shared" si="5"/>
        <v>2007</v>
      </c>
      <c r="K29" s="236">
        <f t="shared" si="5"/>
        <v>1670.5965856538</v>
      </c>
      <c r="L29" s="428">
        <f t="shared" si="6"/>
        <v>-16.8</v>
      </c>
      <c r="M29" s="24">
        <f>IFERROR(100/'Skjema total MA'!I29*K29,0)</f>
        <v>2.4964606677264803E-3</v>
      </c>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v>2007</v>
      </c>
      <c r="C31" s="281">
        <v>1670.5965856538</v>
      </c>
      <c r="D31" s="166">
        <f t="shared" ref="D31" si="11">IF(B31=0, "    ---- ", IF(ABS(ROUND(100/B31*C31-100,1))&lt;999,ROUND(100/B31*C31-100,1),IF(ROUND(100/B31*C31-100,1)&gt;999,999,-999)))</f>
        <v>-16.8</v>
      </c>
      <c r="E31" s="11">
        <f>IFERROR(100/'Skjema total MA'!C31*C31,0)</f>
        <v>6.8222397934960839E-3</v>
      </c>
      <c r="F31" s="290"/>
      <c r="G31" s="290"/>
      <c r="H31" s="166"/>
      <c r="I31" s="417"/>
      <c r="J31" s="290">
        <f t="shared" ref="J31" si="12">SUM(B31,F31)</f>
        <v>2007</v>
      </c>
      <c r="K31" s="290">
        <f t="shared" ref="K31" si="13">SUM(C31,G31)</f>
        <v>1670.5965856538</v>
      </c>
      <c r="L31" s="166">
        <f t="shared" ref="L31" si="14">IF(J31=0, "    ---- ", IF(ABS(ROUND(100/J31*K31-100,1))&lt;999,ROUND(100/J31*K31-100,1),IF(ROUND(100/J31*K31-100,1)&gt;999,999,-999)))</f>
        <v>-16.8</v>
      </c>
      <c r="M31" s="23">
        <f>IFERROR(100/'Skjema total MA'!I31*K31,0)</f>
        <v>5.0433335538655243E-3</v>
      </c>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89" priority="132">
      <formula>kvartal &lt; 4</formula>
    </cfRule>
  </conditionalFormatting>
  <conditionalFormatting sqref="B115">
    <cfRule type="expression" dxfId="488" priority="76">
      <formula>kvartal &lt; 4</formula>
    </cfRule>
  </conditionalFormatting>
  <conditionalFormatting sqref="C115">
    <cfRule type="expression" dxfId="487" priority="75">
      <formula>kvartal &lt; 4</formula>
    </cfRule>
  </conditionalFormatting>
  <conditionalFormatting sqref="B123">
    <cfRule type="expression" dxfId="486" priority="74">
      <formula>kvartal &lt; 4</formula>
    </cfRule>
  </conditionalFormatting>
  <conditionalFormatting sqref="C123">
    <cfRule type="expression" dxfId="485" priority="73">
      <formula>kvartal &lt; 4</formula>
    </cfRule>
  </conditionalFormatting>
  <conditionalFormatting sqref="F115">
    <cfRule type="expression" dxfId="484" priority="58">
      <formula>kvartal &lt; 4</formula>
    </cfRule>
  </conditionalFormatting>
  <conditionalFormatting sqref="G115">
    <cfRule type="expression" dxfId="483" priority="57">
      <formula>kvartal &lt; 4</formula>
    </cfRule>
  </conditionalFormatting>
  <conditionalFormatting sqref="F123:G123">
    <cfRule type="expression" dxfId="482" priority="56">
      <formula>kvartal &lt; 4</formula>
    </cfRule>
  </conditionalFormatting>
  <conditionalFormatting sqref="J115:K115">
    <cfRule type="expression" dxfId="481" priority="32">
      <formula>kvartal &lt; 4</formula>
    </cfRule>
  </conditionalFormatting>
  <conditionalFormatting sqref="J123:K123">
    <cfRule type="expression" dxfId="480" priority="31">
      <formula>kvartal &lt; 4</formula>
    </cfRule>
  </conditionalFormatting>
  <conditionalFormatting sqref="A50:A52">
    <cfRule type="expression" dxfId="479" priority="12">
      <formula>kvartal &lt; 4</formula>
    </cfRule>
  </conditionalFormatting>
  <conditionalFormatting sqref="A69:A74">
    <cfRule type="expression" dxfId="478" priority="10">
      <formula>kvartal &lt; 4</formula>
    </cfRule>
  </conditionalFormatting>
  <conditionalFormatting sqref="A80:A85">
    <cfRule type="expression" dxfId="477" priority="9">
      <formula>kvartal &lt; 4</formula>
    </cfRule>
  </conditionalFormatting>
  <conditionalFormatting sqref="A90:A95">
    <cfRule type="expression" dxfId="476" priority="6">
      <formula>kvartal &lt; 4</formula>
    </cfRule>
  </conditionalFormatting>
  <conditionalFormatting sqref="A101:A106">
    <cfRule type="expression" dxfId="475" priority="5">
      <formula>kvartal &lt; 4</formula>
    </cfRule>
  </conditionalFormatting>
  <conditionalFormatting sqref="A115">
    <cfRule type="expression" dxfId="474" priority="4">
      <formula>kvartal &lt; 4</formula>
    </cfRule>
  </conditionalFormatting>
  <conditionalFormatting sqref="A123">
    <cfRule type="expression" dxfId="473" priority="3">
      <formula>kvartal &lt; 4</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N144"/>
  <sheetViews>
    <sheetView showGridLines="0" zoomScaleNormal="100" workbookViewId="0">
      <selection activeCell="A3" sqref="A3"/>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131</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93865.346000000005</v>
      </c>
      <c r="C7" s="307">
        <v>102588.50700000001</v>
      </c>
      <c r="D7" s="350">
        <f>IF(B7=0, "    ---- ", IF(ABS(ROUND(100/B7*C7-100,1))&lt;999,ROUND(100/B7*C7-100,1),IF(ROUND(100/B7*C7-100,1)&gt;999,999,-999)))</f>
        <v>9.3000000000000007</v>
      </c>
      <c r="E7" s="11">
        <f>IFERROR(100/'Skjema total MA'!C7*C7,0)</f>
        <v>6.5993903166680159</v>
      </c>
      <c r="F7" s="306"/>
      <c r="G7" s="307"/>
      <c r="H7" s="350"/>
      <c r="I7" s="160"/>
      <c r="J7" s="308">
        <f t="shared" ref="J7:K12" si="0">SUM(B7,F7)</f>
        <v>93865.346000000005</v>
      </c>
      <c r="K7" s="309">
        <f t="shared" si="0"/>
        <v>102588.50700000001</v>
      </c>
      <c r="L7" s="427">
        <f>IF(J7=0, "    ---- ", IF(ABS(ROUND(100/J7*K7-100,1))&lt;999,ROUND(100/J7*K7-100,1),IF(ROUND(100/J7*K7-100,1)&gt;999,999,-999)))</f>
        <v>9.3000000000000007</v>
      </c>
      <c r="M7" s="11">
        <f>IFERROR(100/'Skjema total MA'!I7*K7,0)</f>
        <v>2.5100874817935139</v>
      </c>
    </row>
    <row r="8" spans="1:14" ht="15.75" x14ac:dyDescent="0.2">
      <c r="A8" s="21" t="s">
        <v>25</v>
      </c>
      <c r="B8" s="281">
        <v>61328.510999999999</v>
      </c>
      <c r="C8" s="282">
        <v>69374.259000000005</v>
      </c>
      <c r="D8" s="166">
        <f t="shared" ref="D8:D12" si="1">IF(B8=0, "    ---- ", IF(ABS(ROUND(100/B8*C8-100,1))&lt;999,ROUND(100/B8*C8-100,1),IF(ROUND(100/B8*C8-100,1)&gt;999,999,-999)))</f>
        <v>13.1</v>
      </c>
      <c r="E8" s="27">
        <f>IFERROR(100/'Skjema total MA'!C8*C8,0)</f>
        <v>6.6882655136153586</v>
      </c>
      <c r="F8" s="285"/>
      <c r="G8" s="286"/>
      <c r="H8" s="166"/>
      <c r="I8" s="175"/>
      <c r="J8" s="234">
        <f t="shared" si="0"/>
        <v>61328.510999999999</v>
      </c>
      <c r="K8" s="287">
        <f t="shared" si="0"/>
        <v>69374.259000000005</v>
      </c>
      <c r="L8" s="254"/>
      <c r="M8" s="27">
        <f>IFERROR(100/'Skjema total MA'!I8*K8,0)</f>
        <v>6.6882655136153586</v>
      </c>
    </row>
    <row r="9" spans="1:14" ht="15.75" x14ac:dyDescent="0.2">
      <c r="A9" s="21" t="s">
        <v>24</v>
      </c>
      <c r="B9" s="281">
        <v>32536.834999999999</v>
      </c>
      <c r="C9" s="282">
        <v>33214.248</v>
      </c>
      <c r="D9" s="166">
        <f t="shared" si="1"/>
        <v>2.1</v>
      </c>
      <c r="E9" s="27">
        <f>IFERROR(100/'Skjema total MA'!C9*C9,0)</f>
        <v>9.9624622796977711</v>
      </c>
      <c r="F9" s="285"/>
      <c r="G9" s="286"/>
      <c r="H9" s="166"/>
      <c r="I9" s="175"/>
      <c r="J9" s="234">
        <f t="shared" si="0"/>
        <v>32536.834999999999</v>
      </c>
      <c r="K9" s="287">
        <f t="shared" si="0"/>
        <v>33214.248</v>
      </c>
      <c r="L9" s="254"/>
      <c r="M9" s="27">
        <f>IFERROR(100/'Skjema total MA'!I9*K9,0)</f>
        <v>9.9624622796977711</v>
      </c>
    </row>
    <row r="10" spans="1:14" ht="15.75" x14ac:dyDescent="0.2">
      <c r="A10" s="13" t="s">
        <v>368</v>
      </c>
      <c r="B10" s="310"/>
      <c r="C10" s="311"/>
      <c r="D10" s="171" t="str">
        <f t="shared" si="1"/>
        <v xml:space="preserve">    ---- </v>
      </c>
      <c r="E10" s="11">
        <f>IFERROR(100/'Skjema total MA'!C10*C10,0)</f>
        <v>0</v>
      </c>
      <c r="F10" s="310"/>
      <c r="G10" s="311"/>
      <c r="H10" s="171"/>
      <c r="I10" s="160"/>
      <c r="J10" s="308">
        <f t="shared" si="0"/>
        <v>0</v>
      </c>
      <c r="K10" s="309">
        <f t="shared" si="0"/>
        <v>0</v>
      </c>
      <c r="L10" s="428" t="str">
        <f t="shared" ref="L10:L12" si="2">IF(J10=0, "    ---- ", IF(ABS(ROUND(100/J10*K10-100,1))&lt;999,ROUND(100/J10*K10-100,1),IF(ROUND(100/J10*K10-100,1)&gt;999,999,-999)))</f>
        <v xml:space="preserve">    ---- </v>
      </c>
      <c r="M10" s="11">
        <f>IFERROR(100/'Skjema total MA'!I10*K10,0)</f>
        <v>0</v>
      </c>
    </row>
    <row r="11" spans="1:14" s="43" customFormat="1" ht="15.75" x14ac:dyDescent="0.2">
      <c r="A11" s="13" t="s">
        <v>369</v>
      </c>
      <c r="B11" s="310"/>
      <c r="C11" s="311"/>
      <c r="D11" s="171" t="str">
        <f t="shared" si="1"/>
        <v xml:space="preserve">    ---- </v>
      </c>
      <c r="E11" s="11">
        <f>IFERROR(100/'Skjema total MA'!C11*C11,0)</f>
        <v>0</v>
      </c>
      <c r="F11" s="310"/>
      <c r="G11" s="311"/>
      <c r="H11" s="171"/>
      <c r="I11" s="160"/>
      <c r="J11" s="308">
        <f t="shared" si="0"/>
        <v>0</v>
      </c>
      <c r="K11" s="309">
        <f t="shared" si="0"/>
        <v>0</v>
      </c>
      <c r="L11" s="428" t="str">
        <f t="shared" si="2"/>
        <v xml:space="preserve">    ---- </v>
      </c>
      <c r="M11" s="11">
        <f>IFERROR(100/'Skjema total MA'!I11*K11,0)</f>
        <v>0</v>
      </c>
      <c r="N11" s="143"/>
    </row>
    <row r="12" spans="1:14" s="43" customFormat="1" ht="15.75" x14ac:dyDescent="0.2">
      <c r="A12" s="41" t="s">
        <v>370</v>
      </c>
      <c r="B12" s="312"/>
      <c r="C12" s="313"/>
      <c r="D12" s="169" t="str">
        <f t="shared" si="1"/>
        <v xml:space="preserve">    ---- </v>
      </c>
      <c r="E12" s="36">
        <f>IFERROR(100/'Skjema total MA'!C12*C12,0)</f>
        <v>0</v>
      </c>
      <c r="F12" s="312"/>
      <c r="G12" s="313"/>
      <c r="H12" s="169"/>
      <c r="I12" s="169"/>
      <c r="J12" s="314">
        <f t="shared" si="0"/>
        <v>0</v>
      </c>
      <c r="K12" s="315">
        <f t="shared" si="0"/>
        <v>0</v>
      </c>
      <c r="L12" s="429" t="str">
        <f t="shared" si="2"/>
        <v xml:space="preserve">    ---- </v>
      </c>
      <c r="M12" s="36">
        <f>IFERROR(100/'Skjema total MA'!I12*K12,0)</f>
        <v>0</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39534.535000000003</v>
      </c>
      <c r="C28" s="287">
        <v>48738.766000000003</v>
      </c>
      <c r="D28" s="166">
        <f t="shared" ref="D28" si="3">IF(B28=0, "    ---- ", IF(ABS(ROUND(100/B28*C28-100,1))&lt;999,ROUND(100/B28*C28-100,1),IF(ROUND(100/B28*C28-100,1)&gt;999,999,-999)))</f>
        <v>23.3</v>
      </c>
      <c r="E28" s="11">
        <f>IFERROR(100/'Skjema total MA'!C28*C28,0)</f>
        <v>6.6919012695729938</v>
      </c>
      <c r="F28" s="234"/>
      <c r="G28" s="287"/>
      <c r="H28" s="166"/>
      <c r="I28" s="27"/>
      <c r="J28" s="44">
        <f t="shared" ref="J28:K28" si="4">SUM(B28,F28)</f>
        <v>39534.535000000003</v>
      </c>
      <c r="K28" s="44">
        <f t="shared" si="4"/>
        <v>48738.766000000003</v>
      </c>
      <c r="L28" s="254">
        <f t="shared" ref="L28" si="5">IF(J28=0, "    ---- ", IF(ABS(ROUND(100/J28*K28-100,1))&lt;999,ROUND(100/J28*K28-100,1),IF(ROUND(100/J28*K28-100,1)&gt;999,999,-999)))</f>
        <v>23.3</v>
      </c>
      <c r="M28" s="23">
        <f>IFERROR(100/'Skjema total MA'!I28*K28,0)</f>
        <v>6.6919012695729938</v>
      </c>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58537</v>
      </c>
      <c r="C47" s="311">
        <v>58783</v>
      </c>
      <c r="D47" s="427">
        <f t="shared" ref="D47:D57" si="6">IF(B47=0, "    ---- ", IF(ABS(ROUND(100/B47*C47-100,1))&lt;999,ROUND(100/B47*C47-100,1),IF(ROUND(100/B47*C47-100,1)&gt;999,999,-999)))</f>
        <v>0.4</v>
      </c>
      <c r="E47" s="11">
        <f>IFERROR(100/'Skjema total MA'!C47*C47,0)</f>
        <v>2.03711079630934</v>
      </c>
      <c r="F47" s="145"/>
      <c r="G47" s="33"/>
      <c r="H47" s="159"/>
      <c r="I47" s="159"/>
      <c r="J47" s="37"/>
      <c r="K47" s="37"/>
      <c r="L47" s="159"/>
      <c r="M47" s="159"/>
      <c r="N47" s="148"/>
    </row>
    <row r="48" spans="1:14" s="3" customFormat="1" ht="15.75" x14ac:dyDescent="0.2">
      <c r="A48" s="38" t="s">
        <v>379</v>
      </c>
      <c r="B48" s="281">
        <v>58537</v>
      </c>
      <c r="C48" s="282">
        <v>58783</v>
      </c>
      <c r="D48" s="254">
        <f t="shared" si="6"/>
        <v>0.4</v>
      </c>
      <c r="E48" s="27">
        <f>IFERROR(100/'Skjema total MA'!C48*C48,0)</f>
        <v>3.7485285296735151</v>
      </c>
      <c r="F48" s="145"/>
      <c r="G48" s="33"/>
      <c r="H48" s="145"/>
      <c r="I48" s="145"/>
      <c r="J48" s="33"/>
      <c r="K48" s="33"/>
      <c r="L48" s="159"/>
      <c r="M48" s="159"/>
      <c r="N48" s="148"/>
    </row>
    <row r="49" spans="1:14" s="3" customFormat="1" ht="15.75" x14ac:dyDescent="0.2">
      <c r="A49" s="38" t="s">
        <v>380</v>
      </c>
      <c r="B49" s="44"/>
      <c r="C49" s="287"/>
      <c r="D49" s="254" t="str">
        <f>IF(B49=0, "    ---- ", IF(ABS(ROUND(100/B49*C49-100,1))&lt;999,ROUND(100/B49*C49-100,1),IF(ROUND(100/B49*C49-100,1)&gt;999,999,-999)))</f>
        <v xml:space="preserve">    ---- </v>
      </c>
      <c r="E49" s="27">
        <f>IFERROR(100/'Skjema total MA'!C49*C49,0)</f>
        <v>0</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1088.915</v>
      </c>
      <c r="C53" s="311">
        <v>2019.4259999999999</v>
      </c>
      <c r="D53" s="428">
        <f t="shared" si="6"/>
        <v>85.5</v>
      </c>
      <c r="E53" s="11">
        <f>IFERROR(100/'Skjema total MA'!C53*C53,0)</f>
        <v>1.9758290552791966</v>
      </c>
      <c r="F53" s="145"/>
      <c r="G53" s="33"/>
      <c r="H53" s="145"/>
      <c r="I53" s="145"/>
      <c r="J53" s="33"/>
      <c r="K53" s="33"/>
      <c r="L53" s="159"/>
      <c r="M53" s="159"/>
      <c r="N53" s="148"/>
    </row>
    <row r="54" spans="1:14" s="3" customFormat="1" ht="15.75" x14ac:dyDescent="0.2">
      <c r="A54" s="38" t="s">
        <v>379</v>
      </c>
      <c r="B54" s="281">
        <v>1088.915</v>
      </c>
      <c r="C54" s="282">
        <v>2019.4259999999999</v>
      </c>
      <c r="D54" s="254">
        <f t="shared" si="6"/>
        <v>85.5</v>
      </c>
      <c r="E54" s="27">
        <f>IFERROR(100/'Skjema total MA'!C54*C54,0)</f>
        <v>1.9758290552791966</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3395.9479999999999</v>
      </c>
      <c r="C56" s="311">
        <v>3419.9229999999998</v>
      </c>
      <c r="D56" s="428">
        <f t="shared" si="6"/>
        <v>0.7</v>
      </c>
      <c r="E56" s="11">
        <f>IFERROR(100/'Skjema total MA'!C56*C56,0)</f>
        <v>3.6209913254446953</v>
      </c>
      <c r="F56" s="145"/>
      <c r="G56" s="33"/>
      <c r="H56" s="145"/>
      <c r="I56" s="145"/>
      <c r="J56" s="33"/>
      <c r="K56" s="33"/>
      <c r="L56" s="159"/>
      <c r="M56" s="159"/>
      <c r="N56" s="148"/>
    </row>
    <row r="57" spans="1:14" s="3" customFormat="1" ht="15.75" x14ac:dyDescent="0.2">
      <c r="A57" s="38" t="s">
        <v>379</v>
      </c>
      <c r="B57" s="281">
        <v>3395.9479999999999</v>
      </c>
      <c r="C57" s="282">
        <v>3419.9229999999998</v>
      </c>
      <c r="D57" s="254">
        <f t="shared" si="6"/>
        <v>0.7</v>
      </c>
      <c r="E57" s="27">
        <f>IFERROR(100/'Skjema total MA'!C57*C57,0)</f>
        <v>3.6209913254446953</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72" priority="132">
      <formula>kvartal &lt; 4</formula>
    </cfRule>
  </conditionalFormatting>
  <conditionalFormatting sqref="B115">
    <cfRule type="expression" dxfId="471" priority="76">
      <formula>kvartal &lt; 4</formula>
    </cfRule>
  </conditionalFormatting>
  <conditionalFormatting sqref="C115">
    <cfRule type="expression" dxfId="470" priority="75">
      <formula>kvartal &lt; 4</formula>
    </cfRule>
  </conditionalFormatting>
  <conditionalFormatting sqref="B123">
    <cfRule type="expression" dxfId="469" priority="74">
      <formula>kvartal &lt; 4</formula>
    </cfRule>
  </conditionalFormatting>
  <conditionalFormatting sqref="C123">
    <cfRule type="expression" dxfId="468" priority="73">
      <formula>kvartal &lt; 4</formula>
    </cfRule>
  </conditionalFormatting>
  <conditionalFormatting sqref="F115">
    <cfRule type="expression" dxfId="467" priority="58">
      <formula>kvartal &lt; 4</formula>
    </cfRule>
  </conditionalFormatting>
  <conditionalFormatting sqref="G115">
    <cfRule type="expression" dxfId="466" priority="57">
      <formula>kvartal &lt; 4</formula>
    </cfRule>
  </conditionalFormatting>
  <conditionalFormatting sqref="F123:G123">
    <cfRule type="expression" dxfId="465" priority="56">
      <formula>kvartal &lt; 4</formula>
    </cfRule>
  </conditionalFormatting>
  <conditionalFormatting sqref="J115:K115">
    <cfRule type="expression" dxfId="464" priority="32">
      <formula>kvartal &lt; 4</formula>
    </cfRule>
  </conditionalFormatting>
  <conditionalFormatting sqref="J123:K123">
    <cfRule type="expression" dxfId="463" priority="31">
      <formula>kvartal &lt; 4</formula>
    </cfRule>
  </conditionalFormatting>
  <conditionalFormatting sqref="A50:A52">
    <cfRule type="expression" dxfId="462" priority="12">
      <formula>kvartal &lt; 4</formula>
    </cfRule>
  </conditionalFormatting>
  <conditionalFormatting sqref="A69:A74">
    <cfRule type="expression" dxfId="461" priority="10">
      <formula>kvartal &lt; 4</formula>
    </cfRule>
  </conditionalFormatting>
  <conditionalFormatting sqref="A80:A85">
    <cfRule type="expression" dxfId="460" priority="9">
      <formula>kvartal &lt; 4</formula>
    </cfRule>
  </conditionalFormatting>
  <conditionalFormatting sqref="A90:A95">
    <cfRule type="expression" dxfId="459" priority="6">
      <formula>kvartal &lt; 4</formula>
    </cfRule>
  </conditionalFormatting>
  <conditionalFormatting sqref="A101:A106">
    <cfRule type="expression" dxfId="458" priority="5">
      <formula>kvartal &lt; 4</formula>
    </cfRule>
  </conditionalFormatting>
  <conditionalFormatting sqref="A115">
    <cfRule type="expression" dxfId="457" priority="4">
      <formula>kvartal &lt; 4</formula>
    </cfRule>
  </conditionalFormatting>
  <conditionalFormatting sqref="A123">
    <cfRule type="expression" dxfId="456" priority="3">
      <formula>kvartal &lt; 4</formula>
    </cfRule>
  </conditionalFormatting>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4"/>
  <dimension ref="A1:N144"/>
  <sheetViews>
    <sheetView showGridLines="0" zoomScaleNormal="100" workbookViewId="0">
      <selection activeCell="C1" sqref="C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409</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614"/>
      <c r="B3" s="607"/>
      <c r="C3" s="615"/>
      <c r="D3" s="607"/>
      <c r="E3" s="607"/>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2800.21</v>
      </c>
      <c r="C7" s="307">
        <v>2536.38</v>
      </c>
      <c r="D7" s="350">
        <f>IF(B7=0, "    ---- ", IF(ABS(ROUND(100/B7*C7-100,1))&lt;999,ROUND(100/B7*C7-100,1),IF(ROUND(100/B7*C7-100,1)&gt;999,999,-999)))</f>
        <v>-9.4</v>
      </c>
      <c r="E7" s="11">
        <f>IFERROR(100/'Skjema total MA'!C7*C7,0)</f>
        <v>0.16316215237824272</v>
      </c>
      <c r="F7" s="306"/>
      <c r="G7" s="307"/>
      <c r="H7" s="350"/>
      <c r="I7" s="160"/>
      <c r="J7" s="308">
        <f t="shared" ref="J7:K10" si="0">SUM(B7,F7)</f>
        <v>2800.21</v>
      </c>
      <c r="K7" s="309">
        <f t="shared" si="0"/>
        <v>2536.38</v>
      </c>
      <c r="L7" s="427">
        <f>IF(J7=0, "    ---- ", IF(ABS(ROUND(100/J7*K7-100,1))&lt;999,ROUND(100/J7*K7-100,1),IF(ROUND(100/J7*K7-100,1)&gt;999,999,-999)))</f>
        <v>-9.4</v>
      </c>
      <c r="M7" s="11">
        <f>IFERROR(100/'Skjema total MA'!I7*K7,0)</f>
        <v>6.2058956439159721E-2</v>
      </c>
    </row>
    <row r="8" spans="1:14" ht="15.75" x14ac:dyDescent="0.2">
      <c r="A8" s="21" t="s">
        <v>25</v>
      </c>
      <c r="B8" s="281">
        <v>1681.5730000000001</v>
      </c>
      <c r="C8" s="282">
        <v>1639.338</v>
      </c>
      <c r="D8" s="166">
        <f t="shared" ref="D8:D10" si="1">IF(B8=0, "    ---- ", IF(ABS(ROUND(100/B8*C8-100,1))&lt;999,ROUND(100/B8*C8-100,1),IF(ROUND(100/B8*C8-100,1)&gt;999,999,-999)))</f>
        <v>-2.5</v>
      </c>
      <c r="E8" s="27">
        <f>IFERROR(100/'Skjema total MA'!C8*C8,0)</f>
        <v>0.15804605293959498</v>
      </c>
      <c r="F8" s="285"/>
      <c r="G8" s="286"/>
      <c r="H8" s="166"/>
      <c r="I8" s="175"/>
      <c r="J8" s="234">
        <f t="shared" si="0"/>
        <v>1681.5730000000001</v>
      </c>
      <c r="K8" s="287">
        <f t="shared" si="0"/>
        <v>1639.338</v>
      </c>
      <c r="L8" s="166">
        <f t="shared" ref="L8:L9" si="2">IF(J8=0, "    ---- ", IF(ABS(ROUND(100/J8*K8-100,1))&lt;999,ROUND(100/J8*K8-100,1),IF(ROUND(100/J8*K8-100,1)&gt;999,999,-999)))</f>
        <v>-2.5</v>
      </c>
      <c r="M8" s="27">
        <f>IFERROR(100/'Skjema total MA'!I8*K8,0)</f>
        <v>0.15804605293959498</v>
      </c>
    </row>
    <row r="9" spans="1:14" ht="15.75" x14ac:dyDescent="0.2">
      <c r="A9" s="21" t="s">
        <v>24</v>
      </c>
      <c r="B9" s="281">
        <v>1118.6369999999999</v>
      </c>
      <c r="C9" s="282">
        <v>897.04200000000003</v>
      </c>
      <c r="D9" s="166">
        <f t="shared" si="1"/>
        <v>-19.8</v>
      </c>
      <c r="E9" s="27">
        <f>IFERROR(100/'Skjema total MA'!C9*C9,0)</f>
        <v>0.26906365871371374</v>
      </c>
      <c r="F9" s="285"/>
      <c r="G9" s="286"/>
      <c r="H9" s="166"/>
      <c r="I9" s="175"/>
      <c r="J9" s="234">
        <f t="shared" si="0"/>
        <v>1118.6369999999999</v>
      </c>
      <c r="K9" s="287">
        <f t="shared" si="0"/>
        <v>897.04200000000003</v>
      </c>
      <c r="L9" s="166">
        <f t="shared" si="2"/>
        <v>-19.8</v>
      </c>
      <c r="M9" s="27">
        <f>IFERROR(100/'Skjema total MA'!I9*K9,0)</f>
        <v>0.26906365871371374</v>
      </c>
    </row>
    <row r="10" spans="1:14" ht="15.75" x14ac:dyDescent="0.2">
      <c r="A10" s="13" t="s">
        <v>368</v>
      </c>
      <c r="B10" s="310">
        <v>2618.067</v>
      </c>
      <c r="C10" s="311">
        <v>0</v>
      </c>
      <c r="D10" s="171">
        <f t="shared" si="1"/>
        <v>-100</v>
      </c>
      <c r="E10" s="11">
        <f>IFERROR(100/'Skjema total MA'!C10*C10,0)</f>
        <v>0</v>
      </c>
      <c r="F10" s="310"/>
      <c r="G10" s="311"/>
      <c r="H10" s="171"/>
      <c r="I10" s="160"/>
      <c r="J10" s="308">
        <f t="shared" si="0"/>
        <v>2618.067</v>
      </c>
      <c r="K10" s="309">
        <f t="shared" si="0"/>
        <v>0</v>
      </c>
      <c r="L10" s="428">
        <f t="shared" ref="L10" si="3">IF(J10=0, "    ---- ", IF(ABS(ROUND(100/J10*K10-100,1))&lt;999,ROUND(100/J10*K10-100,1),IF(ROUND(100/J10*K10-100,1)&gt;999,999,-999)))</f>
        <v>-100</v>
      </c>
      <c r="M10" s="11">
        <f>IFERROR(100/'Skjema total MA'!I10*K10,0)</f>
        <v>0</v>
      </c>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1625.7639999999999</v>
      </c>
      <c r="C47" s="311">
        <v>959.56799999999998</v>
      </c>
      <c r="D47" s="427">
        <f t="shared" ref="D47:D57" si="4">IF(B47=0, "    ---- ", IF(ABS(ROUND(100/B47*C47-100,1))&lt;999,ROUND(100/B47*C47-100,1),IF(ROUND(100/B47*C47-100,1)&gt;999,999,-999)))</f>
        <v>-41</v>
      </c>
      <c r="E47" s="11">
        <f>IFERROR(100/'Skjema total MA'!C47*C47,0)</f>
        <v>3.3253599384055942E-2</v>
      </c>
      <c r="F47" s="145"/>
      <c r="G47" s="33"/>
      <c r="H47" s="159"/>
      <c r="I47" s="159"/>
      <c r="J47" s="37"/>
      <c r="K47" s="37"/>
      <c r="L47" s="159"/>
      <c r="M47" s="159"/>
      <c r="N47" s="148"/>
    </row>
    <row r="48" spans="1:14" s="3" customFormat="1" ht="15.75" x14ac:dyDescent="0.2">
      <c r="A48" s="38" t="s">
        <v>379</v>
      </c>
      <c r="B48" s="281">
        <v>1625.7639999999999</v>
      </c>
      <c r="C48" s="282">
        <v>959.56799999999998</v>
      </c>
      <c r="D48" s="254">
        <f t="shared" si="4"/>
        <v>-41</v>
      </c>
      <c r="E48" s="27">
        <f>IFERROR(100/'Skjema total MA'!C48*C48,0)</f>
        <v>6.1190616745687619E-2</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485.92200000000003</v>
      </c>
      <c r="C56" s="311">
        <v>127.651</v>
      </c>
      <c r="D56" s="428">
        <f t="shared" si="4"/>
        <v>-73.7</v>
      </c>
      <c r="E56" s="11">
        <f>IFERROR(100/'Skjema total MA'!C56*C56,0)</f>
        <v>0.13515601482382522</v>
      </c>
      <c r="F56" s="145"/>
      <c r="G56" s="33"/>
      <c r="H56" s="145"/>
      <c r="I56" s="145"/>
      <c r="J56" s="33"/>
      <c r="K56" s="33"/>
      <c r="L56" s="159"/>
      <c r="M56" s="159"/>
      <c r="N56" s="148"/>
    </row>
    <row r="57" spans="1:14" s="3" customFormat="1" ht="15.75" x14ac:dyDescent="0.2">
      <c r="A57" s="38" t="s">
        <v>379</v>
      </c>
      <c r="B57" s="281">
        <v>485.92200000000003</v>
      </c>
      <c r="C57" s="282">
        <v>127.651</v>
      </c>
      <c r="D57" s="254">
        <f t="shared" si="4"/>
        <v>-73.7</v>
      </c>
      <c r="E57" s="27">
        <f>IFERROR(100/'Skjema total MA'!C57*C57,0)</f>
        <v>0.13515601482382522</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55" priority="132">
      <formula>kvartal &lt; 4</formula>
    </cfRule>
  </conditionalFormatting>
  <conditionalFormatting sqref="B115">
    <cfRule type="expression" dxfId="454" priority="76">
      <formula>kvartal &lt; 4</formula>
    </cfRule>
  </conditionalFormatting>
  <conditionalFormatting sqref="C115">
    <cfRule type="expression" dxfId="453" priority="75">
      <formula>kvartal &lt; 4</formula>
    </cfRule>
  </conditionalFormatting>
  <conditionalFormatting sqref="B123">
    <cfRule type="expression" dxfId="452" priority="74">
      <formula>kvartal &lt; 4</formula>
    </cfRule>
  </conditionalFormatting>
  <conditionalFormatting sqref="C123">
    <cfRule type="expression" dxfId="451" priority="73">
      <formula>kvartal &lt; 4</formula>
    </cfRule>
  </conditionalFormatting>
  <conditionalFormatting sqref="F115">
    <cfRule type="expression" dxfId="450" priority="58">
      <formula>kvartal &lt; 4</formula>
    </cfRule>
  </conditionalFormatting>
  <conditionalFormatting sqref="G115">
    <cfRule type="expression" dxfId="449" priority="57">
      <formula>kvartal &lt; 4</formula>
    </cfRule>
  </conditionalFormatting>
  <conditionalFormatting sqref="F123:G123">
    <cfRule type="expression" dxfId="448" priority="56">
      <formula>kvartal &lt; 4</formula>
    </cfRule>
  </conditionalFormatting>
  <conditionalFormatting sqref="J115:K115">
    <cfRule type="expression" dxfId="447" priority="32">
      <formula>kvartal &lt; 4</formula>
    </cfRule>
  </conditionalFormatting>
  <conditionalFormatting sqref="J123:K123">
    <cfRule type="expression" dxfId="446" priority="31">
      <formula>kvartal &lt; 4</formula>
    </cfRule>
  </conditionalFormatting>
  <conditionalFormatting sqref="A50:A52">
    <cfRule type="expression" dxfId="445" priority="12">
      <formula>kvartal &lt; 4</formula>
    </cfRule>
  </conditionalFormatting>
  <conditionalFormatting sqref="A69:A74">
    <cfRule type="expression" dxfId="444" priority="10">
      <formula>kvartal &lt; 4</formula>
    </cfRule>
  </conditionalFormatting>
  <conditionalFormatting sqref="A80:A85">
    <cfRule type="expression" dxfId="443" priority="9">
      <formula>kvartal &lt; 4</formula>
    </cfRule>
  </conditionalFormatting>
  <conditionalFormatting sqref="A90:A95">
    <cfRule type="expression" dxfId="442" priority="6">
      <formula>kvartal &lt; 4</formula>
    </cfRule>
  </conditionalFormatting>
  <conditionalFormatting sqref="A101:A106">
    <cfRule type="expression" dxfId="441" priority="5">
      <formula>kvartal &lt; 4</formula>
    </cfRule>
  </conditionalFormatting>
  <conditionalFormatting sqref="A115">
    <cfRule type="expression" dxfId="440" priority="4">
      <formula>kvartal &lt; 4</formula>
    </cfRule>
  </conditionalFormatting>
  <conditionalFormatting sqref="A123">
    <cfRule type="expression" dxfId="439" priority="3">
      <formula>kvartal &lt; 4</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N144"/>
  <sheetViews>
    <sheetView showGridLines="0" zoomScaleNormal="100" workbookViewId="0">
      <selection activeCell="C1" sqref="C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63</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2710.9836799999998</v>
      </c>
      <c r="C47" s="311">
        <v>2496.8431500000002</v>
      </c>
      <c r="D47" s="427">
        <f t="shared" ref="D47:D48" si="0">IF(B47=0, "    ---- ", IF(ABS(ROUND(100/B47*C47-100,1))&lt;999,ROUND(100/B47*C47-100,1),IF(ROUND(100/B47*C47-100,1)&gt;999,999,-999)))</f>
        <v>-7.9</v>
      </c>
      <c r="E47" s="11">
        <f>IFERROR(100/'Skjema total MA'!C47*C47,0)</f>
        <v>8.6527501787183728E-2</v>
      </c>
      <c r="F47" s="145"/>
      <c r="G47" s="33"/>
      <c r="H47" s="159"/>
      <c r="I47" s="159"/>
      <c r="J47" s="37"/>
      <c r="K47" s="37"/>
      <c r="L47" s="159"/>
      <c r="M47" s="159"/>
      <c r="N47" s="148"/>
    </row>
    <row r="48" spans="1:14" s="3" customFormat="1" ht="15.75" x14ac:dyDescent="0.2">
      <c r="A48" s="38" t="s">
        <v>379</v>
      </c>
      <c r="B48" s="281">
        <v>839.60550000000001</v>
      </c>
      <c r="C48" s="282">
        <v>924.69836999999995</v>
      </c>
      <c r="D48" s="254">
        <f t="shared" si="0"/>
        <v>10.1</v>
      </c>
      <c r="E48" s="27">
        <f>IFERROR(100/'Skjema total MA'!C48*C48,0)</f>
        <v>5.896701803731684E-2</v>
      </c>
      <c r="F48" s="145"/>
      <c r="G48" s="33"/>
      <c r="H48" s="145"/>
      <c r="I48" s="145"/>
      <c r="J48" s="33"/>
      <c r="K48" s="33"/>
      <c r="L48" s="159"/>
      <c r="M48" s="159"/>
      <c r="N48" s="148"/>
    </row>
    <row r="49" spans="1:14" s="3" customFormat="1" ht="15.75" x14ac:dyDescent="0.2">
      <c r="A49" s="38" t="s">
        <v>380</v>
      </c>
      <c r="B49" s="44">
        <v>1871.3781799999999</v>
      </c>
      <c r="C49" s="287">
        <v>1572.1447800000001</v>
      </c>
      <c r="D49" s="254">
        <f>IF(B49=0, "    ---- ", IF(ABS(ROUND(100/B49*C49-100,1))&lt;999,ROUND(100/B49*C49-100,1),IF(ROUND(100/B49*C49-100,1)&gt;999,999,-999)))</f>
        <v>-16</v>
      </c>
      <c r="E49" s="27">
        <f>IFERROR(100/'Skjema total MA'!C49*C49,0)</f>
        <v>0.11933291095400282</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v>6682577.0905400002</v>
      </c>
      <c r="C134" s="309">
        <v>7070036.40766</v>
      </c>
      <c r="D134" s="350">
        <f t="shared" ref="D134:D137" si="1">IF(B134=0, "    ---- ", IF(ABS(ROUND(100/B134*C134-100,1))&lt;999,ROUND(100/B134*C134-100,1),IF(ROUND(100/B134*C134-100,1)&gt;999,999,-999)))</f>
        <v>5.8</v>
      </c>
      <c r="E134" s="11">
        <f>IFERROR(100/'Skjema total MA'!C134*C134,0)</f>
        <v>91.009497958662465</v>
      </c>
      <c r="F134" s="316">
        <v>19489.256000000001</v>
      </c>
      <c r="G134" s="317">
        <v>13284.058000000001</v>
      </c>
      <c r="H134" s="431">
        <f t="shared" ref="H134:H136" si="2">IF(F134=0, "    ---- ", IF(ABS(ROUND(100/F134*G134-100,1))&lt;999,ROUND(100/F134*G134-100,1),IF(ROUND(100/F134*G134-100,1)&gt;999,999,-999)))</f>
        <v>-31.8</v>
      </c>
      <c r="I134" s="24">
        <f>IFERROR(100/'Skjema total MA'!F134*G134,0)</f>
        <v>100</v>
      </c>
      <c r="J134" s="318">
        <f t="shared" ref="J134:K137" si="3">SUM(B134,F134)</f>
        <v>6702066.3465400003</v>
      </c>
      <c r="K134" s="318">
        <f t="shared" si="3"/>
        <v>7083320.4656600002</v>
      </c>
      <c r="L134" s="427">
        <f t="shared" ref="L134:L137" si="4">IF(J134=0, "    ---- ", IF(ABS(ROUND(100/J134*K134-100,1))&lt;999,ROUND(100/J134*K134-100,1),IF(ROUND(100/J134*K134-100,1)&gt;999,999,-999)))</f>
        <v>5.7</v>
      </c>
      <c r="M134" s="11">
        <f>IFERROR(100/'Skjema total MA'!I134*K134,0)</f>
        <v>91.024845463066072</v>
      </c>
      <c r="N134" s="148"/>
    </row>
    <row r="135" spans="1:14" s="3" customFormat="1" ht="15.75" x14ac:dyDescent="0.2">
      <c r="A135" s="13" t="s">
        <v>397</v>
      </c>
      <c r="B135" s="236">
        <v>477264053.30385</v>
      </c>
      <c r="C135" s="309">
        <v>508505466.93022001</v>
      </c>
      <c r="D135" s="171">
        <f t="shared" si="1"/>
        <v>6.5</v>
      </c>
      <c r="E135" s="11">
        <f>IFERROR(100/'Skjema total MA'!C135*C135,0)</f>
        <v>86.198971350567987</v>
      </c>
      <c r="F135" s="236">
        <v>2497218.77415</v>
      </c>
      <c r="G135" s="309">
        <v>2151789.0251500001</v>
      </c>
      <c r="H135" s="432">
        <f t="shared" si="2"/>
        <v>-13.8</v>
      </c>
      <c r="I135" s="24">
        <f>IFERROR(100/'Skjema total MA'!F135*G135,0)</f>
        <v>100</v>
      </c>
      <c r="J135" s="308">
        <f t="shared" si="3"/>
        <v>479761272.07800001</v>
      </c>
      <c r="K135" s="308">
        <f t="shared" si="3"/>
        <v>510657255.95537001</v>
      </c>
      <c r="L135" s="428">
        <f t="shared" si="4"/>
        <v>6.4</v>
      </c>
      <c r="M135" s="11">
        <f>IFERROR(100/'Skjema total MA'!I135*K135,0)</f>
        <v>86.249128905315416</v>
      </c>
      <c r="N135" s="148"/>
    </row>
    <row r="136" spans="1:14" s="3" customFormat="1" ht="15.75" x14ac:dyDescent="0.2">
      <c r="A136" s="13" t="s">
        <v>394</v>
      </c>
      <c r="B136" s="236">
        <v>0</v>
      </c>
      <c r="C136" s="309">
        <v>2965700.3289999999</v>
      </c>
      <c r="D136" s="171" t="str">
        <f t="shared" si="1"/>
        <v xml:space="preserve">    ---- </v>
      </c>
      <c r="E136" s="11">
        <f>IFERROR(100/'Skjema total MA'!C136*C136,0)</f>
        <v>100</v>
      </c>
      <c r="F136" s="236">
        <v>0</v>
      </c>
      <c r="G136" s="309">
        <v>-462765.72600000002</v>
      </c>
      <c r="H136" s="432" t="str">
        <f t="shared" si="2"/>
        <v xml:space="preserve">    ---- </v>
      </c>
      <c r="I136" s="24">
        <f>IFERROR(100/'Skjema total MA'!F136*G136,0)</f>
        <v>100</v>
      </c>
      <c r="J136" s="308">
        <f t="shared" si="3"/>
        <v>0</v>
      </c>
      <c r="K136" s="308">
        <f t="shared" si="3"/>
        <v>2502934.6030000001</v>
      </c>
      <c r="L136" s="428" t="str">
        <f t="shared" si="4"/>
        <v xml:space="preserve">    ---- </v>
      </c>
      <c r="M136" s="11">
        <f>IFERROR(100/'Skjema total MA'!I136*K136,0)</f>
        <v>99.999999999999986</v>
      </c>
      <c r="N136" s="148"/>
    </row>
    <row r="137" spans="1:14" s="3" customFormat="1" ht="15.75" x14ac:dyDescent="0.2">
      <c r="A137" s="41" t="s">
        <v>395</v>
      </c>
      <c r="B137" s="276">
        <v>248299.76699999999</v>
      </c>
      <c r="C137" s="315">
        <v>6377265.6059999997</v>
      </c>
      <c r="D137" s="169">
        <f t="shared" si="1"/>
        <v>999</v>
      </c>
      <c r="E137" s="9">
        <f>IFERROR(100/'Skjema total MA'!C137*C137,0)</f>
        <v>100</v>
      </c>
      <c r="F137" s="276"/>
      <c r="G137" s="315"/>
      <c r="H137" s="433"/>
      <c r="I137" s="36"/>
      <c r="J137" s="314">
        <f t="shared" si="3"/>
        <v>248299.76699999999</v>
      </c>
      <c r="K137" s="314">
        <f t="shared" si="3"/>
        <v>6377265.6059999997</v>
      </c>
      <c r="L137" s="429">
        <f t="shared" si="4"/>
        <v>999</v>
      </c>
      <c r="M137" s="36">
        <f>IFERROR(100/'Skjema total MA'!I137*K137,0)</f>
        <v>100</v>
      </c>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38" priority="132">
      <formula>kvartal &lt; 4</formula>
    </cfRule>
  </conditionalFormatting>
  <conditionalFormatting sqref="B115">
    <cfRule type="expression" dxfId="437" priority="76">
      <formula>kvartal &lt; 4</formula>
    </cfRule>
  </conditionalFormatting>
  <conditionalFormatting sqref="C115">
    <cfRule type="expression" dxfId="436" priority="75">
      <formula>kvartal &lt; 4</formula>
    </cfRule>
  </conditionalFormatting>
  <conditionalFormatting sqref="B123">
    <cfRule type="expression" dxfId="435" priority="74">
      <formula>kvartal &lt; 4</formula>
    </cfRule>
  </conditionalFormatting>
  <conditionalFormatting sqref="C123">
    <cfRule type="expression" dxfId="434" priority="73">
      <formula>kvartal &lt; 4</formula>
    </cfRule>
  </conditionalFormatting>
  <conditionalFormatting sqref="F115">
    <cfRule type="expression" dxfId="433" priority="58">
      <formula>kvartal &lt; 4</formula>
    </cfRule>
  </conditionalFormatting>
  <conditionalFormatting sqref="G115">
    <cfRule type="expression" dxfId="432" priority="57">
      <formula>kvartal &lt; 4</formula>
    </cfRule>
  </conditionalFormatting>
  <conditionalFormatting sqref="F123:G123">
    <cfRule type="expression" dxfId="431" priority="56">
      <formula>kvartal &lt; 4</formula>
    </cfRule>
  </conditionalFormatting>
  <conditionalFormatting sqref="J115:K115">
    <cfRule type="expression" dxfId="430" priority="32">
      <formula>kvartal &lt; 4</formula>
    </cfRule>
  </conditionalFormatting>
  <conditionalFormatting sqref="J123:K123">
    <cfRule type="expression" dxfId="429" priority="31">
      <formula>kvartal &lt; 4</formula>
    </cfRule>
  </conditionalFormatting>
  <conditionalFormatting sqref="A50:A52">
    <cfRule type="expression" dxfId="428" priority="12">
      <formula>kvartal &lt; 4</formula>
    </cfRule>
  </conditionalFormatting>
  <conditionalFormatting sqref="A69:A74">
    <cfRule type="expression" dxfId="427" priority="10">
      <formula>kvartal &lt; 4</formula>
    </cfRule>
  </conditionalFormatting>
  <conditionalFormatting sqref="A80:A85">
    <cfRule type="expression" dxfId="426" priority="9">
      <formula>kvartal &lt; 4</formula>
    </cfRule>
  </conditionalFormatting>
  <conditionalFormatting sqref="A90:A95">
    <cfRule type="expression" dxfId="425" priority="6">
      <formula>kvartal &lt; 4</formula>
    </cfRule>
  </conditionalFormatting>
  <conditionalFormatting sqref="A101:A106">
    <cfRule type="expression" dxfId="424" priority="5">
      <formula>kvartal &lt; 4</formula>
    </cfRule>
  </conditionalFormatting>
  <conditionalFormatting sqref="A115">
    <cfRule type="expression" dxfId="423" priority="4">
      <formula>kvartal &lt; 4</formula>
    </cfRule>
  </conditionalFormatting>
  <conditionalFormatting sqref="A123">
    <cfRule type="expression" dxfId="422" priority="3">
      <formula>kvartal &lt; 4</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election activeCell="A44" sqref="A44"/>
    </sheetView>
  </sheetViews>
  <sheetFormatPr baseColWidth="10" defaultColWidth="11.42578125" defaultRowHeight="25.5" x14ac:dyDescent="0.35"/>
  <cols>
    <col min="1" max="1" width="11.42578125" style="67"/>
    <col min="2" max="2" width="25" style="67" customWidth="1"/>
    <col min="3" max="3" width="141.7109375" style="67" customWidth="1"/>
    <col min="4" max="16384" width="11.42578125" style="67"/>
  </cols>
  <sheetData>
    <row r="1" spans="1:14" ht="20.100000000000001" customHeight="1" x14ac:dyDescent="0.35">
      <c r="C1" s="68"/>
      <c r="D1" s="69"/>
      <c r="E1" s="69"/>
      <c r="F1" s="69"/>
      <c r="G1" s="69"/>
      <c r="H1" s="69"/>
      <c r="I1" s="69"/>
      <c r="J1" s="69"/>
      <c r="K1" s="69"/>
      <c r="L1" s="69"/>
      <c r="M1" s="69"/>
      <c r="N1" s="69"/>
    </row>
    <row r="2" spans="1:14" ht="20.100000000000001" customHeight="1" x14ac:dyDescent="0.35">
      <c r="C2" s="275" t="s">
        <v>31</v>
      </c>
      <c r="D2" s="69"/>
      <c r="E2" s="69"/>
      <c r="F2" s="69"/>
      <c r="G2" s="69"/>
      <c r="H2" s="69"/>
      <c r="I2" s="69"/>
      <c r="J2" s="69"/>
      <c r="K2" s="69"/>
      <c r="L2" s="69"/>
      <c r="M2" s="69"/>
      <c r="N2" s="69"/>
    </row>
    <row r="3" spans="1:14" ht="20.100000000000001" customHeight="1" x14ac:dyDescent="0.35">
      <c r="C3" s="70"/>
      <c r="D3" s="69"/>
      <c r="E3" s="69"/>
      <c r="F3" s="69"/>
      <c r="G3" s="69"/>
      <c r="H3" s="69"/>
      <c r="I3" s="69"/>
      <c r="J3" s="69"/>
      <c r="K3" s="69"/>
      <c r="L3" s="69"/>
      <c r="M3" s="69"/>
      <c r="N3" s="69"/>
    </row>
    <row r="4" spans="1:14" ht="20.100000000000001" customHeight="1" x14ac:dyDescent="0.35">
      <c r="C4" s="70"/>
      <c r="D4" s="69"/>
      <c r="E4" s="69"/>
      <c r="F4" s="69"/>
      <c r="G4" s="69"/>
      <c r="H4" s="69"/>
      <c r="I4" s="69"/>
      <c r="J4" s="69"/>
      <c r="K4" s="69"/>
      <c r="L4" s="69"/>
      <c r="M4" s="69"/>
      <c r="N4" s="69"/>
    </row>
    <row r="5" spans="1:14" ht="20.100000000000001" customHeight="1" x14ac:dyDescent="0.35">
      <c r="A5" s="70"/>
      <c r="B5" s="70"/>
      <c r="C5" s="70"/>
      <c r="D5" s="69"/>
      <c r="E5" s="69"/>
      <c r="F5" s="69"/>
      <c r="G5" s="69"/>
      <c r="H5" s="69"/>
      <c r="I5" s="69"/>
      <c r="J5" s="69"/>
      <c r="K5" s="69"/>
      <c r="L5" s="69"/>
      <c r="M5" s="69"/>
      <c r="N5" s="69"/>
    </row>
    <row r="6" spans="1:14" ht="20.100000000000001" customHeight="1" x14ac:dyDescent="0.35">
      <c r="A6" s="71" t="s">
        <v>32</v>
      </c>
      <c r="B6" s="71"/>
      <c r="C6" s="70"/>
      <c r="D6" s="69"/>
      <c r="E6" s="69"/>
      <c r="F6" s="69"/>
      <c r="G6" s="69"/>
      <c r="H6" s="69"/>
      <c r="I6" s="69"/>
      <c r="J6" s="69"/>
      <c r="K6" s="69"/>
      <c r="L6" s="69"/>
      <c r="M6" s="69"/>
      <c r="N6" s="69"/>
    </row>
    <row r="7" spans="1:14" ht="20.100000000000001" customHeight="1" x14ac:dyDescent="0.35">
      <c r="A7" s="70"/>
      <c r="B7" s="70" t="s">
        <v>33</v>
      </c>
      <c r="C7" s="70" t="s">
        <v>34</v>
      </c>
      <c r="D7" s="69"/>
      <c r="E7" s="69"/>
      <c r="F7" s="69"/>
      <c r="G7" s="69"/>
      <c r="H7" s="69"/>
      <c r="I7" s="69"/>
      <c r="J7" s="69"/>
      <c r="K7" s="69"/>
      <c r="L7" s="69"/>
      <c r="M7" s="69"/>
      <c r="N7" s="69"/>
    </row>
    <row r="8" spans="1:14" ht="20.100000000000001" customHeight="1" x14ac:dyDescent="0.35">
      <c r="A8" s="70"/>
      <c r="B8" s="70" t="s">
        <v>35</v>
      </c>
      <c r="C8" s="70" t="s">
        <v>36</v>
      </c>
      <c r="D8" s="69"/>
      <c r="E8" s="69"/>
      <c r="F8" s="69"/>
      <c r="G8" s="69"/>
      <c r="H8" s="69"/>
      <c r="I8" s="69"/>
      <c r="J8" s="69"/>
      <c r="K8" s="69"/>
      <c r="L8" s="69"/>
      <c r="M8" s="69"/>
      <c r="N8" s="69"/>
    </row>
    <row r="9" spans="1:14" ht="20.100000000000001" customHeight="1" x14ac:dyDescent="0.35">
      <c r="A9" s="70"/>
      <c r="B9" s="70" t="s">
        <v>37</v>
      </c>
      <c r="C9" s="70" t="s">
        <v>40</v>
      </c>
      <c r="D9" s="69"/>
      <c r="E9" s="69"/>
      <c r="F9" s="69"/>
      <c r="G9" s="69"/>
      <c r="H9" s="69"/>
      <c r="I9" s="69"/>
      <c r="J9" s="69"/>
      <c r="K9" s="69"/>
      <c r="L9" s="69"/>
      <c r="M9" s="69"/>
      <c r="N9" s="69"/>
    </row>
    <row r="10" spans="1:14" ht="20.100000000000001" customHeight="1" x14ac:dyDescent="0.35">
      <c r="A10" s="70"/>
      <c r="B10" s="70" t="s">
        <v>38</v>
      </c>
      <c r="C10" s="70" t="s">
        <v>42</v>
      </c>
      <c r="D10" s="69"/>
      <c r="E10" s="69"/>
      <c r="F10" s="69"/>
      <c r="G10" s="69"/>
      <c r="H10" s="69"/>
      <c r="I10" s="69"/>
      <c r="J10" s="69"/>
      <c r="K10" s="69"/>
      <c r="L10" s="69"/>
      <c r="M10" s="69"/>
      <c r="N10" s="69"/>
    </row>
    <row r="11" spans="1:14" ht="20.100000000000001" customHeight="1" x14ac:dyDescent="0.35">
      <c r="A11" s="70"/>
      <c r="B11" s="70" t="s">
        <v>39</v>
      </c>
      <c r="C11" s="70" t="s">
        <v>43</v>
      </c>
      <c r="D11" s="69"/>
      <c r="E11" s="69"/>
      <c r="F11" s="69"/>
      <c r="G11" s="69"/>
      <c r="H11" s="69"/>
      <c r="I11" s="69"/>
      <c r="J11" s="69"/>
      <c r="K11" s="69"/>
      <c r="L11" s="69"/>
      <c r="M11" s="69"/>
      <c r="N11" s="69"/>
    </row>
    <row r="12" spans="1:14" ht="20.100000000000001" customHeight="1" x14ac:dyDescent="0.35">
      <c r="A12" s="70"/>
      <c r="B12" s="70" t="s">
        <v>41</v>
      </c>
      <c r="C12" s="70" t="s">
        <v>44</v>
      </c>
      <c r="D12" s="69"/>
      <c r="E12" s="69"/>
      <c r="F12" s="69"/>
      <c r="G12" s="69"/>
      <c r="H12" s="69"/>
      <c r="I12" s="69"/>
      <c r="J12" s="69"/>
      <c r="K12" s="69"/>
      <c r="L12" s="69"/>
      <c r="M12" s="69"/>
      <c r="N12" s="69"/>
    </row>
    <row r="13" spans="1:14" ht="18.75" customHeight="1" x14ac:dyDescent="0.35">
      <c r="A13" s="70"/>
      <c r="B13" s="70"/>
      <c r="C13" s="70"/>
      <c r="D13" s="69"/>
      <c r="E13" s="69"/>
      <c r="F13" s="69"/>
      <c r="G13" s="69"/>
      <c r="H13" s="69"/>
      <c r="I13" s="69"/>
      <c r="J13" s="69"/>
      <c r="K13" s="69"/>
      <c r="L13" s="69"/>
      <c r="M13" s="69"/>
      <c r="N13" s="69"/>
    </row>
    <row r="14" spans="1:14" ht="20.100000000000001" customHeight="1" x14ac:dyDescent="0.35">
      <c r="A14" s="274" t="s">
        <v>45</v>
      </c>
      <c r="B14" s="71"/>
      <c r="C14" s="70"/>
      <c r="D14" s="69"/>
      <c r="E14" s="69"/>
      <c r="F14" s="69"/>
      <c r="G14" s="69"/>
      <c r="H14" s="69"/>
      <c r="I14" s="69"/>
      <c r="J14" s="69"/>
      <c r="K14" s="69"/>
      <c r="L14" s="69"/>
      <c r="M14" s="69"/>
      <c r="N14" s="69"/>
    </row>
    <row r="15" spans="1:14" ht="20.100000000000001" customHeight="1" x14ac:dyDescent="0.35">
      <c r="A15" s="70"/>
      <c r="B15" s="70" t="s">
        <v>46</v>
      </c>
      <c r="C15" s="70"/>
      <c r="D15" s="69"/>
      <c r="E15" s="69"/>
      <c r="F15" s="69"/>
      <c r="G15" s="69"/>
      <c r="H15" s="69"/>
      <c r="I15" s="69"/>
      <c r="J15" s="69"/>
      <c r="K15" s="69"/>
      <c r="L15" s="69"/>
      <c r="M15" s="69"/>
      <c r="N15" s="69"/>
    </row>
    <row r="16" spans="1:14" ht="20.100000000000001" customHeight="1" x14ac:dyDescent="0.35">
      <c r="A16" s="70"/>
      <c r="B16" s="71" t="s">
        <v>47</v>
      </c>
      <c r="C16" s="70" t="s">
        <v>48</v>
      </c>
      <c r="D16" s="69"/>
      <c r="E16" s="69"/>
      <c r="F16" s="69"/>
      <c r="G16" s="69"/>
      <c r="H16" s="69"/>
      <c r="I16" s="69"/>
      <c r="J16" s="69"/>
      <c r="K16" s="69"/>
      <c r="L16" s="69"/>
      <c r="M16" s="69"/>
      <c r="N16" s="69"/>
    </row>
    <row r="17" spans="1:14" ht="20.100000000000001" customHeight="1" x14ac:dyDescent="0.35">
      <c r="A17" s="70"/>
      <c r="B17" s="71" t="s">
        <v>49</v>
      </c>
      <c r="C17" s="70" t="s">
        <v>50</v>
      </c>
      <c r="D17" s="69"/>
      <c r="E17" s="69"/>
      <c r="F17" s="69"/>
      <c r="G17" s="69"/>
      <c r="H17" s="69"/>
      <c r="I17" s="69"/>
      <c r="J17" s="69"/>
      <c r="K17" s="69"/>
      <c r="L17" s="69"/>
      <c r="M17" s="69"/>
      <c r="N17" s="69"/>
    </row>
    <row r="18" spans="1:14" ht="20.100000000000001" customHeight="1" x14ac:dyDescent="0.35">
      <c r="A18" s="70"/>
      <c r="B18" s="71" t="s">
        <v>344</v>
      </c>
      <c r="C18" s="70" t="s">
        <v>345</v>
      </c>
      <c r="D18" s="69"/>
      <c r="E18" s="69"/>
      <c r="F18" s="69"/>
      <c r="G18" s="69"/>
      <c r="H18" s="69"/>
      <c r="I18" s="69"/>
      <c r="J18" s="69"/>
      <c r="K18" s="69"/>
      <c r="L18" s="69"/>
      <c r="M18" s="69"/>
      <c r="N18" s="69"/>
    </row>
    <row r="19" spans="1:14" ht="20.100000000000001" customHeight="1" x14ac:dyDescent="0.35">
      <c r="A19" s="70"/>
      <c r="B19" s="70" t="s">
        <v>346</v>
      </c>
      <c r="C19" s="70" t="s">
        <v>274</v>
      </c>
      <c r="D19" s="69"/>
      <c r="E19" s="69"/>
      <c r="F19" s="69"/>
      <c r="G19" s="69"/>
      <c r="H19" s="69"/>
      <c r="I19" s="69"/>
      <c r="J19" s="69"/>
      <c r="K19" s="69"/>
      <c r="L19" s="69"/>
      <c r="M19" s="69"/>
      <c r="N19" s="69"/>
    </row>
    <row r="20" spans="1:14" s="348" customFormat="1" ht="20.100000000000001" customHeight="1" x14ac:dyDescent="0.35">
      <c r="A20" s="346"/>
      <c r="B20" s="346" t="s">
        <v>348</v>
      </c>
      <c r="C20" s="346" t="s">
        <v>347</v>
      </c>
      <c r="D20" s="347"/>
      <c r="E20" s="347"/>
      <c r="F20" s="347"/>
      <c r="G20" s="347"/>
      <c r="H20" s="347"/>
      <c r="I20" s="347"/>
      <c r="J20" s="347"/>
      <c r="K20" s="347"/>
      <c r="L20" s="347"/>
      <c r="M20" s="347"/>
      <c r="N20" s="347"/>
    </row>
    <row r="21" spans="1:14" ht="20.100000000000001" customHeight="1" x14ac:dyDescent="0.35">
      <c r="A21" s="70"/>
      <c r="B21" s="70"/>
      <c r="C21" s="70"/>
    </row>
    <row r="22" spans="1:14" ht="18.75" customHeight="1" x14ac:dyDescent="0.35">
      <c r="A22" s="70"/>
      <c r="B22" s="346" t="s">
        <v>258</v>
      </c>
      <c r="C22" s="346"/>
    </row>
    <row r="23" spans="1:14" ht="20.100000000000001" customHeight="1" x14ac:dyDescent="0.35">
      <c r="A23" s="70"/>
      <c r="B23" s="349" t="s">
        <v>259</v>
      </c>
      <c r="C23" s="346" t="s">
        <v>260</v>
      </c>
    </row>
    <row r="24" spans="1:14" ht="20.100000000000001" hidden="1" customHeight="1" x14ac:dyDescent="0.35">
      <c r="A24" s="70"/>
      <c r="B24" s="349" t="s">
        <v>261</v>
      </c>
      <c r="C24" s="346" t="s">
        <v>262</v>
      </c>
    </row>
    <row r="25" spans="1:14" ht="20.100000000000001" hidden="1" customHeight="1" x14ac:dyDescent="0.35">
      <c r="A25" s="70"/>
      <c r="B25" s="349" t="s">
        <v>263</v>
      </c>
      <c r="C25" s="346" t="s">
        <v>264</v>
      </c>
    </row>
    <row r="26" spans="1:14" ht="20.100000000000001" hidden="1" customHeight="1" x14ac:dyDescent="0.35">
      <c r="A26" s="70"/>
      <c r="B26" s="349" t="s">
        <v>265</v>
      </c>
      <c r="C26" s="346" t="s">
        <v>266</v>
      </c>
    </row>
    <row r="27" spans="1:14" ht="20.100000000000001" customHeight="1" x14ac:dyDescent="0.35">
      <c r="A27" s="70"/>
      <c r="B27" s="349" t="s">
        <v>175</v>
      </c>
      <c r="C27" s="346" t="s">
        <v>267</v>
      </c>
    </row>
    <row r="28" spans="1:14" ht="20.100000000000001" hidden="1" customHeight="1" x14ac:dyDescent="0.35">
      <c r="A28" s="70"/>
      <c r="B28" s="343" t="s">
        <v>268</v>
      </c>
      <c r="C28" s="273" t="s">
        <v>269</v>
      </c>
    </row>
    <row r="29" spans="1:14" ht="20.100000000000001" hidden="1" customHeight="1" x14ac:dyDescent="0.35">
      <c r="A29" s="70"/>
      <c r="B29" s="343" t="s">
        <v>270</v>
      </c>
      <c r="C29" s="273" t="s">
        <v>271</v>
      </c>
    </row>
    <row r="30" spans="1:14" ht="18.75" customHeight="1" x14ac:dyDescent="0.35">
      <c r="A30" s="70"/>
      <c r="B30" s="349" t="s">
        <v>272</v>
      </c>
      <c r="C30" s="346" t="s">
        <v>273</v>
      </c>
    </row>
    <row r="31" spans="1:14" ht="18.75" customHeight="1" x14ac:dyDescent="0.35">
      <c r="A31" s="70"/>
      <c r="B31" s="349"/>
      <c r="C31" s="346"/>
    </row>
    <row r="32" spans="1:14" ht="20.100000000000001" customHeight="1" x14ac:dyDescent="0.35">
      <c r="A32" s="70"/>
      <c r="B32" s="70"/>
      <c r="C32" s="70"/>
    </row>
    <row r="33" spans="1:14" x14ac:dyDescent="0.35">
      <c r="A33" s="71" t="s">
        <v>51</v>
      </c>
      <c r="B33" s="70"/>
      <c r="C33" s="70"/>
    </row>
    <row r="34" spans="1:14" ht="26.25" hidden="1" customHeight="1" x14ac:dyDescent="0.4">
      <c r="C34" s="72"/>
    </row>
    <row r="35" spans="1:14" ht="26.25" hidden="1" customHeight="1" x14ac:dyDescent="0.4">
      <c r="C35" s="72"/>
    </row>
    <row r="36" spans="1:14" ht="18.75" customHeight="1" x14ac:dyDescent="0.4">
      <c r="C36" s="344"/>
      <c r="D36" s="345"/>
    </row>
    <row r="37" spans="1:14" ht="26.25" x14ac:dyDescent="0.4">
      <c r="C37" s="72"/>
    </row>
    <row r="38" spans="1:14" ht="26.25" x14ac:dyDescent="0.4">
      <c r="C38" s="72"/>
    </row>
    <row r="39" spans="1:14" ht="26.25" x14ac:dyDescent="0.4">
      <c r="C39" s="344"/>
      <c r="D39" s="348"/>
      <c r="E39" s="348"/>
      <c r="F39" s="348"/>
      <c r="G39" s="348"/>
      <c r="H39" s="348"/>
      <c r="I39" s="348"/>
      <c r="J39" s="348"/>
      <c r="K39" s="348"/>
      <c r="L39" s="348"/>
      <c r="M39" s="348"/>
      <c r="N39" s="348"/>
    </row>
    <row r="40" spans="1:14" ht="26.25" x14ac:dyDescent="0.4">
      <c r="C40" s="72"/>
    </row>
    <row r="41" spans="1:14" ht="26.25" x14ac:dyDescent="0.4">
      <c r="C41" s="72"/>
    </row>
    <row r="42" spans="1:14" ht="26.25" x14ac:dyDescent="0.4">
      <c r="C42" s="72"/>
    </row>
    <row r="43" spans="1:14" ht="26.25" x14ac:dyDescent="0.4">
      <c r="C43" s="72"/>
    </row>
    <row r="44" spans="1:14" ht="26.25" x14ac:dyDescent="0.4">
      <c r="C44" s="72"/>
    </row>
    <row r="45" spans="1:14" ht="26.25" x14ac:dyDescent="0.4">
      <c r="C45" s="72"/>
    </row>
    <row r="46" spans="1:14" ht="26.25" x14ac:dyDescent="0.4">
      <c r="C46" s="72"/>
    </row>
    <row r="47" spans="1:14" ht="26.25" x14ac:dyDescent="0.4">
      <c r="C47" s="72"/>
    </row>
    <row r="48" spans="1:14" ht="26.25" x14ac:dyDescent="0.4">
      <c r="C48" s="72"/>
    </row>
    <row r="49" spans="3:3" ht="26.25" x14ac:dyDescent="0.4">
      <c r="C49" s="72"/>
    </row>
    <row r="50" spans="3:3" ht="26.25" x14ac:dyDescent="0.4">
      <c r="C50" s="72"/>
    </row>
    <row r="51" spans="3:3" ht="26.25" x14ac:dyDescent="0.4">
      <c r="C51" s="72"/>
    </row>
    <row r="52" spans="3:3" ht="26.25" x14ac:dyDescent="0.4">
      <c r="C52" s="72"/>
    </row>
    <row r="53" spans="3:3" ht="26.25" x14ac:dyDescent="0.4">
      <c r="C53" s="72"/>
    </row>
    <row r="54" spans="3:3" ht="26.25" x14ac:dyDescent="0.4">
      <c r="C54" s="72"/>
    </row>
    <row r="55" spans="3:3" ht="26.25" x14ac:dyDescent="0.4">
      <c r="C55" s="72"/>
    </row>
    <row r="56" spans="3:3" ht="26.25" x14ac:dyDescent="0.4">
      <c r="C56" s="72"/>
    </row>
    <row r="57" spans="3:3" ht="26.25" x14ac:dyDescent="0.4">
      <c r="C57" s="72"/>
    </row>
    <row r="58" spans="3:3" ht="26.25" x14ac:dyDescent="0.4">
      <c r="C58" s="72"/>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1"/>
  <dimension ref="A1:N144"/>
  <sheetViews>
    <sheetView showGridLines="0" zoomScaleNormal="100" workbookViewId="0">
      <selection activeCell="C1" sqref="C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93</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23364</v>
      </c>
      <c r="C66" s="353">
        <v>24444</v>
      </c>
      <c r="D66" s="350">
        <f t="shared" ref="D66:D111" si="0">IF(B66=0, "    ---- ", IF(ABS(ROUND(100/B66*C66-100,1))&lt;999,ROUND(100/B66*C66-100,1),IF(ROUND(100/B66*C66-100,1)&gt;999,999,-999)))</f>
        <v>4.5999999999999996</v>
      </c>
      <c r="E66" s="11">
        <f>IFERROR(100/'Skjema total MA'!C66*C66,0)</f>
        <v>0.70112958603913</v>
      </c>
      <c r="F66" s="352">
        <v>135943</v>
      </c>
      <c r="G66" s="352">
        <v>155790</v>
      </c>
      <c r="H66" s="350">
        <f t="shared" ref="H66:H111" si="1">IF(F66=0, "    ---- ", IF(ABS(ROUND(100/F66*G66-100,1))&lt;999,ROUND(100/F66*G66-100,1),IF(ROUND(100/F66*G66-100,1)&gt;999,999,-999)))</f>
        <v>14.6</v>
      </c>
      <c r="I66" s="11">
        <f>IFERROR(100/'Skjema total MA'!F66*G66,0)</f>
        <v>1.7717466672772693</v>
      </c>
      <c r="J66" s="309">
        <f t="shared" ref="J66:K79" si="2">SUM(B66,F66)</f>
        <v>159307</v>
      </c>
      <c r="K66" s="316">
        <f t="shared" si="2"/>
        <v>180234</v>
      </c>
      <c r="L66" s="428">
        <f t="shared" ref="L66:L111" si="3">IF(J66=0, "    ---- ", IF(ABS(ROUND(100/J66*K66-100,1))&lt;999,ROUND(100/J66*K66-100,1),IF(ROUND(100/J66*K66-100,1)&gt;999,999,-999)))</f>
        <v>13.1</v>
      </c>
      <c r="M66" s="11">
        <f>IFERROR(100/'Skjema total MA'!I66*K66,0)</f>
        <v>1.4677762705209954</v>
      </c>
    </row>
    <row r="67" spans="1:14" x14ac:dyDescent="0.2">
      <c r="A67" s="419" t="s">
        <v>9</v>
      </c>
      <c r="B67" s="44">
        <v>23364</v>
      </c>
      <c r="C67" s="145">
        <v>24444</v>
      </c>
      <c r="D67" s="166">
        <f t="shared" si="0"/>
        <v>4.5999999999999996</v>
      </c>
      <c r="E67" s="27">
        <f>IFERROR(100/'Skjema total MA'!C67*C67,0)</f>
        <v>0.88669917416854305</v>
      </c>
      <c r="F67" s="234"/>
      <c r="G67" s="145"/>
      <c r="H67" s="166"/>
      <c r="I67" s="27"/>
      <c r="J67" s="287">
        <f t="shared" si="2"/>
        <v>23364</v>
      </c>
      <c r="K67" s="44">
        <f t="shared" si="2"/>
        <v>24444</v>
      </c>
      <c r="L67" s="254">
        <f t="shared" si="3"/>
        <v>4.5999999999999996</v>
      </c>
      <c r="M67" s="27">
        <f>IFERROR(100/'Skjema total MA'!I67*K67,0)</f>
        <v>0.88669917416854305</v>
      </c>
    </row>
    <row r="68" spans="1:14" x14ac:dyDescent="0.2">
      <c r="A68" s="21" t="s">
        <v>10</v>
      </c>
      <c r="B68" s="292"/>
      <c r="C68" s="293"/>
      <c r="D68" s="166"/>
      <c r="E68" s="27"/>
      <c r="F68" s="292">
        <v>135943</v>
      </c>
      <c r="G68" s="293">
        <v>155790</v>
      </c>
      <c r="H68" s="166">
        <f t="shared" si="1"/>
        <v>14.6</v>
      </c>
      <c r="I68" s="27">
        <f>IFERROR(100/'Skjema total MA'!F68*G68,0)</f>
        <v>1.8423317856963899</v>
      </c>
      <c r="J68" s="287">
        <f t="shared" si="2"/>
        <v>135943</v>
      </c>
      <c r="K68" s="44">
        <f t="shared" si="2"/>
        <v>155790</v>
      </c>
      <c r="L68" s="254">
        <f t="shared" si="3"/>
        <v>14.6</v>
      </c>
      <c r="M68" s="27">
        <f>IFERROR(100/'Skjema total MA'!I68*K68,0)</f>
        <v>1.8220715492849064</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v>23364</v>
      </c>
      <c r="C77" s="234">
        <v>24444</v>
      </c>
      <c r="D77" s="166">
        <f t="shared" si="0"/>
        <v>4.5999999999999996</v>
      </c>
      <c r="E77" s="27">
        <f>IFERROR(100/'Skjema total MA'!C77*C77,0)</f>
        <v>0.8918847467024239</v>
      </c>
      <c r="F77" s="234">
        <v>135943</v>
      </c>
      <c r="G77" s="145">
        <v>155790</v>
      </c>
      <c r="H77" s="166">
        <f t="shared" si="1"/>
        <v>14.6</v>
      </c>
      <c r="I77" s="27">
        <f>IFERROR(100/'Skjema total MA'!F77*G77,0)</f>
        <v>1.843429607240898</v>
      </c>
      <c r="J77" s="287">
        <f t="shared" si="2"/>
        <v>159307</v>
      </c>
      <c r="K77" s="44">
        <f t="shared" si="2"/>
        <v>180234</v>
      </c>
      <c r="L77" s="254">
        <f t="shared" si="3"/>
        <v>13.1</v>
      </c>
      <c r="M77" s="27">
        <f>IFERROR(100/'Skjema total MA'!I77*K77,0)</f>
        <v>1.6104099634839779</v>
      </c>
    </row>
    <row r="78" spans="1:14" x14ac:dyDescent="0.2">
      <c r="A78" s="21" t="s">
        <v>9</v>
      </c>
      <c r="B78" s="234">
        <v>23364</v>
      </c>
      <c r="C78" s="145">
        <v>24444</v>
      </c>
      <c r="D78" s="166">
        <f t="shared" si="0"/>
        <v>4.5999999999999996</v>
      </c>
      <c r="E78" s="27">
        <f>IFERROR(100/'Skjema total MA'!C78*C78,0)</f>
        <v>0.92325011380196986</v>
      </c>
      <c r="F78" s="234"/>
      <c r="G78" s="145"/>
      <c r="H78" s="166"/>
      <c r="I78" s="27"/>
      <c r="J78" s="287">
        <f t="shared" si="2"/>
        <v>23364</v>
      </c>
      <c r="K78" s="44">
        <f t="shared" si="2"/>
        <v>24444</v>
      </c>
      <c r="L78" s="254">
        <f t="shared" si="3"/>
        <v>4.5999999999999996</v>
      </c>
      <c r="M78" s="27">
        <f>IFERROR(100/'Skjema total MA'!I78*K78,0)</f>
        <v>0.92325011380196986</v>
      </c>
    </row>
    <row r="79" spans="1:14" x14ac:dyDescent="0.2">
      <c r="A79" s="21" t="s">
        <v>10</v>
      </c>
      <c r="B79" s="292"/>
      <c r="C79" s="293"/>
      <c r="D79" s="166"/>
      <c r="E79" s="27"/>
      <c r="F79" s="292">
        <v>135943</v>
      </c>
      <c r="G79" s="293">
        <v>155790</v>
      </c>
      <c r="H79" s="166">
        <f t="shared" si="1"/>
        <v>14.6</v>
      </c>
      <c r="I79" s="27">
        <f>IFERROR(100/'Skjema total MA'!F79*G79,0)</f>
        <v>1.843429607240898</v>
      </c>
      <c r="J79" s="287">
        <f t="shared" si="2"/>
        <v>135943</v>
      </c>
      <c r="K79" s="44">
        <f t="shared" si="2"/>
        <v>155790</v>
      </c>
      <c r="L79" s="254">
        <f t="shared" si="3"/>
        <v>14.6</v>
      </c>
      <c r="M79" s="27">
        <f>IFERROR(100/'Skjema total MA'!I79*K79,0)</f>
        <v>1.8233410185521379</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v>1573553</v>
      </c>
      <c r="C87" s="353">
        <v>1780872</v>
      </c>
      <c r="D87" s="171">
        <f t="shared" si="0"/>
        <v>13.2</v>
      </c>
      <c r="E87" s="11">
        <f>IFERROR(100/'Skjema total MA'!C87*C87,0)</f>
        <v>0.45354706934577904</v>
      </c>
      <c r="F87" s="352">
        <v>3934107</v>
      </c>
      <c r="G87" s="352">
        <v>4535748</v>
      </c>
      <c r="H87" s="171">
        <f t="shared" si="1"/>
        <v>15.3</v>
      </c>
      <c r="I87" s="11">
        <f>IFERROR(100/'Skjema total MA'!F87*G87,0)</f>
        <v>1.6184127867098985</v>
      </c>
      <c r="J87" s="309">
        <f t="shared" ref="J87:K111" si="4">SUM(B87,F87)</f>
        <v>5507660</v>
      </c>
      <c r="K87" s="236">
        <f t="shared" si="4"/>
        <v>6316620</v>
      </c>
      <c r="L87" s="428">
        <f t="shared" si="3"/>
        <v>14.7</v>
      </c>
      <c r="M87" s="11">
        <f>IFERROR(100/'Skjema total MA'!I87*K87,0)</f>
        <v>0.93869742964197844</v>
      </c>
    </row>
    <row r="88" spans="1:13" x14ac:dyDescent="0.2">
      <c r="A88" s="21" t="s">
        <v>9</v>
      </c>
      <c r="B88" s="234">
        <v>1573553</v>
      </c>
      <c r="C88" s="145">
        <v>1780872</v>
      </c>
      <c r="D88" s="166">
        <f t="shared" si="0"/>
        <v>13.2</v>
      </c>
      <c r="E88" s="27">
        <f>IFERROR(100/'Skjema total MA'!C88*C88,0)</f>
        <v>0.46645913950212398</v>
      </c>
      <c r="F88" s="234"/>
      <c r="G88" s="145"/>
      <c r="H88" s="166"/>
      <c r="I88" s="27"/>
      <c r="J88" s="287">
        <f t="shared" si="4"/>
        <v>1573553</v>
      </c>
      <c r="K88" s="44">
        <f t="shared" si="4"/>
        <v>1780872</v>
      </c>
      <c r="L88" s="254">
        <f t="shared" si="3"/>
        <v>13.2</v>
      </c>
      <c r="M88" s="27">
        <f>IFERROR(100/'Skjema total MA'!I88*K88,0)</f>
        <v>0.46645913950212398</v>
      </c>
    </row>
    <row r="89" spans="1:13" x14ac:dyDescent="0.2">
      <c r="A89" s="21" t="s">
        <v>10</v>
      </c>
      <c r="B89" s="234"/>
      <c r="C89" s="145"/>
      <c r="D89" s="166"/>
      <c r="E89" s="27"/>
      <c r="F89" s="234">
        <v>3934107</v>
      </c>
      <c r="G89" s="145">
        <v>4535748</v>
      </c>
      <c r="H89" s="166">
        <f t="shared" si="1"/>
        <v>15.3</v>
      </c>
      <c r="I89" s="27">
        <f>IFERROR(100/'Skjema total MA'!F89*G89,0)</f>
        <v>1.6280694655371661</v>
      </c>
      <c r="J89" s="287">
        <f t="shared" si="4"/>
        <v>3934107</v>
      </c>
      <c r="K89" s="44">
        <f t="shared" si="4"/>
        <v>4535748</v>
      </c>
      <c r="L89" s="254">
        <f t="shared" si="3"/>
        <v>15.3</v>
      </c>
      <c r="M89" s="27">
        <f>IFERROR(100/'Skjema total MA'!I89*K89,0)</f>
        <v>1.610150891259456</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v>1573553</v>
      </c>
      <c r="C98" s="234">
        <v>1780872</v>
      </c>
      <c r="D98" s="166">
        <f t="shared" si="0"/>
        <v>13.2</v>
      </c>
      <c r="E98" s="27">
        <f>IFERROR(100/'Skjema total MA'!C98*C98,0)</f>
        <v>0.46828773235937832</v>
      </c>
      <c r="F98" s="292">
        <v>3934107</v>
      </c>
      <c r="G98" s="292">
        <v>4535748</v>
      </c>
      <c r="H98" s="166">
        <f t="shared" si="1"/>
        <v>15.3</v>
      </c>
      <c r="I98" s="27">
        <f>IFERROR(100/'Skjema total MA'!F98*G98,0)</f>
        <v>1.6326532253102304</v>
      </c>
      <c r="J98" s="287">
        <f t="shared" si="4"/>
        <v>5507660</v>
      </c>
      <c r="K98" s="44">
        <f t="shared" si="4"/>
        <v>6316620</v>
      </c>
      <c r="L98" s="254">
        <f t="shared" si="3"/>
        <v>14.7</v>
      </c>
      <c r="M98" s="27">
        <f>IFERROR(100/'Skjema total MA'!I98*K98,0)</f>
        <v>0.95981374652505635</v>
      </c>
    </row>
    <row r="99" spans="1:13" x14ac:dyDescent="0.2">
      <c r="A99" s="21" t="s">
        <v>9</v>
      </c>
      <c r="B99" s="292">
        <v>1573553</v>
      </c>
      <c r="C99" s="293">
        <v>1780872</v>
      </c>
      <c r="D99" s="166">
        <f t="shared" si="0"/>
        <v>13.2</v>
      </c>
      <c r="E99" s="27">
        <f>IFERROR(100/'Skjema total MA'!C99*C99,0)</f>
        <v>0.47213684687021934</v>
      </c>
      <c r="F99" s="234"/>
      <c r="G99" s="145"/>
      <c r="H99" s="166"/>
      <c r="I99" s="27"/>
      <c r="J99" s="287">
        <f t="shared" si="4"/>
        <v>1573553</v>
      </c>
      <c r="K99" s="44">
        <f t="shared" si="4"/>
        <v>1780872</v>
      </c>
      <c r="L99" s="254">
        <f t="shared" si="3"/>
        <v>13.2</v>
      </c>
      <c r="M99" s="27">
        <f>IFERROR(100/'Skjema total MA'!I99*K99,0)</f>
        <v>0.47213684687021934</v>
      </c>
    </row>
    <row r="100" spans="1:13" x14ac:dyDescent="0.2">
      <c r="A100" s="21" t="s">
        <v>10</v>
      </c>
      <c r="B100" s="292"/>
      <c r="C100" s="293"/>
      <c r="D100" s="166"/>
      <c r="E100" s="27"/>
      <c r="F100" s="234">
        <v>3934107</v>
      </c>
      <c r="G100" s="234">
        <v>4535748</v>
      </c>
      <c r="H100" s="166">
        <f t="shared" si="1"/>
        <v>15.3</v>
      </c>
      <c r="I100" s="27">
        <f>IFERROR(100/'Skjema total MA'!F100*G100,0)</f>
        <v>1.6326532253102304</v>
      </c>
      <c r="J100" s="287">
        <f t="shared" si="4"/>
        <v>3934107</v>
      </c>
      <c r="K100" s="44">
        <f t="shared" si="4"/>
        <v>4535748</v>
      </c>
      <c r="L100" s="254">
        <f t="shared" si="3"/>
        <v>15.3</v>
      </c>
      <c r="M100" s="27">
        <f>IFERROR(100/'Skjema total MA'!I100*K100,0)</f>
        <v>1.6146341693967918</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v>937953</v>
      </c>
      <c r="C108" s="234">
        <v>977014</v>
      </c>
      <c r="D108" s="166">
        <f t="shared" si="0"/>
        <v>4.2</v>
      </c>
      <c r="E108" s="27">
        <f>IFERROR(100/'Skjema total MA'!C108*C108,0)</f>
        <v>0.30307607861605346</v>
      </c>
      <c r="F108" s="234"/>
      <c r="G108" s="234"/>
      <c r="H108" s="166"/>
      <c r="I108" s="27"/>
      <c r="J108" s="287">
        <f t="shared" si="4"/>
        <v>937953</v>
      </c>
      <c r="K108" s="44">
        <f t="shared" si="4"/>
        <v>977014</v>
      </c>
      <c r="L108" s="254">
        <f t="shared" si="3"/>
        <v>4.2</v>
      </c>
      <c r="M108" s="27">
        <f>IFERROR(100/'Skjema total MA'!I108*K108,0)</f>
        <v>0.28948604170561448</v>
      </c>
    </row>
    <row r="109" spans="1:13" ht="15.75" x14ac:dyDescent="0.2">
      <c r="A109" s="21" t="s">
        <v>388</v>
      </c>
      <c r="B109" s="234"/>
      <c r="C109" s="234"/>
      <c r="D109" s="166"/>
      <c r="E109" s="27"/>
      <c r="F109" s="234">
        <v>1681296</v>
      </c>
      <c r="G109" s="234">
        <v>2035160</v>
      </c>
      <c r="H109" s="166">
        <f t="shared" si="1"/>
        <v>21</v>
      </c>
      <c r="I109" s="27">
        <f>IFERROR(100/'Skjema total MA'!F109*G109,0)</f>
        <v>2.0928139266409085</v>
      </c>
      <c r="J109" s="287">
        <f t="shared" si="4"/>
        <v>1681296</v>
      </c>
      <c r="K109" s="44">
        <f t="shared" si="4"/>
        <v>2035160</v>
      </c>
      <c r="L109" s="254">
        <f t="shared" si="3"/>
        <v>21</v>
      </c>
      <c r="M109" s="27">
        <f>IFERROR(100/'Skjema total MA'!I109*K109,0)</f>
        <v>2.0696875459852966</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904</v>
      </c>
      <c r="C111" s="159">
        <v>3182</v>
      </c>
      <c r="D111" s="171">
        <f t="shared" si="0"/>
        <v>252</v>
      </c>
      <c r="E111" s="11">
        <f>IFERROR(100/'Skjema total MA'!C111*C111,0)</f>
        <v>0.80591621435536609</v>
      </c>
      <c r="F111" s="308">
        <v>201142</v>
      </c>
      <c r="G111" s="159">
        <v>130034</v>
      </c>
      <c r="H111" s="171">
        <f t="shared" si="1"/>
        <v>-35.4</v>
      </c>
      <c r="I111" s="11">
        <f>IFERROR(100/'Skjema total MA'!F111*G111,0)</f>
        <v>1.4578972985081811</v>
      </c>
      <c r="J111" s="309">
        <f t="shared" si="4"/>
        <v>202046</v>
      </c>
      <c r="K111" s="236">
        <f t="shared" si="4"/>
        <v>133216</v>
      </c>
      <c r="L111" s="428">
        <f t="shared" si="3"/>
        <v>-34.1</v>
      </c>
      <c r="M111" s="11">
        <f>IFERROR(100/'Skjema total MA'!I111*K111,0)</f>
        <v>1.4302594823206523</v>
      </c>
    </row>
    <row r="112" spans="1:13" x14ac:dyDescent="0.2">
      <c r="A112" s="21" t="s">
        <v>9</v>
      </c>
      <c r="B112" s="234">
        <v>904</v>
      </c>
      <c r="C112" s="145">
        <v>3182</v>
      </c>
      <c r="D112" s="166">
        <f t="shared" ref="D112:D120" si="5">IF(B112=0, "    ---- ", IF(ABS(ROUND(100/B112*C112-100,1))&lt;999,ROUND(100/B112*C112-100,1),IF(ROUND(100/B112*C112-100,1)&gt;999,999,-999)))</f>
        <v>252</v>
      </c>
      <c r="E112" s="27">
        <f>IFERROR(100/'Skjema total MA'!C112*C112,0)</f>
        <v>4.4717603890587814</v>
      </c>
      <c r="F112" s="234"/>
      <c r="G112" s="145"/>
      <c r="H112" s="166"/>
      <c r="I112" s="27"/>
      <c r="J112" s="287">
        <f t="shared" ref="J112:K125" si="6">SUM(B112,F112)</f>
        <v>904</v>
      </c>
      <c r="K112" s="44">
        <f t="shared" si="6"/>
        <v>3182</v>
      </c>
      <c r="L112" s="254">
        <f t="shared" ref="L112:L125" si="7">IF(J112=0, "    ---- ", IF(ABS(ROUND(100/J112*K112-100,1))&lt;999,ROUND(100/J112*K112-100,1),IF(ROUND(100/J112*K112-100,1)&gt;999,999,-999)))</f>
        <v>252</v>
      </c>
      <c r="M112" s="27">
        <f>IFERROR(100/'Skjema total MA'!I112*K112,0)</f>
        <v>4.2615622176204431</v>
      </c>
    </row>
    <row r="113" spans="1:14" x14ac:dyDescent="0.2">
      <c r="A113" s="21" t="s">
        <v>10</v>
      </c>
      <c r="B113" s="234"/>
      <c r="C113" s="145"/>
      <c r="D113" s="166"/>
      <c r="E113" s="27"/>
      <c r="F113" s="234">
        <v>201142</v>
      </c>
      <c r="G113" s="145">
        <v>130034</v>
      </c>
      <c r="H113" s="166">
        <f t="shared" ref="H113:H125" si="8">IF(F113=0, "    ---- ", IF(ABS(ROUND(100/F113*G113-100,1))&lt;999,ROUND(100/F113*G113-100,1),IF(ROUND(100/F113*G113-100,1)&gt;999,999,-999)))</f>
        <v>-35.4</v>
      </c>
      <c r="I113" s="27">
        <f>IFERROR(100/'Skjema total MA'!F113*G113,0)</f>
        <v>1.4697103736374997</v>
      </c>
      <c r="J113" s="287">
        <f t="shared" si="6"/>
        <v>201142</v>
      </c>
      <c r="K113" s="44">
        <f t="shared" si="6"/>
        <v>130034</v>
      </c>
      <c r="L113" s="254">
        <f t="shared" si="7"/>
        <v>-35.4</v>
      </c>
      <c r="M113" s="27">
        <f>IFERROR(100/'Skjema total MA'!I113*K113,0)</f>
        <v>1.469016575564817</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v>110053</v>
      </c>
      <c r="G117" s="234">
        <v>107979</v>
      </c>
      <c r="H117" s="166">
        <f t="shared" si="8"/>
        <v>-1.9</v>
      </c>
      <c r="I117" s="27">
        <f>IFERROR(100/'Skjema total MA'!F117*G117,0)</f>
        <v>13.153052808340769</v>
      </c>
      <c r="J117" s="287">
        <f t="shared" si="6"/>
        <v>110053</v>
      </c>
      <c r="K117" s="44">
        <f t="shared" si="6"/>
        <v>107979</v>
      </c>
      <c r="L117" s="254">
        <f t="shared" si="7"/>
        <v>-1.9</v>
      </c>
      <c r="M117" s="27">
        <f>IFERROR(100/'Skjema total MA'!I117*K117,0)</f>
        <v>13.153052808340769</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918</v>
      </c>
      <c r="C119" s="159">
        <v>0</v>
      </c>
      <c r="D119" s="171">
        <f t="shared" si="5"/>
        <v>-100</v>
      </c>
      <c r="E119" s="11">
        <f>IFERROR(100/'Skjema total MA'!C119*C119,0)</f>
        <v>0</v>
      </c>
      <c r="F119" s="308">
        <v>28141</v>
      </c>
      <c r="G119" s="159">
        <v>20572</v>
      </c>
      <c r="H119" s="171">
        <f t="shared" si="8"/>
        <v>-26.9</v>
      </c>
      <c r="I119" s="11">
        <f>IFERROR(100/'Skjema total MA'!F119*G119,0)</f>
        <v>0.23824248935038994</v>
      </c>
      <c r="J119" s="309">
        <f t="shared" si="6"/>
        <v>29059</v>
      </c>
      <c r="K119" s="236">
        <f t="shared" si="6"/>
        <v>20572</v>
      </c>
      <c r="L119" s="428">
        <f t="shared" si="7"/>
        <v>-29.2</v>
      </c>
      <c r="M119" s="11">
        <f>IFERROR(100/'Skjema total MA'!I119*K119,0)</f>
        <v>0.22544112798835483</v>
      </c>
    </row>
    <row r="120" spans="1:14" x14ac:dyDescent="0.2">
      <c r="A120" s="21" t="s">
        <v>9</v>
      </c>
      <c r="B120" s="234">
        <v>918</v>
      </c>
      <c r="C120" s="145">
        <v>0</v>
      </c>
      <c r="D120" s="166">
        <f t="shared" si="5"/>
        <v>-100</v>
      </c>
      <c r="E120" s="27">
        <f>IFERROR(100/'Skjema total MA'!C120*C120,0)</f>
        <v>0</v>
      </c>
      <c r="F120" s="234"/>
      <c r="G120" s="145"/>
      <c r="H120" s="166"/>
      <c r="I120" s="27"/>
      <c r="J120" s="287">
        <f t="shared" si="6"/>
        <v>918</v>
      </c>
      <c r="K120" s="44">
        <f t="shared" si="6"/>
        <v>0</v>
      </c>
      <c r="L120" s="254">
        <f t="shared" si="7"/>
        <v>-100</v>
      </c>
      <c r="M120" s="27">
        <f>IFERROR(100/'Skjema total MA'!I120*K120,0)</f>
        <v>0</v>
      </c>
    </row>
    <row r="121" spans="1:14" x14ac:dyDescent="0.2">
      <c r="A121" s="21" t="s">
        <v>10</v>
      </c>
      <c r="B121" s="234"/>
      <c r="C121" s="145"/>
      <c r="D121" s="166"/>
      <c r="E121" s="27"/>
      <c r="F121" s="234">
        <v>28141</v>
      </c>
      <c r="G121" s="145">
        <v>20572</v>
      </c>
      <c r="H121" s="166">
        <f t="shared" si="8"/>
        <v>-26.9</v>
      </c>
      <c r="I121" s="27">
        <f>IFERROR(100/'Skjema total MA'!F121*G121,0)</f>
        <v>0.23824248935038994</v>
      </c>
      <c r="J121" s="287">
        <f t="shared" si="6"/>
        <v>28141</v>
      </c>
      <c r="K121" s="44">
        <f t="shared" si="6"/>
        <v>20572</v>
      </c>
      <c r="L121" s="254">
        <f t="shared" si="7"/>
        <v>-26.9</v>
      </c>
      <c r="M121" s="27">
        <f>IFERROR(100/'Skjema total MA'!I121*K121,0)</f>
        <v>0.23816153904252751</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v>8687</v>
      </c>
      <c r="G125" s="234">
        <v>18911</v>
      </c>
      <c r="H125" s="166">
        <f t="shared" si="8"/>
        <v>117.7</v>
      </c>
      <c r="I125" s="27">
        <f>IFERROR(100/'Skjema total MA'!F125*G125,0)</f>
        <v>2.305246371780854</v>
      </c>
      <c r="J125" s="287">
        <f t="shared" si="6"/>
        <v>8687</v>
      </c>
      <c r="K125" s="44">
        <f t="shared" si="6"/>
        <v>18911</v>
      </c>
      <c r="L125" s="254">
        <f t="shared" si="7"/>
        <v>117.7</v>
      </c>
      <c r="M125" s="27">
        <f>IFERROR(100/'Skjema total MA'!I125*K125,0)</f>
        <v>2.3051999275522581</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21" priority="132">
      <formula>kvartal &lt; 4</formula>
    </cfRule>
  </conditionalFormatting>
  <conditionalFormatting sqref="B115">
    <cfRule type="expression" dxfId="420" priority="76">
      <formula>kvartal &lt; 4</formula>
    </cfRule>
  </conditionalFormatting>
  <conditionalFormatting sqref="C115">
    <cfRule type="expression" dxfId="419" priority="75">
      <formula>kvartal &lt; 4</formula>
    </cfRule>
  </conditionalFormatting>
  <conditionalFormatting sqref="B123">
    <cfRule type="expression" dxfId="418" priority="74">
      <formula>kvartal &lt; 4</formula>
    </cfRule>
  </conditionalFormatting>
  <conditionalFormatting sqref="C123">
    <cfRule type="expression" dxfId="417" priority="73">
      <formula>kvartal &lt; 4</formula>
    </cfRule>
  </conditionalFormatting>
  <conditionalFormatting sqref="F115">
    <cfRule type="expression" dxfId="416" priority="58">
      <formula>kvartal &lt; 4</formula>
    </cfRule>
  </conditionalFormatting>
  <conditionalFormatting sqref="G115">
    <cfRule type="expression" dxfId="415" priority="57">
      <formula>kvartal &lt; 4</formula>
    </cfRule>
  </conditionalFormatting>
  <conditionalFormatting sqref="F123:G123">
    <cfRule type="expression" dxfId="414" priority="56">
      <formula>kvartal &lt; 4</formula>
    </cfRule>
  </conditionalFormatting>
  <conditionalFormatting sqref="J115:K115">
    <cfRule type="expression" dxfId="413" priority="32">
      <formula>kvartal &lt; 4</formula>
    </cfRule>
  </conditionalFormatting>
  <conditionalFormatting sqref="J123:K123">
    <cfRule type="expression" dxfId="412" priority="31">
      <formula>kvartal &lt; 4</formula>
    </cfRule>
  </conditionalFormatting>
  <conditionalFormatting sqref="A50:A52">
    <cfRule type="expression" dxfId="411" priority="12">
      <formula>kvartal &lt; 4</formula>
    </cfRule>
  </conditionalFormatting>
  <conditionalFormatting sqref="A69:A74">
    <cfRule type="expression" dxfId="410" priority="10">
      <formula>kvartal &lt; 4</formula>
    </cfRule>
  </conditionalFormatting>
  <conditionalFormatting sqref="A80:A85">
    <cfRule type="expression" dxfId="409" priority="9">
      <formula>kvartal &lt; 4</formula>
    </cfRule>
  </conditionalFormatting>
  <conditionalFormatting sqref="A90:A95">
    <cfRule type="expression" dxfId="408" priority="6">
      <formula>kvartal &lt; 4</formula>
    </cfRule>
  </conditionalFormatting>
  <conditionalFormatting sqref="A101:A106">
    <cfRule type="expression" dxfId="407" priority="5">
      <formula>kvartal &lt; 4</formula>
    </cfRule>
  </conditionalFormatting>
  <conditionalFormatting sqref="A115">
    <cfRule type="expression" dxfId="406" priority="4">
      <formula>kvartal &lt; 4</formula>
    </cfRule>
  </conditionalFormatting>
  <conditionalFormatting sqref="A123">
    <cfRule type="expression" dxfId="405" priority="3">
      <formula>kvartal &lt; 4</formula>
    </cfRule>
  </conditionalFormatting>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N144"/>
  <sheetViews>
    <sheetView showGridLines="0" zoomScale="120" zoomScaleNormal="120" workbookViewId="0">
      <selection activeCell="C1" sqref="C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136</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2359</v>
      </c>
      <c r="C7" s="307">
        <v>3335.0239999999999</v>
      </c>
      <c r="D7" s="350">
        <f>IF(B7=0, "    ---- ", IF(ABS(ROUND(100/B7*C7-100,1))&lt;999,ROUND(100/B7*C7-100,1),IF(ROUND(100/B7*C7-100,1)&gt;999,999,-999)))</f>
        <v>41.4</v>
      </c>
      <c r="E7" s="11">
        <f>IFERROR(100/'Skjema total MA'!C7*C7,0)</f>
        <v>0.21453792179133116</v>
      </c>
      <c r="F7" s="306"/>
      <c r="G7" s="307"/>
      <c r="H7" s="350"/>
      <c r="I7" s="160"/>
      <c r="J7" s="308">
        <f t="shared" ref="J7:K10" si="0">SUM(B7,F7)</f>
        <v>2359</v>
      </c>
      <c r="K7" s="309">
        <f t="shared" si="0"/>
        <v>3335.0239999999999</v>
      </c>
      <c r="L7" s="427">
        <f>IF(J7=0, "    ---- ", IF(ABS(ROUND(100/J7*K7-100,1))&lt;999,ROUND(100/J7*K7-100,1),IF(ROUND(100/J7*K7-100,1)&gt;999,999,-999)))</f>
        <v>41.4</v>
      </c>
      <c r="M7" s="11">
        <f>IFERROR(100/'Skjema total MA'!I7*K7,0)</f>
        <v>8.1599803317938244E-2</v>
      </c>
    </row>
    <row r="8" spans="1:14" ht="15.75" x14ac:dyDescent="0.2">
      <c r="A8" s="21" t="s">
        <v>25</v>
      </c>
      <c r="B8" s="281">
        <v>2260</v>
      </c>
      <c r="C8" s="282">
        <v>3238.7179999999998</v>
      </c>
      <c r="D8" s="166">
        <f t="shared" ref="D8:D10" si="1">IF(B8=0, "    ---- ", IF(ABS(ROUND(100/B8*C8-100,1))&lt;999,ROUND(100/B8*C8-100,1),IF(ROUND(100/B8*C8-100,1)&gt;999,999,-999)))</f>
        <v>43.3</v>
      </c>
      <c r="E8" s="27">
        <f>IFERROR(100/'Skjema total MA'!C8*C8,0)</f>
        <v>0.31223981661159517</v>
      </c>
      <c r="F8" s="285"/>
      <c r="G8" s="286"/>
      <c r="H8" s="166"/>
      <c r="I8" s="175"/>
      <c r="J8" s="234">
        <f t="shared" si="0"/>
        <v>2260</v>
      </c>
      <c r="K8" s="287">
        <f t="shared" si="0"/>
        <v>3238.7179999999998</v>
      </c>
      <c r="L8" s="166">
        <f t="shared" ref="L8:L9" si="2">IF(J8=0, "    ---- ", IF(ABS(ROUND(100/J8*K8-100,1))&lt;999,ROUND(100/J8*K8-100,1),IF(ROUND(100/J8*K8-100,1)&gt;999,999,-999)))</f>
        <v>43.3</v>
      </c>
      <c r="M8" s="27">
        <f>IFERROR(100/'Skjema total MA'!I8*K8,0)</f>
        <v>0.31223981661159517</v>
      </c>
    </row>
    <row r="9" spans="1:14" ht="15.75" x14ac:dyDescent="0.2">
      <c r="A9" s="21" t="s">
        <v>24</v>
      </c>
      <c r="B9" s="281">
        <v>99</v>
      </c>
      <c r="C9" s="282">
        <v>96.305999999999997</v>
      </c>
      <c r="D9" s="166">
        <f t="shared" si="1"/>
        <v>-2.7</v>
      </c>
      <c r="E9" s="27">
        <f>IFERROR(100/'Skjema total MA'!C9*C9,0)</f>
        <v>2.8886545686916457E-2</v>
      </c>
      <c r="F9" s="285"/>
      <c r="G9" s="286"/>
      <c r="H9" s="166"/>
      <c r="I9" s="175"/>
      <c r="J9" s="234">
        <f t="shared" si="0"/>
        <v>99</v>
      </c>
      <c r="K9" s="287">
        <f t="shared" si="0"/>
        <v>96.305999999999997</v>
      </c>
      <c r="L9" s="166">
        <f t="shared" si="2"/>
        <v>-2.7</v>
      </c>
      <c r="M9" s="27">
        <f>IFERROR(100/'Skjema total MA'!I9*K9,0)</f>
        <v>2.8886545686916457E-2</v>
      </c>
    </row>
    <row r="10" spans="1:14" ht="15.75" x14ac:dyDescent="0.2">
      <c r="A10" s="13" t="s">
        <v>368</v>
      </c>
      <c r="B10" s="310">
        <v>23088</v>
      </c>
      <c r="C10" s="311">
        <v>10914.609756</v>
      </c>
      <c r="D10" s="171">
        <f t="shared" si="1"/>
        <v>-52.7</v>
      </c>
      <c r="E10" s="11">
        <f>IFERROR(100/'Skjema total MA'!C10*C10,0)</f>
        <v>5.7894195286778166E-2</v>
      </c>
      <c r="F10" s="310"/>
      <c r="G10" s="311"/>
      <c r="H10" s="171"/>
      <c r="I10" s="160"/>
      <c r="J10" s="308">
        <f t="shared" si="0"/>
        <v>23088</v>
      </c>
      <c r="K10" s="309">
        <f t="shared" si="0"/>
        <v>10914.609756</v>
      </c>
      <c r="L10" s="428">
        <f t="shared" ref="L10" si="3">IF(J10=0, "    ---- ", IF(ABS(ROUND(100/J10*K10-100,1))&lt;999,ROUND(100/J10*K10-100,1),IF(ROUND(100/J10*K10-100,1)&gt;999,999,-999)))</f>
        <v>-52.7</v>
      </c>
      <c r="M10" s="11">
        <f>IFERROR(100/'Skjema total MA'!I10*K10,0)</f>
        <v>1.6673017923878427E-2</v>
      </c>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1735</v>
      </c>
      <c r="C22" s="310">
        <v>3751.5740000000001</v>
      </c>
      <c r="D22" s="350">
        <f t="shared" ref="D22:D29" si="4">IF(B22=0, "    ---- ", IF(ABS(ROUND(100/B22*C22-100,1))&lt;999,ROUND(100/B22*C22-100,1),IF(ROUND(100/B22*C22-100,1)&gt;999,999,-999)))</f>
        <v>116.2</v>
      </c>
      <c r="E22" s="11">
        <f>IFERROR(100/'Skjema total MA'!C22*C22,0)</f>
        <v>0.54019978959815829</v>
      </c>
      <c r="F22" s="318"/>
      <c r="G22" s="318"/>
      <c r="H22" s="350"/>
      <c r="I22" s="11"/>
      <c r="J22" s="316">
        <f t="shared" ref="J22:K29" si="5">SUM(B22,F22)</f>
        <v>1735</v>
      </c>
      <c r="K22" s="316">
        <f t="shared" si="5"/>
        <v>3751.5740000000001</v>
      </c>
      <c r="L22" s="427">
        <f t="shared" ref="L22:L29" si="6">IF(J22=0, "    ---- ", IF(ABS(ROUND(100/J22*K22-100,1))&lt;999,ROUND(100/J22*K22-100,1),IF(ROUND(100/J22*K22-100,1)&gt;999,999,-999)))</f>
        <v>116.2</v>
      </c>
      <c r="M22" s="24">
        <f>IFERROR(100/'Skjema total MA'!I22*K22,0)</f>
        <v>0.36475686439282318</v>
      </c>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1735</v>
      </c>
      <c r="C28" s="287">
        <v>3751.5740000000001</v>
      </c>
      <c r="D28" s="166">
        <f t="shared" si="4"/>
        <v>116.2</v>
      </c>
      <c r="E28" s="11">
        <f>IFERROR(100/'Skjema total MA'!C28*C28,0)</f>
        <v>0.51509639808067842</v>
      </c>
      <c r="F28" s="234"/>
      <c r="G28" s="287"/>
      <c r="H28" s="166"/>
      <c r="I28" s="27"/>
      <c r="J28" s="44">
        <f t="shared" si="5"/>
        <v>1735</v>
      </c>
      <c r="K28" s="44">
        <f t="shared" si="5"/>
        <v>3751.5740000000001</v>
      </c>
      <c r="L28" s="254">
        <f t="shared" si="6"/>
        <v>116.2</v>
      </c>
      <c r="M28" s="23">
        <f>IFERROR(100/'Skjema total MA'!I28*K28,0)</f>
        <v>0.51509639808067842</v>
      </c>
    </row>
    <row r="29" spans="1:14" s="3" customFormat="1" ht="15.75" x14ac:dyDescent="0.2">
      <c r="A29" s="13" t="s">
        <v>368</v>
      </c>
      <c r="B29" s="236">
        <v>0</v>
      </c>
      <c r="C29" s="236">
        <v>28989.577184000002</v>
      </c>
      <c r="D29" s="171" t="str">
        <f t="shared" si="4"/>
        <v xml:space="preserve">    ---- </v>
      </c>
      <c r="E29" s="11">
        <f>IFERROR(100/'Skjema total MA'!C29*C29,0)</f>
        <v>6.190276620360801E-2</v>
      </c>
      <c r="F29" s="308"/>
      <c r="G29" s="308"/>
      <c r="H29" s="171"/>
      <c r="I29" s="11"/>
      <c r="J29" s="236">
        <f t="shared" si="5"/>
        <v>0</v>
      </c>
      <c r="K29" s="236">
        <f t="shared" si="5"/>
        <v>28989.577184000002</v>
      </c>
      <c r="L29" s="428" t="str">
        <f t="shared" si="6"/>
        <v xml:space="preserve">    ---- </v>
      </c>
      <c r="M29" s="24">
        <f>IFERROR(100/'Skjema total MA'!I29*K29,0)</f>
        <v>4.332065552830873E-2</v>
      </c>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132741</v>
      </c>
      <c r="C47" s="311">
        <v>149051.23800000001</v>
      </c>
      <c r="D47" s="427">
        <f t="shared" ref="D47:D48" si="7">IF(B47=0, "    ---- ", IF(ABS(ROUND(100/B47*C47-100,1))&lt;999,ROUND(100/B47*C47-100,1),IF(ROUND(100/B47*C47-100,1)&gt;999,999,-999)))</f>
        <v>12.3</v>
      </c>
      <c r="E47" s="11">
        <f>IFERROR(100/'Skjema total MA'!C47*C47,0)</f>
        <v>5.1653349800635038</v>
      </c>
      <c r="F47" s="145"/>
      <c r="G47" s="33"/>
      <c r="H47" s="159"/>
      <c r="I47" s="159"/>
      <c r="J47" s="37"/>
      <c r="K47" s="37"/>
      <c r="L47" s="159"/>
      <c r="M47" s="159"/>
      <c r="N47" s="148"/>
    </row>
    <row r="48" spans="1:14" s="3" customFormat="1" ht="15.75" x14ac:dyDescent="0.2">
      <c r="A48" s="38" t="s">
        <v>379</v>
      </c>
      <c r="B48" s="281">
        <v>132741</v>
      </c>
      <c r="C48" s="282">
        <v>149051.23800000001</v>
      </c>
      <c r="D48" s="254">
        <f t="shared" si="7"/>
        <v>12.3</v>
      </c>
      <c r="E48" s="27">
        <f>IFERROR(100/'Skjema total MA'!C48*C48,0)</f>
        <v>9.504836738957815</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404" priority="132">
      <formula>kvartal &lt; 4</formula>
    </cfRule>
  </conditionalFormatting>
  <conditionalFormatting sqref="B115">
    <cfRule type="expression" dxfId="403" priority="76">
      <formula>kvartal &lt; 4</formula>
    </cfRule>
  </conditionalFormatting>
  <conditionalFormatting sqref="C115">
    <cfRule type="expression" dxfId="402" priority="75">
      <formula>kvartal &lt; 4</formula>
    </cfRule>
  </conditionalFormatting>
  <conditionalFormatting sqref="B123">
    <cfRule type="expression" dxfId="401" priority="74">
      <formula>kvartal &lt; 4</formula>
    </cfRule>
  </conditionalFormatting>
  <conditionalFormatting sqref="C123">
    <cfRule type="expression" dxfId="400" priority="73">
      <formula>kvartal &lt; 4</formula>
    </cfRule>
  </conditionalFormatting>
  <conditionalFormatting sqref="F115">
    <cfRule type="expression" dxfId="399" priority="58">
      <formula>kvartal &lt; 4</formula>
    </cfRule>
  </conditionalFormatting>
  <conditionalFormatting sqref="G115">
    <cfRule type="expression" dxfId="398" priority="57">
      <formula>kvartal &lt; 4</formula>
    </cfRule>
  </conditionalFormatting>
  <conditionalFormatting sqref="F123:G123">
    <cfRule type="expression" dxfId="397" priority="56">
      <formula>kvartal &lt; 4</formula>
    </cfRule>
  </conditionalFormatting>
  <conditionalFormatting sqref="J115:K115">
    <cfRule type="expression" dxfId="396" priority="32">
      <formula>kvartal &lt; 4</formula>
    </cfRule>
  </conditionalFormatting>
  <conditionalFormatting sqref="J123:K123">
    <cfRule type="expression" dxfId="395" priority="31">
      <formula>kvartal &lt; 4</formula>
    </cfRule>
  </conditionalFormatting>
  <conditionalFormatting sqref="A50:A52">
    <cfRule type="expression" dxfId="394" priority="12">
      <formula>kvartal &lt; 4</formula>
    </cfRule>
  </conditionalFormatting>
  <conditionalFormatting sqref="A69:A74">
    <cfRule type="expression" dxfId="393" priority="10">
      <formula>kvartal &lt; 4</formula>
    </cfRule>
  </conditionalFormatting>
  <conditionalFormatting sqref="A80:A85">
    <cfRule type="expression" dxfId="392" priority="9">
      <formula>kvartal &lt; 4</formula>
    </cfRule>
  </conditionalFormatting>
  <conditionalFormatting sqref="A90:A95">
    <cfRule type="expression" dxfId="391" priority="6">
      <formula>kvartal &lt; 4</formula>
    </cfRule>
  </conditionalFormatting>
  <conditionalFormatting sqref="A101:A106">
    <cfRule type="expression" dxfId="390" priority="5">
      <formula>kvartal &lt; 4</formula>
    </cfRule>
  </conditionalFormatting>
  <conditionalFormatting sqref="A115">
    <cfRule type="expression" dxfId="389" priority="4">
      <formula>kvartal &lt; 4</formula>
    </cfRule>
  </conditionalFormatting>
  <conditionalFormatting sqref="A123">
    <cfRule type="expression" dxfId="388" priority="3">
      <formula>kvartal &lt; 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N144"/>
  <sheetViews>
    <sheetView showGridLines="0" zoomScale="120" zoomScaleNormal="12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427</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22249</v>
      </c>
      <c r="C47" s="311">
        <v>30906</v>
      </c>
      <c r="D47" s="427">
        <f t="shared" ref="D47:D57" si="0">IF(B47=0, "    ---- ", IF(ABS(ROUND(100/B47*C47-100,1))&lt;999,ROUND(100/B47*C47-100,1),IF(ROUND(100/B47*C47-100,1)&gt;999,999,-999)))</f>
        <v>38.9</v>
      </c>
      <c r="E47" s="11">
        <f>IFERROR(100/'Skjema total MA'!C47*C47,0)</f>
        <v>1.0710400331853844</v>
      </c>
      <c r="F47" s="145"/>
      <c r="G47" s="33"/>
      <c r="H47" s="159"/>
      <c r="I47" s="159"/>
      <c r="J47" s="37"/>
      <c r="K47" s="37"/>
      <c r="L47" s="159"/>
      <c r="M47" s="159"/>
      <c r="N47" s="148"/>
    </row>
    <row r="48" spans="1:14" s="3" customFormat="1" ht="15.75" x14ac:dyDescent="0.2">
      <c r="A48" s="38" t="s">
        <v>379</v>
      </c>
      <c r="B48" s="281">
        <v>22249</v>
      </c>
      <c r="C48" s="282">
        <v>30906</v>
      </c>
      <c r="D48" s="254">
        <f t="shared" si="0"/>
        <v>38.9</v>
      </c>
      <c r="E48" s="27">
        <f>IFERROR(100/'Skjema total MA'!C48*C48,0)</f>
        <v>1.9708422968900814</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428</v>
      </c>
      <c r="C53" s="311">
        <v>7737</v>
      </c>
      <c r="D53" s="428">
        <f t="shared" si="0"/>
        <v>999</v>
      </c>
      <c r="E53" s="11">
        <f>IFERROR(100/'Skjema total MA'!C53*C53,0)</f>
        <v>7.5699676050002047</v>
      </c>
      <c r="F53" s="145"/>
      <c r="G53" s="33"/>
      <c r="H53" s="145"/>
      <c r="I53" s="145"/>
      <c r="J53" s="33"/>
      <c r="K53" s="33"/>
      <c r="L53" s="159"/>
      <c r="M53" s="159"/>
      <c r="N53" s="148"/>
    </row>
    <row r="54" spans="1:14" s="3" customFormat="1" ht="15.75" x14ac:dyDescent="0.2">
      <c r="A54" s="38" t="s">
        <v>379</v>
      </c>
      <c r="B54" s="281">
        <v>428</v>
      </c>
      <c r="C54" s="282">
        <v>7737</v>
      </c>
      <c r="D54" s="254">
        <f t="shared" si="0"/>
        <v>999</v>
      </c>
      <c r="E54" s="27">
        <f>IFERROR(100/'Skjema total MA'!C54*C54,0)</f>
        <v>7.5699676050002047</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284</v>
      </c>
      <c r="C56" s="311">
        <v>67</v>
      </c>
      <c r="D56" s="428">
        <f t="shared" si="0"/>
        <v>-76.400000000000006</v>
      </c>
      <c r="E56" s="11">
        <f>IFERROR(100/'Skjema total MA'!C56*C56,0)</f>
        <v>7.0939146526045938E-2</v>
      </c>
      <c r="F56" s="145"/>
      <c r="G56" s="33"/>
      <c r="H56" s="145"/>
      <c r="I56" s="145"/>
      <c r="J56" s="33"/>
      <c r="K56" s="33"/>
      <c r="L56" s="159"/>
      <c r="M56" s="159"/>
      <c r="N56" s="148"/>
    </row>
    <row r="57" spans="1:14" s="3" customFormat="1" ht="15.75" x14ac:dyDescent="0.2">
      <c r="A57" s="38" t="s">
        <v>379</v>
      </c>
      <c r="B57" s="281">
        <v>284</v>
      </c>
      <c r="C57" s="282">
        <v>67</v>
      </c>
      <c r="D57" s="254">
        <f t="shared" si="0"/>
        <v>-76.400000000000006</v>
      </c>
      <c r="E57" s="27">
        <f>IFERROR(100/'Skjema total MA'!C57*C57,0)</f>
        <v>7.0939146526045938E-2</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387" priority="132">
      <formula>kvartal &lt; 4</formula>
    </cfRule>
  </conditionalFormatting>
  <conditionalFormatting sqref="B115">
    <cfRule type="expression" dxfId="386" priority="76">
      <formula>kvartal &lt; 4</formula>
    </cfRule>
  </conditionalFormatting>
  <conditionalFormatting sqref="C115">
    <cfRule type="expression" dxfId="385" priority="75">
      <formula>kvartal &lt; 4</formula>
    </cfRule>
  </conditionalFormatting>
  <conditionalFormatting sqref="B123">
    <cfRule type="expression" dxfId="384" priority="74">
      <formula>kvartal &lt; 4</formula>
    </cfRule>
  </conditionalFormatting>
  <conditionalFormatting sqref="C123">
    <cfRule type="expression" dxfId="383" priority="73">
      <formula>kvartal &lt; 4</formula>
    </cfRule>
  </conditionalFormatting>
  <conditionalFormatting sqref="F115">
    <cfRule type="expression" dxfId="382" priority="58">
      <formula>kvartal &lt; 4</formula>
    </cfRule>
  </conditionalFormatting>
  <conditionalFormatting sqref="G115">
    <cfRule type="expression" dxfId="381" priority="57">
      <formula>kvartal &lt; 4</formula>
    </cfRule>
  </conditionalFormatting>
  <conditionalFormatting sqref="F123:G123">
    <cfRule type="expression" dxfId="380" priority="56">
      <formula>kvartal &lt; 4</formula>
    </cfRule>
  </conditionalFormatting>
  <conditionalFormatting sqref="J115:K115">
    <cfRule type="expression" dxfId="379" priority="32">
      <formula>kvartal &lt; 4</formula>
    </cfRule>
  </conditionalFormatting>
  <conditionalFormatting sqref="J123:K123">
    <cfRule type="expression" dxfId="378" priority="31">
      <formula>kvartal &lt; 4</formula>
    </cfRule>
  </conditionalFormatting>
  <conditionalFormatting sqref="A50:A52">
    <cfRule type="expression" dxfId="377" priority="12">
      <formula>kvartal &lt; 4</formula>
    </cfRule>
  </conditionalFormatting>
  <conditionalFormatting sqref="A69:A74">
    <cfRule type="expression" dxfId="376" priority="10">
      <formula>kvartal &lt; 4</formula>
    </cfRule>
  </conditionalFormatting>
  <conditionalFormatting sqref="A80:A85">
    <cfRule type="expression" dxfId="375" priority="9">
      <formula>kvartal &lt; 4</formula>
    </cfRule>
  </conditionalFormatting>
  <conditionalFormatting sqref="A90:A95">
    <cfRule type="expression" dxfId="374" priority="6">
      <formula>kvartal &lt; 4</formula>
    </cfRule>
  </conditionalFormatting>
  <conditionalFormatting sqref="A101:A106">
    <cfRule type="expression" dxfId="373" priority="5">
      <formula>kvartal &lt; 4</formula>
    </cfRule>
  </conditionalFormatting>
  <conditionalFormatting sqref="A115">
    <cfRule type="expression" dxfId="372" priority="4">
      <formula>kvartal &lt; 4</formula>
    </cfRule>
  </conditionalFormatting>
  <conditionalFormatting sqref="A123">
    <cfRule type="expression" dxfId="371" priority="3">
      <formula>kvartal &lt; 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132</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118046.593090318</v>
      </c>
      <c r="C7" s="307">
        <v>121739.563085699</v>
      </c>
      <c r="D7" s="350">
        <f>IF(B7=0, "    ---- ", IF(ABS(ROUND(100/B7*C7-100,1))&lt;999,ROUND(100/B7*C7-100,1),IF(ROUND(100/B7*C7-100,1)&gt;999,999,-999)))</f>
        <v>3.1</v>
      </c>
      <c r="E7" s="11">
        <f>IFERROR(100/'Skjema total MA'!C7*C7,0)</f>
        <v>7.8313537966115145</v>
      </c>
      <c r="F7" s="306">
        <v>1996410.39601</v>
      </c>
      <c r="G7" s="307">
        <v>1759602.9376999999</v>
      </c>
      <c r="H7" s="350">
        <f>IF(F7=0, "    ---- ", IF(ABS(ROUND(100/F7*G7-100,1))&lt;999,ROUND(100/F7*G7-100,1),IF(ROUND(100/F7*G7-100,1)&gt;999,999,-999)))</f>
        <v>-11.9</v>
      </c>
      <c r="I7" s="160">
        <f>IFERROR(100/'Skjema total MA'!F7*G7,0)</f>
        <v>69.479929376954814</v>
      </c>
      <c r="J7" s="308">
        <f t="shared" ref="J7:K12" si="0">SUM(B7,F7)</f>
        <v>2114456.9891003179</v>
      </c>
      <c r="K7" s="309">
        <f t="shared" si="0"/>
        <v>1881342.5007856989</v>
      </c>
      <c r="L7" s="427">
        <f>IF(J7=0, "    ---- ", IF(ABS(ROUND(100/J7*K7-100,1))&lt;999,ROUND(100/J7*K7-100,1),IF(ROUND(100/J7*K7-100,1)&gt;999,999,-999)))</f>
        <v>-11</v>
      </c>
      <c r="M7" s="11">
        <f>IFERROR(100/'Skjema total MA'!I7*K7,0)</f>
        <v>46.031806079293915</v>
      </c>
    </row>
    <row r="8" spans="1:14" ht="15.75" x14ac:dyDescent="0.2">
      <c r="A8" s="21" t="s">
        <v>25</v>
      </c>
      <c r="B8" s="281">
        <v>96444.439115749294</v>
      </c>
      <c r="C8" s="282">
        <v>101129.504489602</v>
      </c>
      <c r="D8" s="166">
        <f t="shared" ref="D8:D10" si="1">IF(B8=0, "    ---- ", IF(ABS(ROUND(100/B8*C8-100,1))&lt;999,ROUND(100/B8*C8-100,1),IF(ROUND(100/B8*C8-100,1)&gt;999,999,-999)))</f>
        <v>4.9000000000000004</v>
      </c>
      <c r="E8" s="27">
        <f>IFERROR(100/'Skjema total MA'!C8*C8,0)</f>
        <v>9.7497398464005869</v>
      </c>
      <c r="F8" s="285"/>
      <c r="G8" s="286"/>
      <c r="H8" s="166"/>
      <c r="I8" s="175"/>
      <c r="J8" s="234">
        <f t="shared" si="0"/>
        <v>96444.439115749294</v>
      </c>
      <c r="K8" s="287">
        <f t="shared" si="0"/>
        <v>101129.504489602</v>
      </c>
      <c r="L8" s="254"/>
      <c r="M8" s="27">
        <f>IFERROR(100/'Skjema total MA'!I8*K8,0)</f>
        <v>9.7497398464005869</v>
      </c>
    </row>
    <row r="9" spans="1:14" ht="15.75" x14ac:dyDescent="0.2">
      <c r="A9" s="21" t="s">
        <v>24</v>
      </c>
      <c r="B9" s="281">
        <v>19686.6316894884</v>
      </c>
      <c r="C9" s="282">
        <v>18811.383765273498</v>
      </c>
      <c r="D9" s="166">
        <f t="shared" si="1"/>
        <v>-4.4000000000000004</v>
      </c>
      <c r="E9" s="27">
        <f>IFERROR(100/'Skjema total MA'!C9*C9,0)</f>
        <v>5.6423888082745774</v>
      </c>
      <c r="F9" s="285"/>
      <c r="G9" s="286"/>
      <c r="H9" s="166"/>
      <c r="I9" s="175"/>
      <c r="J9" s="234">
        <f t="shared" si="0"/>
        <v>19686.6316894884</v>
      </c>
      <c r="K9" s="287">
        <f t="shared" si="0"/>
        <v>18811.383765273498</v>
      </c>
      <c r="L9" s="254"/>
      <c r="M9" s="27">
        <f>IFERROR(100/'Skjema total MA'!I9*K9,0)</f>
        <v>5.6423888082745774</v>
      </c>
    </row>
    <row r="10" spans="1:14" ht="15.75" x14ac:dyDescent="0.2">
      <c r="A10" s="13" t="s">
        <v>368</v>
      </c>
      <c r="B10" s="310">
        <v>837908.85331405001</v>
      </c>
      <c r="C10" s="311">
        <v>780281.48236283998</v>
      </c>
      <c r="D10" s="171">
        <f t="shared" si="1"/>
        <v>-6.9</v>
      </c>
      <c r="E10" s="11">
        <f>IFERROR(100/'Skjema total MA'!C10*C10,0)</f>
        <v>4.1388349678501335</v>
      </c>
      <c r="F10" s="310">
        <v>25998949.326869398</v>
      </c>
      <c r="G10" s="311">
        <v>28403585.084109999</v>
      </c>
      <c r="H10" s="171">
        <f t="shared" ref="H10:H12" si="2">IF(F10=0, "    ---- ", IF(ABS(ROUND(100/F10*G10-100,1))&lt;999,ROUND(100/F10*G10-100,1),IF(ROUND(100/F10*G10-100,1)&gt;999,999,-999)))</f>
        <v>9.1999999999999993</v>
      </c>
      <c r="I10" s="160">
        <f>IFERROR(100/'Skjema total MA'!F10*G10,0)</f>
        <v>60.938785460760343</v>
      </c>
      <c r="J10" s="308">
        <f t="shared" si="0"/>
        <v>26836858.180183448</v>
      </c>
      <c r="K10" s="309">
        <f t="shared" si="0"/>
        <v>29183866.56647284</v>
      </c>
      <c r="L10" s="428">
        <f t="shared" ref="L10:L12" si="3">IF(J10=0, "    ---- ", IF(ABS(ROUND(100/J10*K10-100,1))&lt;999,ROUND(100/J10*K10-100,1),IF(ROUND(100/J10*K10-100,1)&gt;999,999,-999)))</f>
        <v>8.6999999999999993</v>
      </c>
      <c r="M10" s="11">
        <f>IFERROR(100/'Skjema total MA'!I10*K10,0)</f>
        <v>44.58090039209992</v>
      </c>
    </row>
    <row r="11" spans="1:14" s="43" customFormat="1" ht="15.75" x14ac:dyDescent="0.2">
      <c r="A11" s="13" t="s">
        <v>369</v>
      </c>
      <c r="B11" s="310"/>
      <c r="C11" s="311"/>
      <c r="D11" s="171"/>
      <c r="E11" s="11"/>
      <c r="F11" s="310">
        <v>60042.005420000001</v>
      </c>
      <c r="G11" s="311">
        <v>67098.595140000005</v>
      </c>
      <c r="H11" s="171">
        <f t="shared" si="2"/>
        <v>11.8</v>
      </c>
      <c r="I11" s="160">
        <f>IFERROR(100/'Skjema total MA'!F11*G11,0)</f>
        <v>52.774867644536357</v>
      </c>
      <c r="J11" s="308">
        <f t="shared" si="0"/>
        <v>60042.005420000001</v>
      </c>
      <c r="K11" s="309">
        <f t="shared" si="0"/>
        <v>67098.595140000005</v>
      </c>
      <c r="L11" s="428">
        <f t="shared" si="3"/>
        <v>11.8</v>
      </c>
      <c r="M11" s="11">
        <f>IFERROR(100/'Skjema total MA'!I11*K11,0)</f>
        <v>48.035238687328871</v>
      </c>
      <c r="N11" s="143"/>
    </row>
    <row r="12" spans="1:14" s="43" customFormat="1" ht="15.75" x14ac:dyDescent="0.2">
      <c r="A12" s="41" t="s">
        <v>370</v>
      </c>
      <c r="B12" s="312"/>
      <c r="C12" s="313"/>
      <c r="D12" s="169"/>
      <c r="E12" s="36"/>
      <c r="F12" s="312">
        <v>7085.8519999999999</v>
      </c>
      <c r="G12" s="313">
        <v>23590.64443</v>
      </c>
      <c r="H12" s="169">
        <f t="shared" si="2"/>
        <v>232.9</v>
      </c>
      <c r="I12" s="169">
        <f>IFERROR(100/'Skjema total MA'!F12*G12,0)</f>
        <v>23.364769941874361</v>
      </c>
      <c r="J12" s="314">
        <f t="shared" si="0"/>
        <v>7085.8519999999999</v>
      </c>
      <c r="K12" s="315">
        <f t="shared" si="0"/>
        <v>23590.64443</v>
      </c>
      <c r="L12" s="429">
        <f t="shared" si="3"/>
        <v>232.9</v>
      </c>
      <c r="M12" s="36">
        <f>IFERROR(100/'Skjema total MA'!I12*K12,0)</f>
        <v>23.058290514975724</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37769.613305496503</v>
      </c>
      <c r="C22" s="310">
        <v>41128.9793700757</v>
      </c>
      <c r="D22" s="350">
        <f t="shared" ref="D22:D32" si="4">IF(B22=0, "    ---- ", IF(ABS(ROUND(100/B22*C22-100,1))&lt;999,ROUND(100/B22*C22-100,1),IF(ROUND(100/B22*C22-100,1)&gt;999,999,-999)))</f>
        <v>8.9</v>
      </c>
      <c r="E22" s="11">
        <f>IFERROR(100/'Skjema total MA'!C22*C22,0)</f>
        <v>5.9222784895358274</v>
      </c>
      <c r="F22" s="318">
        <v>82541.210869999995</v>
      </c>
      <c r="G22" s="318">
        <v>85391.906940000001</v>
      </c>
      <c r="H22" s="350">
        <f t="shared" ref="H22:H35" si="5">IF(F22=0, "    ---- ", IF(ABS(ROUND(100/F22*G22-100,1))&lt;999,ROUND(100/F22*G22-100,1),IF(ROUND(100/F22*G22-100,1)&gt;999,999,-999)))</f>
        <v>3.5</v>
      </c>
      <c r="I22" s="11">
        <f>IFERROR(100/'Skjema total MA'!F22*G22,0)</f>
        <v>25.563788709414126</v>
      </c>
      <c r="J22" s="316">
        <f t="shared" ref="J22:K35" si="6">SUM(B22,F22)</f>
        <v>120310.8241754965</v>
      </c>
      <c r="K22" s="316">
        <f t="shared" si="6"/>
        <v>126520.8863100757</v>
      </c>
      <c r="L22" s="427">
        <f t="shared" ref="L22:L35" si="7">IF(J22=0, "    ---- ", IF(ABS(ROUND(100/J22*K22-100,1))&lt;999,ROUND(100/J22*K22-100,1),IF(ROUND(100/J22*K22-100,1)&gt;999,999,-999)))</f>
        <v>5.2</v>
      </c>
      <c r="M22" s="24">
        <f>IFERROR(100/'Skjema total MA'!I22*K22,0)</f>
        <v>12.301333192591716</v>
      </c>
    </row>
    <row r="23" spans="1:14" ht="15.75" x14ac:dyDescent="0.2">
      <c r="A23" s="583" t="s">
        <v>371</v>
      </c>
      <c r="B23" s="281">
        <v>37483.432305496499</v>
      </c>
      <c r="C23" s="281">
        <v>40946.889370075703</v>
      </c>
      <c r="D23" s="166">
        <f t="shared" si="4"/>
        <v>9.1999999999999993</v>
      </c>
      <c r="E23" s="11">
        <f>IFERROR(100/'Skjema total MA'!C23*C23,0)</f>
        <v>13.013872017611414</v>
      </c>
      <c r="F23" s="290">
        <v>1087.0219999999999</v>
      </c>
      <c r="G23" s="290">
        <v>977.06</v>
      </c>
      <c r="H23" s="166">
        <f t="shared" si="5"/>
        <v>-10.1</v>
      </c>
      <c r="I23" s="417">
        <f>IFERROR(100/'Skjema total MA'!F23*G23,0)</f>
        <v>3.5238961029744913</v>
      </c>
      <c r="J23" s="290">
        <f t="shared" ref="J23:J26" si="8">SUM(B23,F23)</f>
        <v>38570.454305496496</v>
      </c>
      <c r="K23" s="290">
        <f t="shared" ref="K23:K26" si="9">SUM(C23,G23)</f>
        <v>41923.949370075701</v>
      </c>
      <c r="L23" s="166">
        <f t="shared" si="7"/>
        <v>8.6999999999999993</v>
      </c>
      <c r="M23" s="23">
        <f>IFERROR(100/'Skjema total MA'!I23*K23,0)</f>
        <v>12.245323442259</v>
      </c>
    </row>
    <row r="24" spans="1:14" ht="15.75" x14ac:dyDescent="0.2">
      <c r="A24" s="583" t="s">
        <v>372</v>
      </c>
      <c r="B24" s="281">
        <v>286.18099999999998</v>
      </c>
      <c r="C24" s="281">
        <v>182.09</v>
      </c>
      <c r="D24" s="166">
        <f t="shared" si="4"/>
        <v>-36.4</v>
      </c>
      <c r="E24" s="11">
        <f>IFERROR(100/'Skjema total MA'!C24*C24,0)</f>
        <v>2.4385968635329345</v>
      </c>
      <c r="F24" s="290"/>
      <c r="G24" s="290"/>
      <c r="H24" s="166"/>
      <c r="I24" s="417"/>
      <c r="J24" s="290">
        <f t="shared" si="8"/>
        <v>286.18099999999998</v>
      </c>
      <c r="K24" s="290">
        <f t="shared" si="9"/>
        <v>182.09</v>
      </c>
      <c r="L24" s="166">
        <f t="shared" si="7"/>
        <v>-36.4</v>
      </c>
      <c r="M24" s="23">
        <f>IFERROR(100/'Skjema total MA'!I24*K24,0)</f>
        <v>2.2733153640752319</v>
      </c>
    </row>
    <row r="25" spans="1:14" ht="15.75" x14ac:dyDescent="0.2">
      <c r="A25" s="583" t="s">
        <v>373</v>
      </c>
      <c r="B25" s="281"/>
      <c r="C25" s="281"/>
      <c r="D25" s="166"/>
      <c r="E25" s="11"/>
      <c r="F25" s="290">
        <v>273.39100000000002</v>
      </c>
      <c r="G25" s="290">
        <v>288.74799999999999</v>
      </c>
      <c r="H25" s="166">
        <f t="shared" ref="H25:H26" si="10">IF(F25=0, "    ---- ", IF(ABS(ROUND(100/F25*G25-100,1))&lt;999,ROUND(100/F25*G25-100,1),IF(ROUND(100/F25*G25-100,1)&gt;999,999,-999)))</f>
        <v>5.6</v>
      </c>
      <c r="I25" s="417">
        <f>IFERROR(100/'Skjema total MA'!F25*G25,0)</f>
        <v>3.1556733161056458</v>
      </c>
      <c r="J25" s="290">
        <f t="shared" si="8"/>
        <v>273.39100000000002</v>
      </c>
      <c r="K25" s="290">
        <f t="shared" si="9"/>
        <v>288.74799999999999</v>
      </c>
      <c r="L25" s="166">
        <f t="shared" si="7"/>
        <v>5.6</v>
      </c>
      <c r="M25" s="23">
        <f>IFERROR(100/'Skjema total MA'!I25*K25,0)</f>
        <v>1.489380323392919</v>
      </c>
    </row>
    <row r="26" spans="1:14" ht="15.75" x14ac:dyDescent="0.2">
      <c r="A26" s="583" t="s">
        <v>374</v>
      </c>
      <c r="B26" s="281"/>
      <c r="C26" s="281"/>
      <c r="D26" s="166"/>
      <c r="E26" s="11"/>
      <c r="F26" s="290">
        <v>81180.797869999995</v>
      </c>
      <c r="G26" s="290">
        <v>84126.098939999996</v>
      </c>
      <c r="H26" s="166">
        <f t="shared" si="10"/>
        <v>3.6</v>
      </c>
      <c r="I26" s="417">
        <f>IFERROR(100/'Skjema total MA'!F26*G26,0)</f>
        <v>28.362059044198382</v>
      </c>
      <c r="J26" s="290">
        <f t="shared" si="8"/>
        <v>81180.797869999995</v>
      </c>
      <c r="K26" s="290">
        <f t="shared" si="9"/>
        <v>84126.098939999996</v>
      </c>
      <c r="L26" s="166">
        <f t="shared" si="7"/>
        <v>3.6</v>
      </c>
      <c r="M26" s="23">
        <f>IFERROR(100/'Skjema total MA'!I26*K26,0)</f>
        <v>28.362059044198382</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38701.103447212903</v>
      </c>
      <c r="C28" s="287">
        <v>42285.148528833801</v>
      </c>
      <c r="D28" s="166">
        <f t="shared" si="4"/>
        <v>9.3000000000000007</v>
      </c>
      <c r="E28" s="11">
        <f>IFERROR(100/'Skjema total MA'!C28*C28,0)</f>
        <v>5.8058104943441844</v>
      </c>
      <c r="F28" s="234"/>
      <c r="G28" s="287"/>
      <c r="H28" s="166"/>
      <c r="I28" s="27"/>
      <c r="J28" s="44">
        <f t="shared" si="6"/>
        <v>38701.103447212903</v>
      </c>
      <c r="K28" s="44">
        <f t="shared" si="6"/>
        <v>42285.148528833801</v>
      </c>
      <c r="L28" s="254">
        <f t="shared" si="7"/>
        <v>9.3000000000000007</v>
      </c>
      <c r="M28" s="23">
        <f>IFERROR(100/'Skjema total MA'!I28*K28,0)</f>
        <v>5.8058104943441844</v>
      </c>
    </row>
    <row r="29" spans="1:14" s="3" customFormat="1" ht="15.75" x14ac:dyDescent="0.2">
      <c r="A29" s="13" t="s">
        <v>368</v>
      </c>
      <c r="B29" s="236">
        <v>3891202.682</v>
      </c>
      <c r="C29" s="236">
        <v>3808271.3862410798</v>
      </c>
      <c r="D29" s="171">
        <f t="shared" si="4"/>
        <v>-2.1</v>
      </c>
      <c r="E29" s="11">
        <f>IFERROR(100/'Skjema total MA'!C29*C29,0)</f>
        <v>8.1319755637030582</v>
      </c>
      <c r="F29" s="308">
        <v>3426662.46</v>
      </c>
      <c r="G29" s="308">
        <v>3908942.4</v>
      </c>
      <c r="H29" s="171">
        <f t="shared" si="5"/>
        <v>14.1</v>
      </c>
      <c r="I29" s="11">
        <f>IFERROR(100/'Skjema total MA'!F29*G29,0)</f>
        <v>19.459309410710112</v>
      </c>
      <c r="J29" s="236">
        <f t="shared" si="6"/>
        <v>7317865.142</v>
      </c>
      <c r="K29" s="236">
        <f t="shared" si="6"/>
        <v>7717213.7862410797</v>
      </c>
      <c r="L29" s="428">
        <f t="shared" si="7"/>
        <v>5.5</v>
      </c>
      <c r="M29" s="24">
        <f>IFERROR(100/'Skjema total MA'!I29*K29,0)</f>
        <v>11.532239947831346</v>
      </c>
      <c r="N29" s="148"/>
    </row>
    <row r="30" spans="1:14" s="3" customFormat="1" ht="15.75" x14ac:dyDescent="0.2">
      <c r="A30" s="583" t="s">
        <v>371</v>
      </c>
      <c r="B30" s="281">
        <v>778078.18345492997</v>
      </c>
      <c r="C30" s="281">
        <v>683889.68554401095</v>
      </c>
      <c r="D30" s="166">
        <f t="shared" si="4"/>
        <v>-12.1</v>
      </c>
      <c r="E30" s="11">
        <f>IFERROR(100/'Skjema total MA'!C30*C30,0)</f>
        <v>4.7842736233747729</v>
      </c>
      <c r="F30" s="290">
        <v>465866.07</v>
      </c>
      <c r="G30" s="290">
        <v>441315.597929966</v>
      </c>
      <c r="H30" s="166">
        <f t="shared" si="5"/>
        <v>-5.3</v>
      </c>
      <c r="I30" s="417">
        <f>IFERROR(100/'Skjema total MA'!F30*G30,0)</f>
        <v>11.176112776152818</v>
      </c>
      <c r="J30" s="290">
        <f t="shared" ref="J30:J33" si="11">SUM(B30,F30)</f>
        <v>1243944.2534549299</v>
      </c>
      <c r="K30" s="290">
        <f t="shared" ref="K30:K33" si="12">SUM(C30,G30)</f>
        <v>1125205.2834739769</v>
      </c>
      <c r="L30" s="166">
        <f t="shared" si="7"/>
        <v>-9.5</v>
      </c>
      <c r="M30" s="23">
        <f>IFERROR(100/'Skjema total MA'!I30*K30,0)</f>
        <v>6.1677811749060645</v>
      </c>
      <c r="N30" s="148"/>
    </row>
    <row r="31" spans="1:14" s="3" customFormat="1" ht="15.75" x14ac:dyDescent="0.2">
      <c r="A31" s="583" t="s">
        <v>372</v>
      </c>
      <c r="B31" s="281">
        <v>2810278.4985450702</v>
      </c>
      <c r="C31" s="281">
        <v>2692002.7954797298</v>
      </c>
      <c r="D31" s="166">
        <f t="shared" si="4"/>
        <v>-4.2</v>
      </c>
      <c r="E31" s="11">
        <f>IFERROR(100/'Skjema total MA'!C31*C31,0)</f>
        <v>10.993371322099911</v>
      </c>
      <c r="F31" s="290">
        <v>488914.38</v>
      </c>
      <c r="G31" s="290">
        <v>766686.63866003102</v>
      </c>
      <c r="H31" s="166">
        <f t="shared" si="5"/>
        <v>56.8</v>
      </c>
      <c r="I31" s="417">
        <f>IFERROR(100/'Skjema total MA'!F31*G31,0)</f>
        <v>8.8764215550058463</v>
      </c>
      <c r="J31" s="290">
        <f t="shared" si="11"/>
        <v>3299192.8785450701</v>
      </c>
      <c r="K31" s="290">
        <f t="shared" si="12"/>
        <v>3458689.4341397607</v>
      </c>
      <c r="L31" s="166">
        <f t="shared" si="7"/>
        <v>4.8</v>
      </c>
      <c r="M31" s="23">
        <f>IFERROR(100/'Skjema total MA'!I31*K31,0)</f>
        <v>10.44137443197913</v>
      </c>
      <c r="N31" s="148"/>
    </row>
    <row r="32" spans="1:14" ht="15.75" x14ac:dyDescent="0.2">
      <c r="A32" s="583" t="s">
        <v>373</v>
      </c>
      <c r="B32" s="281">
        <v>302846</v>
      </c>
      <c r="C32" s="281">
        <v>432378.90521734301</v>
      </c>
      <c r="D32" s="166">
        <f t="shared" si="4"/>
        <v>42.8</v>
      </c>
      <c r="E32" s="11">
        <f>IFERROR(100/'Skjema total MA'!C32*C32,0)</f>
        <v>14.518782289533899</v>
      </c>
      <c r="F32" s="290">
        <v>1898753.18</v>
      </c>
      <c r="G32" s="290">
        <v>1856605.1223243701</v>
      </c>
      <c r="H32" s="166">
        <f t="shared" si="5"/>
        <v>-2.2000000000000002</v>
      </c>
      <c r="I32" s="417">
        <f>IFERROR(100/'Skjema total MA'!F32*G32,0)</f>
        <v>43.520577852959661</v>
      </c>
      <c r="J32" s="290">
        <f t="shared" si="11"/>
        <v>2201599.1799999997</v>
      </c>
      <c r="K32" s="290">
        <f t="shared" si="12"/>
        <v>2288984.0275417129</v>
      </c>
      <c r="L32" s="166">
        <f t="shared" si="7"/>
        <v>4</v>
      </c>
      <c r="M32" s="23">
        <f>IFERROR(100/'Skjema total MA'!I32*K32,0)</f>
        <v>31.597883259051372</v>
      </c>
    </row>
    <row r="33" spans="1:14" ht="15.75" x14ac:dyDescent="0.2">
      <c r="A33" s="583" t="s">
        <v>374</v>
      </c>
      <c r="B33" s="281"/>
      <c r="C33" s="281"/>
      <c r="D33" s="166"/>
      <c r="E33" s="11"/>
      <c r="F33" s="290">
        <v>573128.82999999996</v>
      </c>
      <c r="G33" s="290">
        <v>844335.04108563205</v>
      </c>
      <c r="H33" s="166">
        <f t="shared" si="5"/>
        <v>47.3</v>
      </c>
      <c r="I33" s="417">
        <f>IFERROR(100/'Skjema total MA'!F34*G33,0)</f>
        <v>7519.5377709550112</v>
      </c>
      <c r="J33" s="290">
        <f t="shared" si="11"/>
        <v>573128.82999999996</v>
      </c>
      <c r="K33" s="290">
        <f t="shared" si="12"/>
        <v>844335.04108563205</v>
      </c>
      <c r="L33" s="166">
        <f t="shared" si="7"/>
        <v>47.3</v>
      </c>
      <c r="M33" s="23">
        <f>IFERROR(100/'Skjema total MA'!I34*K33,0)</f>
        <v>4778.4851346845144</v>
      </c>
    </row>
    <row r="34" spans="1:14" ht="15.75" x14ac:dyDescent="0.2">
      <c r="A34" s="13" t="s">
        <v>369</v>
      </c>
      <c r="B34" s="236"/>
      <c r="C34" s="309"/>
      <c r="D34" s="171"/>
      <c r="E34" s="11"/>
      <c r="F34" s="308">
        <v>1123.69415</v>
      </c>
      <c r="G34" s="309">
        <v>1883.8627799999999</v>
      </c>
      <c r="H34" s="171">
        <f t="shared" si="5"/>
        <v>67.599999999999994</v>
      </c>
      <c r="I34" s="11">
        <f>IFERROR(100/'Skjema total MA'!F34*G34,0)</f>
        <v>16.777436254797845</v>
      </c>
      <c r="J34" s="236">
        <f t="shared" si="6"/>
        <v>1123.69415</v>
      </c>
      <c r="K34" s="236">
        <f t="shared" si="6"/>
        <v>1883.8627799999999</v>
      </c>
      <c r="L34" s="428">
        <f t="shared" si="7"/>
        <v>67.599999999999994</v>
      </c>
      <c r="M34" s="24">
        <f>IFERROR(100/'Skjema total MA'!I34*K34,0)</f>
        <v>10.661656631520122</v>
      </c>
    </row>
    <row r="35" spans="1:14" ht="15.75" x14ac:dyDescent="0.2">
      <c r="A35" s="13" t="s">
        <v>370</v>
      </c>
      <c r="B35" s="236"/>
      <c r="C35" s="309"/>
      <c r="D35" s="171"/>
      <c r="E35" s="11"/>
      <c r="F35" s="308">
        <v>6241.9989400000004</v>
      </c>
      <c r="G35" s="309">
        <v>6502.2124599999997</v>
      </c>
      <c r="H35" s="171">
        <f t="shared" si="5"/>
        <v>4.2</v>
      </c>
      <c r="I35" s="11">
        <f>IFERROR(100/'Skjema total MA'!F35*G35,0)</f>
        <v>14.28260618664625</v>
      </c>
      <c r="J35" s="236">
        <f t="shared" si="6"/>
        <v>6241.9989400000004</v>
      </c>
      <c r="K35" s="236">
        <f t="shared" si="6"/>
        <v>6502.2124599999997</v>
      </c>
      <c r="L35" s="428">
        <f t="shared" si="7"/>
        <v>4.2</v>
      </c>
      <c r="M35" s="24">
        <f>IFERROR(100/'Skjema total MA'!I35*K35,0)</f>
        <v>25.942591154684344</v>
      </c>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487893</v>
      </c>
      <c r="C66" s="353">
        <v>466662</v>
      </c>
      <c r="D66" s="350">
        <f t="shared" ref="D66:D109" si="13">IF(B66=0, "    ---- ", IF(ABS(ROUND(100/B66*C66-100,1))&lt;999,ROUND(100/B66*C66-100,1),IF(ROUND(100/B66*C66-100,1)&gt;999,999,-999)))</f>
        <v>-4.4000000000000004</v>
      </c>
      <c r="E66" s="11">
        <f>IFERROR(100/'Skjema total MA'!C66*C66,0)</f>
        <v>13.385310705293424</v>
      </c>
      <c r="F66" s="352">
        <v>1004495.6629999999</v>
      </c>
      <c r="G66" s="352">
        <v>1211098.9339999999</v>
      </c>
      <c r="H66" s="350">
        <f t="shared" ref="H66:H111" si="14">IF(F66=0, "    ---- ", IF(ABS(ROUND(100/F66*G66-100,1))&lt;999,ROUND(100/F66*G66-100,1),IF(ROUND(100/F66*G66-100,1)&gt;999,999,-999)))</f>
        <v>20.6</v>
      </c>
      <c r="I66" s="11">
        <f>IFERROR(100/'Skjema total MA'!F66*G66,0)</f>
        <v>13.773416137477074</v>
      </c>
      <c r="J66" s="309">
        <f t="shared" ref="J66:K86" si="15">SUM(B66,F66)</f>
        <v>1492388.6629999999</v>
      </c>
      <c r="K66" s="316">
        <f t="shared" si="15"/>
        <v>1677760.9339999999</v>
      </c>
      <c r="L66" s="428">
        <f t="shared" ref="L66:L111" si="16">IF(J66=0, "    ---- ", IF(ABS(ROUND(100/J66*K66-100,1))&lt;999,ROUND(100/J66*K66-100,1),IF(ROUND(100/J66*K66-100,1)&gt;999,999,-999)))</f>
        <v>12.4</v>
      </c>
      <c r="M66" s="11">
        <f>IFERROR(100/'Skjema total MA'!I66*K66,0)</f>
        <v>13.663224954960448</v>
      </c>
    </row>
    <row r="67" spans="1:14" x14ac:dyDescent="0.2">
      <c r="A67" s="419" t="s">
        <v>9</v>
      </c>
      <c r="B67" s="44">
        <v>430117.71</v>
      </c>
      <c r="C67" s="145">
        <v>411448</v>
      </c>
      <c r="D67" s="166">
        <f t="shared" si="13"/>
        <v>-4.3</v>
      </c>
      <c r="E67" s="27">
        <f>IFERROR(100/'Skjema total MA'!C67*C67,0)</f>
        <v>14.925159622537176</v>
      </c>
      <c r="F67" s="234"/>
      <c r="G67" s="145"/>
      <c r="H67" s="166"/>
      <c r="I67" s="27"/>
      <c r="J67" s="287">
        <f t="shared" si="15"/>
        <v>430117.71</v>
      </c>
      <c r="K67" s="44">
        <f t="shared" si="15"/>
        <v>411448</v>
      </c>
      <c r="L67" s="254">
        <f t="shared" si="16"/>
        <v>-4.3</v>
      </c>
      <c r="M67" s="27">
        <f>IFERROR(100/'Skjema total MA'!I67*K67,0)</f>
        <v>14.925159622537176</v>
      </c>
    </row>
    <row r="68" spans="1:14" x14ac:dyDescent="0.2">
      <c r="A68" s="21" t="s">
        <v>10</v>
      </c>
      <c r="B68" s="292">
        <v>5913</v>
      </c>
      <c r="C68" s="293">
        <v>5041</v>
      </c>
      <c r="D68" s="166">
        <f t="shared" si="13"/>
        <v>-14.7</v>
      </c>
      <c r="E68" s="27">
        <f>IFERROR(100/'Skjema total MA'!C68*C68,0)</f>
        <v>5.3612478282985983</v>
      </c>
      <c r="F68" s="292">
        <v>1004495.6629999999</v>
      </c>
      <c r="G68" s="293">
        <v>1211098.9339999999</v>
      </c>
      <c r="H68" s="166">
        <f t="shared" si="14"/>
        <v>20.6</v>
      </c>
      <c r="I68" s="27">
        <f>IFERROR(100/'Skjema total MA'!F68*G68,0)</f>
        <v>14.322139172804507</v>
      </c>
      <c r="J68" s="287">
        <f t="shared" si="15"/>
        <v>1010408.6629999999</v>
      </c>
      <c r="K68" s="44">
        <f t="shared" si="15"/>
        <v>1216139.9339999999</v>
      </c>
      <c r="L68" s="254">
        <f t="shared" si="16"/>
        <v>20.399999999999999</v>
      </c>
      <c r="M68" s="27">
        <f>IFERROR(100/'Skjema total MA'!I68*K68,0)</f>
        <v>14.223595697352998</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v>51862.29</v>
      </c>
      <c r="C76" s="145">
        <v>50173</v>
      </c>
      <c r="D76" s="166">
        <f t="shared" ref="D76" si="17">IF(B76=0, "    ---- ", IF(ABS(ROUND(100/B76*C76-100,1))&lt;999,ROUND(100/B76*C76-100,1),IF(ROUND(100/B76*C76-100,1)&gt;999,999,-999)))</f>
        <v>-3.3</v>
      </c>
      <c r="E76" s="27">
        <f>IFERROR(100/'Skjema total MA'!C77*C76,0)</f>
        <v>1.8306551053960365</v>
      </c>
      <c r="F76" s="234"/>
      <c r="G76" s="145"/>
      <c r="H76" s="166"/>
      <c r="I76" s="27"/>
      <c r="J76" s="287">
        <f t="shared" ref="J76" si="18">SUM(B76,F76)</f>
        <v>51862.29</v>
      </c>
      <c r="K76" s="44">
        <f t="shared" ref="K76" si="19">SUM(C76,G76)</f>
        <v>50173</v>
      </c>
      <c r="L76" s="254">
        <f t="shared" ref="L76" si="20">IF(J76=0, "    ---- ", IF(ABS(ROUND(100/J76*K76-100,1))&lt;999,ROUND(100/J76*K76-100,1),IF(ROUND(100/J76*K76-100,1)&gt;999,999,-999)))</f>
        <v>-3.3</v>
      </c>
      <c r="M76" s="27">
        <f>IFERROR(100/'Skjema total MA'!I77*K76,0)</f>
        <v>0.44830109245692612</v>
      </c>
      <c r="N76" s="148"/>
    </row>
    <row r="77" spans="1:14" ht="15.75" x14ac:dyDescent="0.2">
      <c r="A77" s="21" t="s">
        <v>385</v>
      </c>
      <c r="B77" s="234">
        <v>429748.07900000003</v>
      </c>
      <c r="C77" s="234">
        <v>410105</v>
      </c>
      <c r="D77" s="166">
        <f t="shared" si="13"/>
        <v>-4.5999999999999996</v>
      </c>
      <c r="E77" s="27">
        <f>IFERROR(100/'Skjema total MA'!C77*C77,0)</f>
        <v>14.963442728129502</v>
      </c>
      <c r="F77" s="234">
        <v>1003202.789</v>
      </c>
      <c r="G77" s="145">
        <v>1210181.645</v>
      </c>
      <c r="H77" s="166">
        <f t="shared" si="14"/>
        <v>20.6</v>
      </c>
      <c r="I77" s="27">
        <f>IFERROR(100/'Skjema total MA'!F77*G77,0)</f>
        <v>14.319819465514435</v>
      </c>
      <c r="J77" s="287">
        <f t="shared" si="15"/>
        <v>1432950.868</v>
      </c>
      <c r="K77" s="44">
        <f t="shared" si="15"/>
        <v>1620286.645</v>
      </c>
      <c r="L77" s="254">
        <f t="shared" si="16"/>
        <v>13.1</v>
      </c>
      <c r="M77" s="27">
        <f>IFERROR(100/'Skjema total MA'!I77*K77,0)</f>
        <v>14.477433540885889</v>
      </c>
    </row>
    <row r="78" spans="1:14" x14ac:dyDescent="0.2">
      <c r="A78" s="21" t="s">
        <v>9</v>
      </c>
      <c r="B78" s="234">
        <v>425128.038</v>
      </c>
      <c r="C78" s="145">
        <v>405981</v>
      </c>
      <c r="D78" s="166">
        <f t="shared" si="13"/>
        <v>-4.5</v>
      </c>
      <c r="E78" s="27">
        <f>IFERROR(100/'Skjema total MA'!C78*C78,0)</f>
        <v>15.333906253127047</v>
      </c>
      <c r="F78" s="234"/>
      <c r="G78" s="145"/>
      <c r="H78" s="166"/>
      <c r="I78" s="27"/>
      <c r="J78" s="287">
        <f t="shared" si="15"/>
        <v>425128.038</v>
      </c>
      <c r="K78" s="44">
        <f t="shared" si="15"/>
        <v>405981</v>
      </c>
      <c r="L78" s="254">
        <f t="shared" si="16"/>
        <v>-4.5</v>
      </c>
      <c r="M78" s="27">
        <f>IFERROR(100/'Skjema total MA'!I78*K78,0)</f>
        <v>15.333906253127047</v>
      </c>
    </row>
    <row r="79" spans="1:14" x14ac:dyDescent="0.2">
      <c r="A79" s="21" t="s">
        <v>10</v>
      </c>
      <c r="B79" s="292">
        <v>4620.0410000000002</v>
      </c>
      <c r="C79" s="293">
        <v>4124</v>
      </c>
      <c r="D79" s="166">
        <f t="shared" si="13"/>
        <v>-10.7</v>
      </c>
      <c r="E79" s="27">
        <f>IFERROR(100/'Skjema total MA'!C79*C79,0)</f>
        <v>4.4291879844729305</v>
      </c>
      <c r="F79" s="292">
        <v>1003202.789</v>
      </c>
      <c r="G79" s="293">
        <v>1210181.645</v>
      </c>
      <c r="H79" s="166">
        <f t="shared" si="14"/>
        <v>20.6</v>
      </c>
      <c r="I79" s="27">
        <f>IFERROR(100/'Skjema total MA'!F79*G79,0)</f>
        <v>14.319819465514435</v>
      </c>
      <c r="J79" s="287">
        <f t="shared" si="15"/>
        <v>1007822.83</v>
      </c>
      <c r="K79" s="44">
        <f t="shared" si="15"/>
        <v>1214305.645</v>
      </c>
      <c r="L79" s="254">
        <f t="shared" si="16"/>
        <v>20.5</v>
      </c>
      <c r="M79" s="27">
        <f>IFERROR(100/'Skjema total MA'!I79*K79,0)</f>
        <v>14.212037303985563</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v>6282.6310000000003</v>
      </c>
      <c r="C86" s="145">
        <v>6384</v>
      </c>
      <c r="D86" s="166">
        <f t="shared" si="13"/>
        <v>1.6</v>
      </c>
      <c r="E86" s="27">
        <f>IFERROR(100/'Skjema total MA'!C86*C86,0)</f>
        <v>5.800747169673345</v>
      </c>
      <c r="F86" s="234">
        <v>1292.874</v>
      </c>
      <c r="G86" s="145">
        <v>917.28899999999999</v>
      </c>
      <c r="H86" s="166">
        <f t="shared" si="14"/>
        <v>-29.1</v>
      </c>
      <c r="I86" s="27">
        <f>IFERROR(100/'Skjema total MA'!F86*G86,0)</f>
        <v>18.215003632778121</v>
      </c>
      <c r="J86" s="287">
        <f t="shared" si="15"/>
        <v>7575.5050000000001</v>
      </c>
      <c r="K86" s="44">
        <f t="shared" si="15"/>
        <v>7301.2889999999998</v>
      </c>
      <c r="L86" s="254">
        <f t="shared" si="16"/>
        <v>-3.6</v>
      </c>
      <c r="M86" s="27">
        <f>IFERROR(100/'Skjema total MA'!I86*K86,0)</f>
        <v>6.3439442886532005</v>
      </c>
    </row>
    <row r="87" spans="1:13" ht="15.75" x14ac:dyDescent="0.2">
      <c r="A87" s="13" t="s">
        <v>368</v>
      </c>
      <c r="B87" s="353">
        <v>46145738.776917495</v>
      </c>
      <c r="C87" s="353">
        <v>46595937.131549709</v>
      </c>
      <c r="D87" s="171">
        <f t="shared" si="13"/>
        <v>1</v>
      </c>
      <c r="E87" s="11">
        <f>IFERROR(100/'Skjema total MA'!C87*C87,0)</f>
        <v>11.866911675535656</v>
      </c>
      <c r="F87" s="352">
        <v>35544458.213130496</v>
      </c>
      <c r="G87" s="352">
        <v>37832742.515890002</v>
      </c>
      <c r="H87" s="171">
        <f t="shared" si="14"/>
        <v>6.4</v>
      </c>
      <c r="I87" s="11">
        <f>IFERROR(100/'Skjema total MA'!F87*G87,0)</f>
        <v>13.499205477028175</v>
      </c>
      <c r="J87" s="309">
        <f t="shared" ref="J87:K111" si="21">SUM(B87,F87)</f>
        <v>81690196.990047991</v>
      </c>
      <c r="K87" s="236">
        <f t="shared" si="21"/>
        <v>84428679.647439718</v>
      </c>
      <c r="L87" s="428">
        <f t="shared" si="16"/>
        <v>3.4</v>
      </c>
      <c r="M87" s="11">
        <f>IFERROR(100/'Skjema total MA'!I87*K87,0)</f>
        <v>12.546739327855354</v>
      </c>
    </row>
    <row r="88" spans="1:13" x14ac:dyDescent="0.2">
      <c r="A88" s="21" t="s">
        <v>9</v>
      </c>
      <c r="B88" s="234">
        <v>44930205.156917498</v>
      </c>
      <c r="C88" s="145">
        <v>45260987.935837097</v>
      </c>
      <c r="D88" s="166">
        <f t="shared" si="13"/>
        <v>0.7</v>
      </c>
      <c r="E88" s="27">
        <f>IFERROR(100/'Skjema total MA'!C88*C88,0)</f>
        <v>11.855092047921797</v>
      </c>
      <c r="F88" s="234"/>
      <c r="G88" s="145"/>
      <c r="H88" s="166"/>
      <c r="I88" s="27"/>
      <c r="J88" s="287">
        <f t="shared" si="21"/>
        <v>44930205.156917498</v>
      </c>
      <c r="K88" s="44">
        <f t="shared" si="21"/>
        <v>45260987.935837097</v>
      </c>
      <c r="L88" s="254">
        <f t="shared" si="16"/>
        <v>0.7</v>
      </c>
      <c r="M88" s="27">
        <f>IFERROR(100/'Skjema total MA'!I88*K88,0)</f>
        <v>11.855092047921797</v>
      </c>
    </row>
    <row r="89" spans="1:13" x14ac:dyDescent="0.2">
      <c r="A89" s="21" t="s">
        <v>10</v>
      </c>
      <c r="B89" s="234">
        <v>1073438.82</v>
      </c>
      <c r="C89" s="145">
        <v>1132163.0957126101</v>
      </c>
      <c r="D89" s="166">
        <f t="shared" si="13"/>
        <v>5.5</v>
      </c>
      <c r="E89" s="27">
        <f>IFERROR(100/'Skjema total MA'!C89*C89,0)</f>
        <v>36.517087596213834</v>
      </c>
      <c r="F89" s="234">
        <v>35544458.213130496</v>
      </c>
      <c r="G89" s="145">
        <v>37832742.515890002</v>
      </c>
      <c r="H89" s="166">
        <f t="shared" si="14"/>
        <v>6.4</v>
      </c>
      <c r="I89" s="27">
        <f>IFERROR(100/'Skjema total MA'!F89*G89,0)</f>
        <v>13.57975198085305</v>
      </c>
      <c r="J89" s="287">
        <f t="shared" si="21"/>
        <v>36617897.033130497</v>
      </c>
      <c r="K89" s="44">
        <f t="shared" si="21"/>
        <v>38964905.611602612</v>
      </c>
      <c r="L89" s="254">
        <f t="shared" si="16"/>
        <v>6.4</v>
      </c>
      <c r="M89" s="27">
        <f>IFERROR(100/'Skjema total MA'!I89*K89,0)</f>
        <v>13.832200884696972</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v>142094.79999999999</v>
      </c>
      <c r="C97" s="145">
        <v>202786.1</v>
      </c>
      <c r="D97" s="166">
        <f t="shared" ref="D97" si="22">IF(B97=0, "    ---- ", IF(ABS(ROUND(100/B97*C97-100,1))&lt;999,ROUND(100/B97*C97-100,1),IF(ROUND(100/B97*C97-100,1)&gt;999,999,-999)))</f>
        <v>42.7</v>
      </c>
      <c r="E97" s="27">
        <f>IFERROR(100/'Skjema total MA'!C98*C97,0)</f>
        <v>5.3323452175676932E-2</v>
      </c>
      <c r="F97" s="234"/>
      <c r="G97" s="145"/>
      <c r="H97" s="166"/>
      <c r="I97" s="27"/>
      <c r="J97" s="287">
        <f t="shared" ref="J97" si="23">SUM(B97,F97)</f>
        <v>142094.79999999999</v>
      </c>
      <c r="K97" s="44">
        <f t="shared" ref="K97" si="24">SUM(C97,G97)</f>
        <v>202786.1</v>
      </c>
      <c r="L97" s="254">
        <f t="shared" ref="L97" si="25">IF(J97=0, "    ---- ", IF(ABS(ROUND(100/J97*K97-100,1))&lt;999,ROUND(100/J97*K97-100,1),IF(ROUND(100/J97*K97-100,1)&gt;999,999,-999)))</f>
        <v>42.7</v>
      </c>
      <c r="M97" s="27">
        <f>IFERROR(100/'Skjema total MA'!I98*K97,0)</f>
        <v>3.0813455041494461E-2</v>
      </c>
    </row>
    <row r="98" spans="1:13" ht="15.75" x14ac:dyDescent="0.2">
      <c r="A98" s="21" t="s">
        <v>385</v>
      </c>
      <c r="B98" s="234">
        <v>45984781.832682259</v>
      </c>
      <c r="C98" s="234">
        <v>46379204.398549713</v>
      </c>
      <c r="D98" s="166">
        <f t="shared" si="13"/>
        <v>0.9</v>
      </c>
      <c r="E98" s="27">
        <f>IFERROR(100/'Skjema total MA'!C98*C98,0)</f>
        <v>12.195605555272333</v>
      </c>
      <c r="F98" s="292">
        <v>35522539.012130603</v>
      </c>
      <c r="G98" s="292">
        <v>37821589.901890002</v>
      </c>
      <c r="H98" s="166">
        <f t="shared" si="14"/>
        <v>6.5</v>
      </c>
      <c r="I98" s="27">
        <f>IFERROR(100/'Skjema total MA'!F98*G98,0)</f>
        <v>13.613970780493437</v>
      </c>
      <c r="J98" s="287">
        <f t="shared" si="21"/>
        <v>81507320.84481287</v>
      </c>
      <c r="K98" s="44">
        <f t="shared" si="21"/>
        <v>84200794.300439715</v>
      </c>
      <c r="L98" s="254">
        <f t="shared" si="16"/>
        <v>3.3</v>
      </c>
      <c r="M98" s="27">
        <f>IFERROR(100/'Skjema total MA'!I98*K98,0)</f>
        <v>12.794355183292751</v>
      </c>
    </row>
    <row r="99" spans="1:13" x14ac:dyDescent="0.2">
      <c r="A99" s="21" t="s">
        <v>9</v>
      </c>
      <c r="B99" s="292">
        <v>44911343.011917502</v>
      </c>
      <c r="C99" s="293">
        <v>45247041.302837104</v>
      </c>
      <c r="D99" s="166">
        <f t="shared" si="13"/>
        <v>0.7</v>
      </c>
      <c r="E99" s="27">
        <f>IFERROR(100/'Skjema total MA'!C99*C99,0)</f>
        <v>11.995693913390795</v>
      </c>
      <c r="F99" s="234"/>
      <c r="G99" s="145"/>
      <c r="H99" s="166"/>
      <c r="I99" s="27"/>
      <c r="J99" s="287">
        <f t="shared" si="21"/>
        <v>44911343.011917502</v>
      </c>
      <c r="K99" s="44">
        <f t="shared" si="21"/>
        <v>45247041.302837104</v>
      </c>
      <c r="L99" s="254">
        <f t="shared" si="16"/>
        <v>0.7</v>
      </c>
      <c r="M99" s="27">
        <f>IFERROR(100/'Skjema total MA'!I99*K99,0)</f>
        <v>11.995693913390795</v>
      </c>
    </row>
    <row r="100" spans="1:13" x14ac:dyDescent="0.2">
      <c r="A100" s="21" t="s">
        <v>10</v>
      </c>
      <c r="B100" s="292">
        <v>1073438.82076476</v>
      </c>
      <c r="C100" s="293">
        <v>1132163.0957126101</v>
      </c>
      <c r="D100" s="166">
        <f t="shared" si="13"/>
        <v>5.5</v>
      </c>
      <c r="E100" s="27">
        <f>IFERROR(100/'Skjema total MA'!C100*C100,0)</f>
        <v>36.517087596213834</v>
      </c>
      <c r="F100" s="234">
        <v>35522539.012130603</v>
      </c>
      <c r="G100" s="234">
        <v>37821589.901890002</v>
      </c>
      <c r="H100" s="166">
        <f t="shared" si="14"/>
        <v>6.5</v>
      </c>
      <c r="I100" s="27">
        <f>IFERROR(100/'Skjema total MA'!F100*G100,0)</f>
        <v>13.613970780493437</v>
      </c>
      <c r="J100" s="287">
        <f t="shared" si="21"/>
        <v>36595977.832895361</v>
      </c>
      <c r="K100" s="44">
        <f t="shared" si="21"/>
        <v>38953752.997602612</v>
      </c>
      <c r="L100" s="254">
        <f t="shared" si="16"/>
        <v>6.4</v>
      </c>
      <c r="M100" s="27">
        <f>IFERROR(100/'Skjema total MA'!I100*K100,0)</f>
        <v>13.866744937366866</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v>18862.145</v>
      </c>
      <c r="C107" s="145">
        <v>13946.633</v>
      </c>
      <c r="D107" s="166">
        <f t="shared" si="13"/>
        <v>-26.1</v>
      </c>
      <c r="E107" s="27">
        <f>IFERROR(100/'Skjema total MA'!C107*C107,0)</f>
        <v>0.30377019790854481</v>
      </c>
      <c r="F107" s="234">
        <v>21919.201000000001</v>
      </c>
      <c r="G107" s="145">
        <v>11152.614</v>
      </c>
      <c r="H107" s="166">
        <f t="shared" si="14"/>
        <v>-49.1</v>
      </c>
      <c r="I107" s="27">
        <f>IFERROR(100/'Skjema total MA'!F107*G107,0)</f>
        <v>1.4258465407761391</v>
      </c>
      <c r="J107" s="287">
        <f t="shared" si="21"/>
        <v>40781.346000000005</v>
      </c>
      <c r="K107" s="44">
        <f t="shared" si="21"/>
        <v>25099.246999999999</v>
      </c>
      <c r="L107" s="254">
        <f t="shared" si="16"/>
        <v>-38.5</v>
      </c>
      <c r="M107" s="27">
        <f>IFERROR(100/'Skjema total MA'!I107*K107,0)</f>
        <v>0.4671058003767552</v>
      </c>
    </row>
    <row r="108" spans="1:13" ht="15.75" x14ac:dyDescent="0.2">
      <c r="A108" s="21" t="s">
        <v>387</v>
      </c>
      <c r="B108" s="234">
        <v>34641991.989391103</v>
      </c>
      <c r="C108" s="234">
        <v>35827953.533352099</v>
      </c>
      <c r="D108" s="166">
        <f t="shared" si="13"/>
        <v>3.4</v>
      </c>
      <c r="E108" s="27">
        <f>IFERROR(100/'Skjema total MA'!C108*C108,0)</f>
        <v>11.114063525933641</v>
      </c>
      <c r="F108" s="234"/>
      <c r="G108" s="234"/>
      <c r="H108" s="166"/>
      <c r="I108" s="27"/>
      <c r="J108" s="287">
        <f t="shared" si="21"/>
        <v>34641991.989391103</v>
      </c>
      <c r="K108" s="44">
        <f t="shared" si="21"/>
        <v>35827953.533352099</v>
      </c>
      <c r="L108" s="254">
        <f t="shared" si="16"/>
        <v>3.4</v>
      </c>
      <c r="M108" s="27">
        <f>IFERROR(100/'Skjema total MA'!I108*K108,0)</f>
        <v>10.615705046992964</v>
      </c>
    </row>
    <row r="109" spans="1:13" ht="15.75" x14ac:dyDescent="0.2">
      <c r="A109" s="21" t="s">
        <v>388</v>
      </c>
      <c r="B109" s="234">
        <v>614684.815567518</v>
      </c>
      <c r="C109" s="234">
        <v>637916.42977493198</v>
      </c>
      <c r="D109" s="166">
        <f t="shared" si="13"/>
        <v>3.8</v>
      </c>
      <c r="E109" s="27">
        <f>IFERROR(100/'Skjema total MA'!C109*C109,0)</f>
        <v>58.707415647017811</v>
      </c>
      <c r="F109" s="234">
        <v>15042886.0329473</v>
      </c>
      <c r="G109" s="234">
        <v>15183014.715636</v>
      </c>
      <c r="H109" s="166">
        <f t="shared" si="14"/>
        <v>0.9</v>
      </c>
      <c r="I109" s="27">
        <f>IFERROR(100/'Skjema total MA'!F109*G109,0)</f>
        <v>15.613133436819156</v>
      </c>
      <c r="J109" s="287">
        <f t="shared" si="21"/>
        <v>15657570.848514818</v>
      </c>
      <c r="K109" s="44">
        <f t="shared" si="21"/>
        <v>15820931.145410933</v>
      </c>
      <c r="L109" s="254">
        <f t="shared" si="16"/>
        <v>1</v>
      </c>
      <c r="M109" s="27">
        <f>IFERROR(100/'Skjema total MA'!I109*K109,0)</f>
        <v>16.089341455977859</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v>641834.30042999994</v>
      </c>
      <c r="G111" s="159">
        <v>2276039.6209999998</v>
      </c>
      <c r="H111" s="171">
        <f t="shared" si="14"/>
        <v>254.6</v>
      </c>
      <c r="I111" s="11">
        <f>IFERROR(100/'Skjema total MA'!F111*G111,0)</f>
        <v>25.518187664406877</v>
      </c>
      <c r="J111" s="309">
        <f t="shared" si="21"/>
        <v>641834.30042999994</v>
      </c>
      <c r="K111" s="236">
        <f t="shared" si="21"/>
        <v>2276039.6209999998</v>
      </c>
      <c r="L111" s="428">
        <f t="shared" si="16"/>
        <v>254.6</v>
      </c>
      <c r="M111" s="11">
        <f>IFERROR(100/'Skjema total MA'!I111*K111,0)</f>
        <v>24.436458458989559</v>
      </c>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v>641834.30042999994</v>
      </c>
      <c r="G113" s="145">
        <v>2276039.6209999998</v>
      </c>
      <c r="H113" s="166">
        <f t="shared" ref="H113:H125" si="26">IF(F113=0, "    ---- ", IF(ABS(ROUND(100/F113*G113-100,1))&lt;999,ROUND(100/F113*G113-100,1),IF(ROUND(100/F113*G113-100,1)&gt;999,999,-999)))</f>
        <v>254.6</v>
      </c>
      <c r="I113" s="27">
        <f>IFERROR(100/'Skjema total MA'!F113*G113,0)</f>
        <v>25.724956871231086</v>
      </c>
      <c r="J113" s="287">
        <f t="shared" ref="J113:K125" si="27">SUM(B113,F113)</f>
        <v>641834.30042999994</v>
      </c>
      <c r="K113" s="44">
        <f t="shared" si="27"/>
        <v>2276039.6209999998</v>
      </c>
      <c r="L113" s="254">
        <f t="shared" ref="L113:L125" si="28">IF(J113=0, "    ---- ", IF(ABS(ROUND(100/J113*K113-100,1))&lt;999,ROUND(100/J113*K113-100,1),IF(ROUND(100/J113*K113-100,1)&gt;999,999,-999)))</f>
        <v>254.6</v>
      </c>
      <c r="M113" s="27">
        <f>IFERROR(100/'Skjema total MA'!I113*K113,0)</f>
        <v>25.712813032678099</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v>69009.782000000007</v>
      </c>
      <c r="G117" s="234">
        <v>149539.514</v>
      </c>
      <c r="H117" s="166">
        <f t="shared" si="26"/>
        <v>116.7</v>
      </c>
      <c r="I117" s="27">
        <f>IFERROR(100/'Skjema total MA'!F117*G117,0)</f>
        <v>18.215589369929464</v>
      </c>
      <c r="J117" s="287">
        <f t="shared" si="27"/>
        <v>69009.782000000007</v>
      </c>
      <c r="K117" s="44">
        <f t="shared" si="27"/>
        <v>149539.514</v>
      </c>
      <c r="L117" s="254">
        <f t="shared" si="28"/>
        <v>116.7</v>
      </c>
      <c r="M117" s="27">
        <f>IFERROR(100/'Skjema total MA'!I117*K117,0)</f>
        <v>18.215589369929464</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22302.415059999901</v>
      </c>
      <c r="C119" s="159">
        <v>3278</v>
      </c>
      <c r="D119" s="171">
        <f t="shared" ref="D119:D120" si="29">IF(B119=0, "    ---- ", IF(ABS(ROUND(100/B119*C119-100,1))&lt;999,ROUND(100/B119*C119-100,1),IF(ROUND(100/B119*C119-100,1)&gt;999,999,-999)))</f>
        <v>-85.3</v>
      </c>
      <c r="E119" s="11">
        <f>IFERROR(100/'Skjema total MA'!C119*C119,0)</f>
        <v>0.66854191868583157</v>
      </c>
      <c r="F119" s="308">
        <v>682369.73400000005</v>
      </c>
      <c r="G119" s="159">
        <v>905629.21799999999</v>
      </c>
      <c r="H119" s="171">
        <f t="shared" si="26"/>
        <v>32.700000000000003</v>
      </c>
      <c r="I119" s="11">
        <f>IFERROR(100/'Skjema total MA'!F119*G119,0)</f>
        <v>10.488010855763513</v>
      </c>
      <c r="J119" s="309">
        <f t="shared" si="27"/>
        <v>704672.14905999997</v>
      </c>
      <c r="K119" s="236">
        <f t="shared" si="27"/>
        <v>908907.21799999999</v>
      </c>
      <c r="L119" s="428">
        <f t="shared" si="28"/>
        <v>29</v>
      </c>
      <c r="M119" s="11">
        <f>IFERROR(100/'Skjema total MA'!I119*K119,0)</f>
        <v>9.9603863728698006</v>
      </c>
    </row>
    <row r="120" spans="1:14" x14ac:dyDescent="0.2">
      <c r="A120" s="21" t="s">
        <v>9</v>
      </c>
      <c r="B120" s="234">
        <v>22302.415059999901</v>
      </c>
      <c r="C120" s="145">
        <v>3278</v>
      </c>
      <c r="D120" s="166">
        <f t="shared" si="29"/>
        <v>-85.3</v>
      </c>
      <c r="E120" s="27">
        <f>IFERROR(100/'Skjema total MA'!C120*C120,0)</f>
        <v>0.75135942936658073</v>
      </c>
      <c r="F120" s="234"/>
      <c r="G120" s="145"/>
      <c r="H120" s="166"/>
      <c r="I120" s="27"/>
      <c r="J120" s="287">
        <f t="shared" si="27"/>
        <v>22302.415059999901</v>
      </c>
      <c r="K120" s="44">
        <f t="shared" si="27"/>
        <v>3278</v>
      </c>
      <c r="L120" s="254">
        <f t="shared" si="28"/>
        <v>-85.3</v>
      </c>
      <c r="M120" s="27">
        <f>IFERROR(100/'Skjema total MA'!I120*K120,0)</f>
        <v>0.75135942936658073</v>
      </c>
    </row>
    <row r="121" spans="1:14" x14ac:dyDescent="0.2">
      <c r="A121" s="21" t="s">
        <v>10</v>
      </c>
      <c r="B121" s="234"/>
      <c r="C121" s="145"/>
      <c r="D121" s="166"/>
      <c r="E121" s="27"/>
      <c r="F121" s="234">
        <v>682369.73400000005</v>
      </c>
      <c r="G121" s="145">
        <v>905629.21799999999</v>
      </c>
      <c r="H121" s="166">
        <f t="shared" si="26"/>
        <v>32.700000000000003</v>
      </c>
      <c r="I121" s="27">
        <f>IFERROR(100/'Skjema total MA'!F121*G121,0)</f>
        <v>10.488010855763513</v>
      </c>
      <c r="J121" s="287">
        <f t="shared" si="27"/>
        <v>682369.73400000005</v>
      </c>
      <c r="K121" s="44">
        <f t="shared" si="27"/>
        <v>905629.21799999999</v>
      </c>
      <c r="L121" s="254">
        <f t="shared" si="28"/>
        <v>32.700000000000003</v>
      </c>
      <c r="M121" s="27">
        <f>IFERROR(100/'Skjema total MA'!I121*K121,0)</f>
        <v>10.484447227336217</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v>134818.329</v>
      </c>
      <c r="G125" s="234">
        <v>237700.068</v>
      </c>
      <c r="H125" s="166">
        <f t="shared" si="26"/>
        <v>76.3</v>
      </c>
      <c r="I125" s="27">
        <f>IFERROR(100/'Skjema total MA'!F125*G125,0)</f>
        <v>28.975581372167643</v>
      </c>
      <c r="J125" s="287">
        <f t="shared" si="27"/>
        <v>134818.329</v>
      </c>
      <c r="K125" s="44">
        <f t="shared" si="27"/>
        <v>237700.068</v>
      </c>
      <c r="L125" s="254">
        <f t="shared" si="28"/>
        <v>76.3</v>
      </c>
      <c r="M125" s="27">
        <f>IFERROR(100/'Skjema total MA'!I125*K125,0)</f>
        <v>28.974997595725601</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370" priority="132">
      <formula>kvartal &lt; 4</formula>
    </cfRule>
  </conditionalFormatting>
  <conditionalFormatting sqref="B115">
    <cfRule type="expression" dxfId="369" priority="76">
      <formula>kvartal &lt; 4</formula>
    </cfRule>
  </conditionalFormatting>
  <conditionalFormatting sqref="C115">
    <cfRule type="expression" dxfId="368" priority="75">
      <formula>kvartal &lt; 4</formula>
    </cfRule>
  </conditionalFormatting>
  <conditionalFormatting sqref="B123">
    <cfRule type="expression" dxfId="367" priority="74">
      <formula>kvartal &lt; 4</formula>
    </cfRule>
  </conditionalFormatting>
  <conditionalFormatting sqref="C123">
    <cfRule type="expression" dxfId="366" priority="73">
      <formula>kvartal &lt; 4</formula>
    </cfRule>
  </conditionalFormatting>
  <conditionalFormatting sqref="F115">
    <cfRule type="expression" dxfId="365" priority="58">
      <formula>kvartal &lt; 4</formula>
    </cfRule>
  </conditionalFormatting>
  <conditionalFormatting sqref="G115">
    <cfRule type="expression" dxfId="364" priority="57">
      <formula>kvartal &lt; 4</formula>
    </cfRule>
  </conditionalFormatting>
  <conditionalFormatting sqref="F123:G123">
    <cfRule type="expression" dxfId="363" priority="56">
      <formula>kvartal &lt; 4</formula>
    </cfRule>
  </conditionalFormatting>
  <conditionalFormatting sqref="J115:K115">
    <cfRule type="expression" dxfId="362" priority="32">
      <formula>kvartal &lt; 4</formula>
    </cfRule>
  </conditionalFormatting>
  <conditionalFormatting sqref="J123:K123">
    <cfRule type="expression" dxfId="361" priority="31">
      <formula>kvartal &lt; 4</formula>
    </cfRule>
  </conditionalFormatting>
  <conditionalFormatting sqref="A50:A52">
    <cfRule type="expression" dxfId="360" priority="12">
      <formula>kvartal &lt; 4</formula>
    </cfRule>
  </conditionalFormatting>
  <conditionalFormatting sqref="A69:A74">
    <cfRule type="expression" dxfId="359" priority="10">
      <formula>kvartal &lt; 4</formula>
    </cfRule>
  </conditionalFormatting>
  <conditionalFormatting sqref="A80:A85">
    <cfRule type="expression" dxfId="358" priority="9">
      <formula>kvartal &lt; 4</formula>
    </cfRule>
  </conditionalFormatting>
  <conditionalFormatting sqref="A90:A95">
    <cfRule type="expression" dxfId="357" priority="6">
      <formula>kvartal &lt; 4</formula>
    </cfRule>
  </conditionalFormatting>
  <conditionalFormatting sqref="A101:A106">
    <cfRule type="expression" dxfId="356" priority="5">
      <formula>kvartal &lt; 4</formula>
    </cfRule>
  </conditionalFormatting>
  <conditionalFormatting sqref="A115">
    <cfRule type="expression" dxfId="355" priority="4">
      <formula>kvartal &lt; 4</formula>
    </cfRule>
  </conditionalFormatting>
  <conditionalFormatting sqref="A123">
    <cfRule type="expression" dxfId="354" priority="3">
      <formula>kvartal &lt; 4</formula>
    </cfRule>
  </conditionalFormatting>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96</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7226</v>
      </c>
      <c r="C47" s="311">
        <v>7721</v>
      </c>
      <c r="D47" s="427">
        <f t="shared" ref="D47:D48" si="0">IF(B47=0, "    ---- ", IF(ABS(ROUND(100/B47*C47-100,1))&lt;999,ROUND(100/B47*C47-100,1),IF(ROUND(100/B47*C47-100,1)&gt;999,999,-999)))</f>
        <v>6.9</v>
      </c>
      <c r="E47" s="11">
        <f>IFERROR(100/'Skjema total MA'!C47*C47,0)</f>
        <v>0.26756940711267563</v>
      </c>
      <c r="F47" s="145"/>
      <c r="G47" s="33"/>
      <c r="H47" s="159"/>
      <c r="I47" s="159"/>
      <c r="J47" s="37"/>
      <c r="K47" s="37"/>
      <c r="L47" s="159"/>
      <c r="M47" s="159"/>
      <c r="N47" s="148"/>
    </row>
    <row r="48" spans="1:14" s="3" customFormat="1" ht="15.75" x14ac:dyDescent="0.2">
      <c r="A48" s="38" t="s">
        <v>379</v>
      </c>
      <c r="B48" s="281">
        <v>7226</v>
      </c>
      <c r="C48" s="282">
        <v>7721</v>
      </c>
      <c r="D48" s="254">
        <f t="shared" si="0"/>
        <v>6.9</v>
      </c>
      <c r="E48" s="27">
        <f>IFERROR(100/'Skjema total MA'!C48*C48,0)</f>
        <v>0.49235984515266673</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105839.768</v>
      </c>
      <c r="C111" s="159">
        <v>0</v>
      </c>
      <c r="D111" s="171">
        <f t="shared" ref="D111" si="1">IF(B111=0, "    ---- ", IF(ABS(ROUND(100/B111*C111-100,1))&lt;999,ROUND(100/B111*C111-100,1),IF(ROUND(100/B111*C111-100,1)&gt;999,999,-999)))</f>
        <v>-100</v>
      </c>
      <c r="E111" s="11">
        <f>IFERROR(100/'Skjema total MA'!C111*C111,0)</f>
        <v>0</v>
      </c>
      <c r="F111" s="308"/>
      <c r="G111" s="159"/>
      <c r="H111" s="171"/>
      <c r="I111" s="11"/>
      <c r="J111" s="309">
        <f t="shared" ref="J111:K111" si="2">SUM(B111,F111)</f>
        <v>105839.768</v>
      </c>
      <c r="K111" s="236">
        <f t="shared" si="2"/>
        <v>0</v>
      </c>
      <c r="L111" s="428">
        <f t="shared" ref="L111" si="3">IF(J111=0, "    ---- ", IF(ABS(ROUND(100/J111*K111-100,1))&lt;999,ROUND(100/J111*K111-100,1),IF(ROUND(100/J111*K111-100,1)&gt;999,999,-999)))</f>
        <v>-100</v>
      </c>
      <c r="M111" s="11">
        <f>IFERROR(100/'Skjema total MA'!I111*K111,0)</f>
        <v>0</v>
      </c>
    </row>
    <row r="112" spans="1:13" x14ac:dyDescent="0.2">
      <c r="A112" s="21" t="s">
        <v>9</v>
      </c>
      <c r="B112" s="234">
        <v>105839.768</v>
      </c>
      <c r="C112" s="145">
        <v>0</v>
      </c>
      <c r="D112" s="166">
        <f t="shared" ref="D112:D120" si="4">IF(B112=0, "    ---- ", IF(ABS(ROUND(100/B112*C112-100,1))&lt;999,ROUND(100/B112*C112-100,1),IF(ROUND(100/B112*C112-100,1)&gt;999,999,-999)))</f>
        <v>-100</v>
      </c>
      <c r="E112" s="27">
        <f>IFERROR(100/'Skjema total MA'!C112*C112,0)</f>
        <v>0</v>
      </c>
      <c r="F112" s="234"/>
      <c r="G112" s="145"/>
      <c r="H112" s="166"/>
      <c r="I112" s="27"/>
      <c r="J112" s="287">
        <f t="shared" ref="J112:K120" si="5">SUM(B112,F112)</f>
        <v>105839.768</v>
      </c>
      <c r="K112" s="44">
        <f t="shared" si="5"/>
        <v>0</v>
      </c>
      <c r="L112" s="254">
        <f t="shared" ref="L112:L120" si="6">IF(J112=0, "    ---- ", IF(ABS(ROUND(100/J112*K112-100,1))&lt;999,ROUND(100/J112*K112-100,1),IF(ROUND(100/J112*K112-100,1)&gt;999,999,-999)))</f>
        <v>-100</v>
      </c>
      <c r="M112" s="27">
        <f>IFERROR(100/'Skjema total MA'!I112*K112,0)</f>
        <v>0</v>
      </c>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0</v>
      </c>
      <c r="C119" s="159">
        <v>40555.249000000003</v>
      </c>
      <c r="D119" s="171" t="str">
        <f t="shared" si="4"/>
        <v xml:space="preserve">    ---- </v>
      </c>
      <c r="E119" s="11">
        <f>IFERROR(100/'Skjema total MA'!C119*C119,0)</f>
        <v>8.271166558646021</v>
      </c>
      <c r="F119" s="308"/>
      <c r="G119" s="159"/>
      <c r="H119" s="171"/>
      <c r="I119" s="11"/>
      <c r="J119" s="309">
        <f t="shared" si="5"/>
        <v>0</v>
      </c>
      <c r="K119" s="236">
        <f t="shared" si="5"/>
        <v>40555.249000000003</v>
      </c>
      <c r="L119" s="428" t="str">
        <f t="shared" si="6"/>
        <v xml:space="preserve">    ---- </v>
      </c>
      <c r="M119" s="11">
        <f>IFERROR(100/'Skjema total MA'!I119*K119,0)</f>
        <v>0.44443034612135918</v>
      </c>
    </row>
    <row r="120" spans="1:14" x14ac:dyDescent="0.2">
      <c r="A120" s="21" t="s">
        <v>9</v>
      </c>
      <c r="B120" s="234">
        <v>0</v>
      </c>
      <c r="C120" s="145">
        <v>40555.249000000003</v>
      </c>
      <c r="D120" s="166" t="str">
        <f t="shared" si="4"/>
        <v xml:space="preserve">    ---- </v>
      </c>
      <c r="E120" s="27">
        <f>IFERROR(100/'Skjema total MA'!C120*C120,0)</f>
        <v>9.2957805815923109</v>
      </c>
      <c r="F120" s="234"/>
      <c r="G120" s="145"/>
      <c r="H120" s="166"/>
      <c r="I120" s="27"/>
      <c r="J120" s="287">
        <f t="shared" si="5"/>
        <v>0</v>
      </c>
      <c r="K120" s="44">
        <f t="shared" si="5"/>
        <v>40555.249000000003</v>
      </c>
      <c r="L120" s="254" t="str">
        <f t="shared" si="6"/>
        <v xml:space="preserve">    ---- </v>
      </c>
      <c r="M120" s="27">
        <f>IFERROR(100/'Skjema total MA'!I120*K120,0)</f>
        <v>9.2957805815923109</v>
      </c>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v>966743.14500999998</v>
      </c>
      <c r="C134" s="309">
        <v>588067.33617999998</v>
      </c>
      <c r="D134" s="350">
        <f t="shared" ref="D134:D135" si="7">IF(B134=0, "    ---- ", IF(ABS(ROUND(100/B134*C134-100,1))&lt;999,ROUND(100/B134*C134-100,1),IF(ROUND(100/B134*C134-100,1)&gt;999,999,-999)))</f>
        <v>-39.200000000000003</v>
      </c>
      <c r="E134" s="11">
        <f>IFERROR(100/'Skjema total MA'!C134*C134,0)</f>
        <v>7.5699345725637395</v>
      </c>
      <c r="F134" s="316"/>
      <c r="G134" s="317"/>
      <c r="H134" s="431"/>
      <c r="I134" s="24"/>
      <c r="J134" s="318">
        <f t="shared" ref="J134:K135" si="8">SUM(B134,F134)</f>
        <v>966743.14500999998</v>
      </c>
      <c r="K134" s="318">
        <f t="shared" si="8"/>
        <v>588067.33617999998</v>
      </c>
      <c r="L134" s="427">
        <f t="shared" ref="L134:L135" si="9">IF(J134=0, "    ---- ", IF(ABS(ROUND(100/J134*K134-100,1))&lt;999,ROUND(100/J134*K134-100,1),IF(ROUND(100/J134*K134-100,1)&gt;999,999,-999)))</f>
        <v>-39.200000000000003</v>
      </c>
      <c r="M134" s="11">
        <f>IFERROR(100/'Skjema total MA'!I134*K134,0)</f>
        <v>7.5570120901869702</v>
      </c>
      <c r="N134" s="148"/>
    </row>
    <row r="135" spans="1:14" s="3" customFormat="1" ht="15.75" x14ac:dyDescent="0.2">
      <c r="A135" s="13" t="s">
        <v>397</v>
      </c>
      <c r="B135" s="236">
        <v>75420758.385900304</v>
      </c>
      <c r="C135" s="309">
        <v>78512396.264768496</v>
      </c>
      <c r="D135" s="171">
        <f t="shared" si="7"/>
        <v>4.0999999999999996</v>
      </c>
      <c r="E135" s="11">
        <f>IFERROR(100/'Skjema total MA'!C135*C135,0)</f>
        <v>13.308977457306119</v>
      </c>
      <c r="F135" s="236"/>
      <c r="G135" s="309"/>
      <c r="H135" s="432"/>
      <c r="I135" s="24"/>
      <c r="J135" s="308">
        <f t="shared" si="8"/>
        <v>75420758.385900304</v>
      </c>
      <c r="K135" s="308">
        <f t="shared" si="8"/>
        <v>78512396.264768496</v>
      </c>
      <c r="L135" s="428">
        <f t="shared" si="9"/>
        <v>4.0999999999999996</v>
      </c>
      <c r="M135" s="11">
        <f>IFERROR(100/'Skjema total MA'!I135*K135,0)</f>
        <v>13.260608181188838</v>
      </c>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353" priority="132">
      <formula>kvartal &lt; 4</formula>
    </cfRule>
  </conditionalFormatting>
  <conditionalFormatting sqref="B115">
    <cfRule type="expression" dxfId="352" priority="76">
      <formula>kvartal &lt; 4</formula>
    </cfRule>
  </conditionalFormatting>
  <conditionalFormatting sqref="C115">
    <cfRule type="expression" dxfId="351" priority="75">
      <formula>kvartal &lt; 4</formula>
    </cfRule>
  </conditionalFormatting>
  <conditionalFormatting sqref="B123">
    <cfRule type="expression" dxfId="350" priority="74">
      <formula>kvartal &lt; 4</formula>
    </cfRule>
  </conditionalFormatting>
  <conditionalFormatting sqref="C123">
    <cfRule type="expression" dxfId="349" priority="73">
      <formula>kvartal &lt; 4</formula>
    </cfRule>
  </conditionalFormatting>
  <conditionalFormatting sqref="F115">
    <cfRule type="expression" dxfId="348" priority="58">
      <formula>kvartal &lt; 4</formula>
    </cfRule>
  </conditionalFormatting>
  <conditionalFormatting sqref="G115">
    <cfRule type="expression" dxfId="347" priority="57">
      <formula>kvartal &lt; 4</formula>
    </cfRule>
  </conditionalFormatting>
  <conditionalFormatting sqref="F123:G123">
    <cfRule type="expression" dxfId="346" priority="56">
      <formula>kvartal &lt; 4</formula>
    </cfRule>
  </conditionalFormatting>
  <conditionalFormatting sqref="J115:K115">
    <cfRule type="expression" dxfId="345" priority="32">
      <formula>kvartal &lt; 4</formula>
    </cfRule>
  </conditionalFormatting>
  <conditionalFormatting sqref="J123:K123">
    <cfRule type="expression" dxfId="344" priority="31">
      <formula>kvartal &lt; 4</formula>
    </cfRule>
  </conditionalFormatting>
  <conditionalFormatting sqref="A50:A52">
    <cfRule type="expression" dxfId="343" priority="12">
      <formula>kvartal &lt; 4</formula>
    </cfRule>
  </conditionalFormatting>
  <conditionalFormatting sqref="A69:A74">
    <cfRule type="expression" dxfId="342" priority="10">
      <formula>kvartal &lt; 4</formula>
    </cfRule>
  </conditionalFormatting>
  <conditionalFormatting sqref="A80:A85">
    <cfRule type="expression" dxfId="341" priority="9">
      <formula>kvartal &lt; 4</formula>
    </cfRule>
  </conditionalFormatting>
  <conditionalFormatting sqref="A90:A95">
    <cfRule type="expression" dxfId="340" priority="6">
      <formula>kvartal &lt; 4</formula>
    </cfRule>
  </conditionalFormatting>
  <conditionalFormatting sqref="A101:A106">
    <cfRule type="expression" dxfId="339" priority="5">
      <formula>kvartal &lt; 4</formula>
    </cfRule>
  </conditionalFormatting>
  <conditionalFormatting sqref="A115">
    <cfRule type="expression" dxfId="338" priority="4">
      <formula>kvartal &lt; 4</formula>
    </cfRule>
  </conditionalFormatting>
  <conditionalFormatting sqref="A123">
    <cfRule type="expression" dxfId="337" priority="3">
      <formula>kvartal &lt; 4</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582" t="s">
        <v>367</v>
      </c>
      <c r="D1" s="26"/>
      <c r="E1" s="26"/>
      <c r="F1" s="26"/>
      <c r="G1" s="26"/>
      <c r="H1" s="26"/>
      <c r="I1" s="26"/>
      <c r="J1" s="26"/>
      <c r="K1" s="26"/>
      <c r="L1" s="26"/>
      <c r="M1" s="26"/>
    </row>
    <row r="2" spans="1:14" ht="15.75" x14ac:dyDescent="0.25">
      <c r="A2" s="165" t="s">
        <v>28</v>
      </c>
      <c r="B2" s="726"/>
      <c r="C2" s="726"/>
      <c r="D2" s="726"/>
      <c r="E2" s="579"/>
      <c r="F2" s="726"/>
      <c r="G2" s="726"/>
      <c r="H2" s="726"/>
      <c r="I2" s="579"/>
      <c r="J2" s="726"/>
      <c r="K2" s="726"/>
      <c r="L2" s="726"/>
      <c r="M2" s="579"/>
    </row>
    <row r="3" spans="1:14" ht="15.75" x14ac:dyDescent="0.25">
      <c r="A3" s="163"/>
      <c r="B3" s="579"/>
      <c r="C3" s="579"/>
      <c r="D3" s="579"/>
      <c r="E3" s="579"/>
      <c r="F3" s="579"/>
      <c r="G3" s="579"/>
      <c r="H3" s="579"/>
      <c r="I3" s="579"/>
      <c r="J3" s="579"/>
      <c r="K3" s="579"/>
      <c r="L3" s="579"/>
      <c r="M3" s="579"/>
    </row>
    <row r="4" spans="1:14" x14ac:dyDescent="0.2">
      <c r="A4" s="144"/>
      <c r="B4" s="727" t="s">
        <v>0</v>
      </c>
      <c r="C4" s="728"/>
      <c r="D4" s="728"/>
      <c r="E4" s="577"/>
      <c r="F4" s="727" t="s">
        <v>1</v>
      </c>
      <c r="G4" s="728"/>
      <c r="H4" s="728"/>
      <c r="I4" s="578"/>
      <c r="J4" s="727" t="s">
        <v>2</v>
      </c>
      <c r="K4" s="728"/>
      <c r="L4" s="728"/>
      <c r="M4" s="578"/>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697.66542914888896</v>
      </c>
      <c r="C7" s="307">
        <v>694.66245416573099</v>
      </c>
      <c r="D7" s="350">
        <f>IF(B7=0, "    ---- ", IF(ABS(ROUND(100/B7*C7-100,1))&lt;999,ROUND(100/B7*C7-100,1),IF(ROUND(100/B7*C7-100,1)&gt;999,999,-999)))</f>
        <v>-0.4</v>
      </c>
      <c r="E7" s="11">
        <f>IFERROR(100/'Skjema total MA'!C7*C7,0)</f>
        <v>4.468676665090919E-2</v>
      </c>
      <c r="F7" s="306"/>
      <c r="G7" s="307"/>
      <c r="H7" s="350"/>
      <c r="I7" s="160"/>
      <c r="J7" s="308">
        <f t="shared" ref="J7:K9" si="0">SUM(B7,F7)</f>
        <v>697.66542914888896</v>
      </c>
      <c r="K7" s="309">
        <f t="shared" si="0"/>
        <v>694.66245416573099</v>
      </c>
      <c r="L7" s="427">
        <f>IF(J7=0, "    ---- ", IF(ABS(ROUND(100/J7*K7-100,1))&lt;999,ROUND(100/J7*K7-100,1),IF(ROUND(100/J7*K7-100,1)&gt;999,999,-999)))</f>
        <v>-0.4</v>
      </c>
      <c r="M7" s="11">
        <f>IFERROR(100/'Skjema total MA'!I7*K7,0)</f>
        <v>1.6996675176034697E-2</v>
      </c>
    </row>
    <row r="8" spans="1:14" ht="15.75" x14ac:dyDescent="0.2">
      <c r="A8" s="21" t="s">
        <v>25</v>
      </c>
      <c r="B8" s="281"/>
      <c r="C8" s="282"/>
      <c r="D8" s="166"/>
      <c r="E8" s="27"/>
      <c r="F8" s="285"/>
      <c r="G8" s="286"/>
      <c r="H8" s="166"/>
      <c r="I8" s="175"/>
      <c r="J8" s="234"/>
      <c r="K8" s="287"/>
      <c r="L8" s="254"/>
      <c r="M8" s="27"/>
    </row>
    <row r="9" spans="1:14" ht="15.75" x14ac:dyDescent="0.2">
      <c r="A9" s="21" t="s">
        <v>24</v>
      </c>
      <c r="B9" s="281">
        <v>697.66542914888896</v>
      </c>
      <c r="C9" s="282">
        <v>694.66245416573099</v>
      </c>
      <c r="D9" s="166">
        <f t="shared" ref="D9" si="1">IF(B9=0, "    ---- ", IF(ABS(ROUND(100/B9*C9-100,1))&lt;999,ROUND(100/B9*C9-100,1),IF(ROUND(100/B9*C9-100,1)&gt;999,999,-999)))</f>
        <v>-0.4</v>
      </c>
      <c r="E9" s="27">
        <f>IFERROR(100/'Skjema total MA'!C9*C9,0)</f>
        <v>0.20836083649247084</v>
      </c>
      <c r="F9" s="285"/>
      <c r="G9" s="286"/>
      <c r="H9" s="166"/>
      <c r="I9" s="175"/>
      <c r="J9" s="234">
        <f t="shared" si="0"/>
        <v>697.66542914888896</v>
      </c>
      <c r="K9" s="287">
        <f t="shared" si="0"/>
        <v>694.66245416573099</v>
      </c>
      <c r="L9" s="166">
        <f t="shared" ref="L9" si="2">IF(J9=0, "    ---- ", IF(ABS(ROUND(100/J9*K9-100,1))&lt;999,ROUND(100/J9*K9-100,1),IF(ROUND(100/J9*K9-100,1)&gt;999,999,-999)))</f>
        <v>-0.4</v>
      </c>
      <c r="M9" s="27">
        <f>IFERROR(100/'Skjema total MA'!I9*K9,0)</f>
        <v>0.20836083649247084</v>
      </c>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579"/>
      <c r="F18" s="729"/>
      <c r="G18" s="729"/>
      <c r="H18" s="729"/>
      <c r="I18" s="579"/>
      <c r="J18" s="729"/>
      <c r="K18" s="729"/>
      <c r="L18" s="729"/>
      <c r="M18" s="579"/>
    </row>
    <row r="19" spans="1:14" x14ac:dyDescent="0.2">
      <c r="A19" s="144"/>
      <c r="B19" s="727" t="s">
        <v>0</v>
      </c>
      <c r="C19" s="728"/>
      <c r="D19" s="728"/>
      <c r="E19" s="577"/>
      <c r="F19" s="727" t="s">
        <v>1</v>
      </c>
      <c r="G19" s="728"/>
      <c r="H19" s="728"/>
      <c r="I19" s="578"/>
      <c r="J19" s="727" t="s">
        <v>2</v>
      </c>
      <c r="K19" s="728"/>
      <c r="L19" s="728"/>
      <c r="M19" s="578"/>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581"/>
    </row>
    <row r="41" spans="1:14" x14ac:dyDescent="0.2">
      <c r="A41" s="155"/>
    </row>
    <row r="42" spans="1:14" ht="15.75" x14ac:dyDescent="0.25">
      <c r="A42" s="147" t="s">
        <v>276</v>
      </c>
      <c r="B42" s="726"/>
      <c r="C42" s="726"/>
      <c r="D42" s="726"/>
      <c r="E42" s="579"/>
      <c r="F42" s="731"/>
      <c r="G42" s="731"/>
      <c r="H42" s="731"/>
      <c r="I42" s="581"/>
      <c r="J42" s="731"/>
      <c r="K42" s="731"/>
      <c r="L42" s="731"/>
      <c r="M42" s="581"/>
    </row>
    <row r="43" spans="1:14" ht="15.75" x14ac:dyDescent="0.25">
      <c r="A43" s="163"/>
      <c r="B43" s="580"/>
      <c r="C43" s="580"/>
      <c r="D43" s="580"/>
      <c r="E43" s="580"/>
      <c r="F43" s="581"/>
      <c r="G43" s="581"/>
      <c r="H43" s="581"/>
      <c r="I43" s="581"/>
      <c r="J43" s="581"/>
      <c r="K43" s="581"/>
      <c r="L43" s="581"/>
      <c r="M43" s="581"/>
    </row>
    <row r="44" spans="1:14" ht="15.75" x14ac:dyDescent="0.25">
      <c r="A44" s="247"/>
      <c r="B44" s="727" t="s">
        <v>0</v>
      </c>
      <c r="C44" s="728"/>
      <c r="D44" s="728"/>
      <c r="E44" s="243"/>
      <c r="F44" s="581"/>
      <c r="G44" s="581"/>
      <c r="H44" s="581"/>
      <c r="I44" s="581"/>
      <c r="J44" s="581"/>
      <c r="K44" s="581"/>
      <c r="L44" s="581"/>
      <c r="M44" s="581"/>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173730.31569938501</v>
      </c>
      <c r="C47" s="311">
        <v>195516.164547102</v>
      </c>
      <c r="D47" s="427">
        <f t="shared" ref="D47:D48" si="3">IF(B47=0, "    ---- ", IF(ABS(ROUND(100/B47*C47-100,1))&lt;999,ROUND(100/B47*C47-100,1),IF(ROUND(100/B47*C47-100,1)&gt;999,999,-999)))</f>
        <v>12.5</v>
      </c>
      <c r="E47" s="11">
        <f>IFERROR(100/'Skjema total MA'!C47*C47,0)</f>
        <v>6.7755658889797195</v>
      </c>
      <c r="F47" s="145"/>
      <c r="G47" s="33"/>
      <c r="H47" s="159"/>
      <c r="I47" s="159"/>
      <c r="J47" s="37"/>
      <c r="K47" s="37"/>
      <c r="L47" s="159"/>
      <c r="M47" s="159"/>
      <c r="N47" s="148"/>
    </row>
    <row r="48" spans="1:14" s="3" customFormat="1" ht="15.75" x14ac:dyDescent="0.2">
      <c r="A48" s="38" t="s">
        <v>379</v>
      </c>
      <c r="B48" s="281">
        <v>173730.31569938501</v>
      </c>
      <c r="C48" s="282">
        <v>195516.164547102</v>
      </c>
      <c r="D48" s="254">
        <f t="shared" si="3"/>
        <v>12.5</v>
      </c>
      <c r="E48" s="27">
        <f>IFERROR(100/'Skjema total MA'!C48*C48,0)</f>
        <v>12.467855005990733</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579"/>
      <c r="F62" s="729"/>
      <c r="G62" s="729"/>
      <c r="H62" s="729"/>
      <c r="I62" s="579"/>
      <c r="J62" s="729"/>
      <c r="K62" s="729"/>
      <c r="L62" s="729"/>
      <c r="M62" s="579"/>
    </row>
    <row r="63" spans="1:14" x14ac:dyDescent="0.2">
      <c r="A63" s="144"/>
      <c r="B63" s="727" t="s">
        <v>0</v>
      </c>
      <c r="C63" s="728"/>
      <c r="D63" s="732"/>
      <c r="E63" s="576"/>
      <c r="F63" s="728" t="s">
        <v>1</v>
      </c>
      <c r="G63" s="728"/>
      <c r="H63" s="728"/>
      <c r="I63" s="578"/>
      <c r="J63" s="727" t="s">
        <v>2</v>
      </c>
      <c r="K63" s="728"/>
      <c r="L63" s="728"/>
      <c r="M63" s="578"/>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579"/>
      <c r="F130" s="729"/>
      <c r="G130" s="729"/>
      <c r="H130" s="729"/>
      <c r="I130" s="579"/>
      <c r="J130" s="729"/>
      <c r="K130" s="729"/>
      <c r="L130" s="729"/>
      <c r="M130" s="579"/>
    </row>
    <row r="131" spans="1:14" s="3" customFormat="1" x14ac:dyDescent="0.2">
      <c r="A131" s="144"/>
      <c r="B131" s="727" t="s">
        <v>0</v>
      </c>
      <c r="C131" s="728"/>
      <c r="D131" s="728"/>
      <c r="E131" s="577"/>
      <c r="F131" s="727" t="s">
        <v>1</v>
      </c>
      <c r="G131" s="728"/>
      <c r="H131" s="728"/>
      <c r="I131" s="578"/>
      <c r="J131" s="727" t="s">
        <v>2</v>
      </c>
      <c r="K131" s="728"/>
      <c r="L131" s="728"/>
      <c r="M131" s="578"/>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B50:C52">
    <cfRule type="expression" dxfId="336" priority="82">
      <formula>kvartal &lt; 4</formula>
    </cfRule>
  </conditionalFormatting>
  <conditionalFormatting sqref="B115">
    <cfRule type="expression" dxfId="335" priority="45">
      <formula>kvartal &lt; 4</formula>
    </cfRule>
  </conditionalFormatting>
  <conditionalFormatting sqref="C115">
    <cfRule type="expression" dxfId="334" priority="44">
      <formula>kvartal &lt; 4</formula>
    </cfRule>
  </conditionalFormatting>
  <conditionalFormatting sqref="B123">
    <cfRule type="expression" dxfId="333" priority="43">
      <formula>kvartal &lt; 4</formula>
    </cfRule>
  </conditionalFormatting>
  <conditionalFormatting sqref="C123">
    <cfRule type="expression" dxfId="332" priority="42">
      <formula>kvartal &lt; 4</formula>
    </cfRule>
  </conditionalFormatting>
  <conditionalFormatting sqref="F115">
    <cfRule type="expression" dxfId="331" priority="31">
      <formula>kvartal &lt; 4</formula>
    </cfRule>
  </conditionalFormatting>
  <conditionalFormatting sqref="G115">
    <cfRule type="expression" dxfId="330" priority="30">
      <formula>kvartal &lt; 4</formula>
    </cfRule>
  </conditionalFormatting>
  <conditionalFormatting sqref="F123:G123">
    <cfRule type="expression" dxfId="329" priority="29">
      <formula>kvartal &lt; 4</formula>
    </cfRule>
  </conditionalFormatting>
  <conditionalFormatting sqref="J115:K115">
    <cfRule type="expression" dxfId="328" priority="12">
      <formula>kvartal &lt; 4</formula>
    </cfRule>
  </conditionalFormatting>
  <conditionalFormatting sqref="J123:K123">
    <cfRule type="expression" dxfId="327" priority="11">
      <formula>kvartal &lt; 4</formula>
    </cfRule>
  </conditionalFormatting>
  <conditionalFormatting sqref="A50:A52">
    <cfRule type="expression" dxfId="326" priority="8">
      <formula>kvartal &lt; 4</formula>
    </cfRule>
  </conditionalFormatting>
  <conditionalFormatting sqref="A69:A74">
    <cfRule type="expression" dxfId="325" priority="7">
      <formula>kvartal &lt; 4</formula>
    </cfRule>
  </conditionalFormatting>
  <conditionalFormatting sqref="A80:A85">
    <cfRule type="expression" dxfId="324" priority="6">
      <formula>kvartal &lt; 4</formula>
    </cfRule>
  </conditionalFormatting>
  <conditionalFormatting sqref="A90:A95">
    <cfRule type="expression" dxfId="323" priority="5">
      <formula>kvartal &lt; 4</formula>
    </cfRule>
  </conditionalFormatting>
  <conditionalFormatting sqref="A101:A106">
    <cfRule type="expression" dxfId="322" priority="4">
      <formula>kvartal &lt; 4</formula>
    </cfRule>
  </conditionalFormatting>
  <conditionalFormatting sqref="A115">
    <cfRule type="expression" dxfId="321" priority="3">
      <formula>kvartal &lt; 4</formula>
    </cfRule>
  </conditionalFormatting>
  <conditionalFormatting sqref="A123">
    <cfRule type="expression" dxfId="320" priority="2">
      <formula>kvartal &lt; 4</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7"/>
  <dimension ref="A1:N144"/>
  <sheetViews>
    <sheetView showGridLines="0" zoomScaleNormal="100" workbookViewId="0">
      <selection activeCell="B1" sqref="B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72</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v>24702.737349999999</v>
      </c>
      <c r="G7" s="307">
        <v>25990.417409999998</v>
      </c>
      <c r="H7" s="350">
        <f>IF(F7=0, "    ---- ", IF(ABS(ROUND(100/F7*G7-100,1))&lt;999,ROUND(100/F7*G7-100,1),IF(ROUND(100/F7*G7-100,1)&gt;999,999,-999)))</f>
        <v>5.2</v>
      </c>
      <c r="I7" s="160">
        <f>IFERROR(100/'Skjema total MA'!F7*G7,0)</f>
        <v>1.0262612816984595</v>
      </c>
      <c r="J7" s="308">
        <f t="shared" ref="J7:K12" si="0">SUM(B7,F7)</f>
        <v>24702.737349999999</v>
      </c>
      <c r="K7" s="309">
        <f t="shared" si="0"/>
        <v>25990.417409999998</v>
      </c>
      <c r="L7" s="427">
        <f>IF(J7=0, "    ---- ", IF(ABS(ROUND(100/J7*K7-100,1))&lt;999,ROUND(100/J7*K7-100,1),IF(ROUND(100/J7*K7-100,1)&gt;999,999,-999)))</f>
        <v>5.2</v>
      </c>
      <c r="M7" s="11">
        <f>IFERROR(100/'Skjema total MA'!I7*K7,0)</f>
        <v>0.63592134533578104</v>
      </c>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v>825974.39272</v>
      </c>
      <c r="G10" s="311">
        <v>816881.17992999998</v>
      </c>
      <c r="H10" s="171">
        <f t="shared" ref="H10:H12" si="1">IF(F10=0, "    ---- ", IF(ABS(ROUND(100/F10*G10-100,1))&lt;999,ROUND(100/F10*G10-100,1),IF(ROUND(100/F10*G10-100,1)&gt;999,999,-999)))</f>
        <v>-1.1000000000000001</v>
      </c>
      <c r="I10" s="160">
        <f>IFERROR(100/'Skjema total MA'!F10*G10,0)</f>
        <v>1.7525867535128741</v>
      </c>
      <c r="J10" s="308">
        <f t="shared" si="0"/>
        <v>825974.39272</v>
      </c>
      <c r="K10" s="309">
        <f t="shared" si="0"/>
        <v>816881.17992999998</v>
      </c>
      <c r="L10" s="428">
        <f t="shared" ref="L10:L12" si="2">IF(J10=0, "    ---- ", IF(ABS(ROUND(100/J10*K10-100,1))&lt;999,ROUND(100/J10*K10-100,1),IF(ROUND(100/J10*K10-100,1)&gt;999,999,-999)))</f>
        <v>-1.1000000000000001</v>
      </c>
      <c r="M10" s="11">
        <f>IFERROR(100/'Skjema total MA'!I10*K10,0)</f>
        <v>1.247857216989797</v>
      </c>
    </row>
    <row r="11" spans="1:14" s="43" customFormat="1" ht="15.75" x14ac:dyDescent="0.2">
      <c r="A11" s="13" t="s">
        <v>369</v>
      </c>
      <c r="B11" s="310"/>
      <c r="C11" s="311"/>
      <c r="D11" s="171"/>
      <c r="E11" s="11"/>
      <c r="F11" s="310">
        <v>1485.691</v>
      </c>
      <c r="G11" s="311">
        <v>4007.72</v>
      </c>
      <c r="H11" s="171">
        <f t="shared" si="1"/>
        <v>169.8</v>
      </c>
      <c r="I11" s="160">
        <f>IFERROR(100/'Skjema total MA'!F11*G11,0)</f>
        <v>3.1521806397742895</v>
      </c>
      <c r="J11" s="308">
        <f t="shared" si="0"/>
        <v>1485.691</v>
      </c>
      <c r="K11" s="309">
        <f t="shared" si="0"/>
        <v>4007.72</v>
      </c>
      <c r="L11" s="428">
        <f t="shared" si="2"/>
        <v>169.8</v>
      </c>
      <c r="M11" s="11">
        <f>IFERROR(100/'Skjema total MA'!I11*K11,0)</f>
        <v>2.8690881886619133</v>
      </c>
      <c r="N11" s="143"/>
    </row>
    <row r="12" spans="1:14" s="43" customFormat="1" ht="15.75" x14ac:dyDescent="0.2">
      <c r="A12" s="41" t="s">
        <v>370</v>
      </c>
      <c r="B12" s="312"/>
      <c r="C12" s="313"/>
      <c r="D12" s="169"/>
      <c r="E12" s="36"/>
      <c r="F12" s="312">
        <v>718.43709000000001</v>
      </c>
      <c r="G12" s="313">
        <v>211.5581</v>
      </c>
      <c r="H12" s="169">
        <f t="shared" si="1"/>
        <v>-70.599999999999994</v>
      </c>
      <c r="I12" s="169">
        <f>IFERROR(100/'Skjema total MA'!F12*G12,0)</f>
        <v>0.20953248439258723</v>
      </c>
      <c r="J12" s="314">
        <f t="shared" si="0"/>
        <v>718.43709000000001</v>
      </c>
      <c r="K12" s="315">
        <f t="shared" si="0"/>
        <v>211.5581</v>
      </c>
      <c r="L12" s="429">
        <f t="shared" si="2"/>
        <v>-70.599999999999994</v>
      </c>
      <c r="M12" s="36">
        <f>IFERROR(100/'Skjema total MA'!I12*K12,0)</f>
        <v>0.20678401325878001</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v>13997.18979</v>
      </c>
      <c r="G22" s="318">
        <v>14663.18449</v>
      </c>
      <c r="H22" s="350">
        <f t="shared" ref="H22:H35" si="3">IF(F22=0, "    ---- ", IF(ABS(ROUND(100/F22*G22-100,1))&lt;999,ROUND(100/F22*G22-100,1),IF(ROUND(100/F22*G22-100,1)&gt;999,999,-999)))</f>
        <v>4.8</v>
      </c>
      <c r="I22" s="11">
        <f>IFERROR(100/'Skjema total MA'!F22*G22,0)</f>
        <v>4.3897198638847765</v>
      </c>
      <c r="J22" s="316">
        <f t="shared" ref="J22:K35" si="4">SUM(B22,F22)</f>
        <v>13997.18979</v>
      </c>
      <c r="K22" s="316">
        <f t="shared" si="4"/>
        <v>14663.18449</v>
      </c>
      <c r="L22" s="427">
        <f t="shared" ref="L22:L35" si="5">IF(J22=0, "    ---- ", IF(ABS(ROUND(100/J22*K22-100,1))&lt;999,ROUND(100/J22*K22-100,1),IF(ROUND(100/J22*K22-100,1)&gt;999,999,-999)))</f>
        <v>4.8</v>
      </c>
      <c r="M22" s="24">
        <f>IFERROR(100/'Skjema total MA'!I22*K22,0)</f>
        <v>1.4256675189096304</v>
      </c>
    </row>
    <row r="23" spans="1:14" ht="15.75" x14ac:dyDescent="0.2">
      <c r="A23" s="583" t="s">
        <v>371</v>
      </c>
      <c r="B23" s="281"/>
      <c r="C23" s="281"/>
      <c r="D23" s="166"/>
      <c r="E23" s="11"/>
      <c r="F23" s="290">
        <v>81</v>
      </c>
      <c r="G23" s="290">
        <v>76.087490000000003</v>
      </c>
      <c r="H23" s="166">
        <f t="shared" si="3"/>
        <v>-6.1</v>
      </c>
      <c r="I23" s="417">
        <f>IFERROR(100/'Skjema total MA'!F23*G23,0)</f>
        <v>0.27441959500553764</v>
      </c>
      <c r="J23" s="290">
        <f t="shared" ref="J23:J26" si="6">SUM(B23,F23)</f>
        <v>81</v>
      </c>
      <c r="K23" s="290">
        <f t="shared" ref="K23:K26" si="7">SUM(C23,G23)</f>
        <v>76.087490000000003</v>
      </c>
      <c r="L23" s="166">
        <f t="shared" si="5"/>
        <v>-6.1</v>
      </c>
      <c r="M23" s="23">
        <f>IFERROR(100/'Skjema total MA'!I23*K23,0)</f>
        <v>2.222395406346625E-2</v>
      </c>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v>13916.18979</v>
      </c>
      <c r="G26" s="290">
        <v>14587.097</v>
      </c>
      <c r="H26" s="166">
        <f t="shared" si="3"/>
        <v>4.8</v>
      </c>
      <c r="I26" s="417">
        <f>IFERROR(100/'Skjema total MA'!F26*G26,0)</f>
        <v>4.9178567841654051</v>
      </c>
      <c r="J26" s="290">
        <f t="shared" si="6"/>
        <v>13916.18979</v>
      </c>
      <c r="K26" s="290">
        <f t="shared" si="7"/>
        <v>14587.097</v>
      </c>
      <c r="L26" s="166">
        <f t="shared" ref="L26" si="8">IF(J26=0, "    ---- ", IF(ABS(ROUND(100/J26*K26-100,1))&lt;999,ROUND(100/J26*K26-100,1),IF(ROUND(100/J26*K26-100,1)&gt;999,999,-999)))</f>
        <v>4.8</v>
      </c>
      <c r="M26" s="23">
        <f>IFERROR(100/'Skjema total MA'!I26*K26,0)</f>
        <v>4.9178567841654051</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v>867819.29160999996</v>
      </c>
      <c r="G29" s="308">
        <v>840067.88107999996</v>
      </c>
      <c r="H29" s="171">
        <f t="shared" si="3"/>
        <v>-3.2</v>
      </c>
      <c r="I29" s="11">
        <f>IFERROR(100/'Skjema total MA'!F29*G29,0)</f>
        <v>4.1819855989526342</v>
      </c>
      <c r="J29" s="236">
        <f t="shared" si="4"/>
        <v>867819.29160999996</v>
      </c>
      <c r="K29" s="236">
        <f t="shared" si="4"/>
        <v>840067.88107999996</v>
      </c>
      <c r="L29" s="428">
        <f t="shared" si="5"/>
        <v>-3.2</v>
      </c>
      <c r="M29" s="24">
        <f>IFERROR(100/'Skjema total MA'!I29*K29,0)</f>
        <v>1.2553577813735284</v>
      </c>
      <c r="N29" s="148"/>
    </row>
    <row r="30" spans="1:14" s="3" customFormat="1" ht="15.75" x14ac:dyDescent="0.2">
      <c r="A30" s="583" t="s">
        <v>371</v>
      </c>
      <c r="B30" s="281"/>
      <c r="C30" s="281"/>
      <c r="D30" s="166"/>
      <c r="E30" s="11"/>
      <c r="F30" s="290">
        <v>120863.39121</v>
      </c>
      <c r="G30" s="290">
        <v>110650.87475</v>
      </c>
      <c r="H30" s="166">
        <f t="shared" si="3"/>
        <v>-8.4</v>
      </c>
      <c r="I30" s="417">
        <f>IFERROR(100/'Skjema total MA'!F30*G30,0)</f>
        <v>2.8021820683125012</v>
      </c>
      <c r="J30" s="290">
        <f t="shared" ref="J30:J33" si="9">SUM(B30,F30)</f>
        <v>120863.39121</v>
      </c>
      <c r="K30" s="290">
        <f t="shared" ref="K30:K33" si="10">SUM(C30,G30)</f>
        <v>110650.87475</v>
      </c>
      <c r="L30" s="166">
        <f t="shared" si="5"/>
        <v>-8.4</v>
      </c>
      <c r="M30" s="23">
        <f>IFERROR(100/'Skjema total MA'!I30*K30,0)</f>
        <v>0.60652966378087803</v>
      </c>
      <c r="N30" s="148"/>
    </row>
    <row r="31" spans="1:14" s="3" customFormat="1" ht="15.75" x14ac:dyDescent="0.2">
      <c r="A31" s="583" t="s">
        <v>372</v>
      </c>
      <c r="B31" s="281"/>
      <c r="C31" s="281"/>
      <c r="D31" s="166"/>
      <c r="E31" s="11"/>
      <c r="F31" s="290">
        <v>646842.26554000005</v>
      </c>
      <c r="G31" s="290">
        <v>579823.62960999995</v>
      </c>
      <c r="H31" s="166">
        <f t="shared" si="3"/>
        <v>-10.4</v>
      </c>
      <c r="I31" s="417">
        <f>IFERROR(100/'Skjema total MA'!F31*G31,0)</f>
        <v>6.7129889898265702</v>
      </c>
      <c r="J31" s="290">
        <f t="shared" si="9"/>
        <v>646842.26554000005</v>
      </c>
      <c r="K31" s="290">
        <f t="shared" si="10"/>
        <v>579823.62960999995</v>
      </c>
      <c r="L31" s="166">
        <f t="shared" si="5"/>
        <v>-10.4</v>
      </c>
      <c r="M31" s="23">
        <f>IFERROR(100/'Skjema total MA'!I31*K31,0)</f>
        <v>1.7504189770576986</v>
      </c>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v>100113.63486000001</v>
      </c>
      <c r="G33" s="290">
        <v>149593.37672</v>
      </c>
      <c r="H33" s="166">
        <f t="shared" si="3"/>
        <v>49.4</v>
      </c>
      <c r="I33" s="417">
        <f>IFERROR(100/'Skjema total MA'!F34*G33,0)</f>
        <v>1332.259105442786</v>
      </c>
      <c r="J33" s="290">
        <f t="shared" si="9"/>
        <v>100113.63486000001</v>
      </c>
      <c r="K33" s="290">
        <f t="shared" si="10"/>
        <v>149593.37672</v>
      </c>
      <c r="L33" s="166">
        <f t="shared" ref="L33" si="11">IF(J33=0, "    ---- ", IF(ABS(ROUND(100/J33*K33-100,1))&lt;999,ROUND(100/J33*K33-100,1),IF(ROUND(100/J33*K33-100,1)&gt;999,999,-999)))</f>
        <v>49.4</v>
      </c>
      <c r="M33" s="23">
        <f>IFERROR(100/'Skjema total MA'!I34*K33,0)</f>
        <v>846.61857215432428</v>
      </c>
    </row>
    <row r="34" spans="1:14" ht="15.75" x14ac:dyDescent="0.2">
      <c r="A34" s="13" t="s">
        <v>369</v>
      </c>
      <c r="B34" s="236"/>
      <c r="C34" s="309"/>
      <c r="D34" s="171"/>
      <c r="E34" s="11"/>
      <c r="F34" s="308">
        <v>836.32799999999997</v>
      </c>
      <c r="G34" s="309">
        <v>2725.0079999999998</v>
      </c>
      <c r="H34" s="171">
        <f t="shared" si="3"/>
        <v>225.8</v>
      </c>
      <c r="I34" s="11">
        <f>IFERROR(100/'Skjema total MA'!F34*G34,0)</f>
        <v>24.268565895130727</v>
      </c>
      <c r="J34" s="236">
        <f t="shared" si="4"/>
        <v>836.32799999999997</v>
      </c>
      <c r="K34" s="236">
        <f t="shared" si="4"/>
        <v>2725.0079999999998</v>
      </c>
      <c r="L34" s="428">
        <f t="shared" si="5"/>
        <v>225.8</v>
      </c>
      <c r="M34" s="24">
        <f>IFERROR(100/'Skjema total MA'!I34*K34,0)</f>
        <v>15.422089083444488</v>
      </c>
    </row>
    <row r="35" spans="1:14" ht="15.75" x14ac:dyDescent="0.2">
      <c r="A35" s="13" t="s">
        <v>370</v>
      </c>
      <c r="B35" s="236"/>
      <c r="C35" s="309"/>
      <c r="D35" s="171"/>
      <c r="E35" s="11"/>
      <c r="F35" s="308">
        <v>2367.2594300000001</v>
      </c>
      <c r="G35" s="309">
        <v>2082.3435899999999</v>
      </c>
      <c r="H35" s="171">
        <f t="shared" si="3"/>
        <v>-12</v>
      </c>
      <c r="I35" s="11">
        <f>IFERROR(100/'Skjema total MA'!F35*G35,0)</f>
        <v>4.5740267061739726</v>
      </c>
      <c r="J35" s="236">
        <f t="shared" si="4"/>
        <v>2367.2594300000001</v>
      </c>
      <c r="K35" s="236">
        <f t="shared" si="4"/>
        <v>2082.3435899999999</v>
      </c>
      <c r="L35" s="428">
        <f t="shared" si="5"/>
        <v>-12</v>
      </c>
      <c r="M35" s="24">
        <f>IFERROR(100/'Skjema total MA'!I35*K35,0)</f>
        <v>8.3081549136196085</v>
      </c>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v>0.78895999999999999</v>
      </c>
      <c r="G66" s="352">
        <v>39.948999999999998</v>
      </c>
      <c r="H66" s="350">
        <f t="shared" ref="H66:H111" si="12">IF(F66=0, "    ---- ", IF(ABS(ROUND(100/F66*G66-100,1))&lt;999,ROUND(100/F66*G66-100,1),IF(ROUND(100/F66*G66-100,1)&gt;999,999,-999)))</f>
        <v>999</v>
      </c>
      <c r="I66" s="11">
        <f>IFERROR(100/'Skjema total MA'!F66*G66,0)</f>
        <v>4.5432638558995847E-4</v>
      </c>
      <c r="J66" s="309">
        <f t="shared" ref="J66:K86" si="13">SUM(B66,F66)</f>
        <v>0.78895999999999999</v>
      </c>
      <c r="K66" s="316">
        <f t="shared" si="13"/>
        <v>39.948999999999998</v>
      </c>
      <c r="L66" s="428">
        <f t="shared" ref="L66:L111" si="14">IF(J66=0, "    ---- ", IF(ABS(ROUND(100/J66*K66-100,1))&lt;999,ROUND(100/J66*K66-100,1),IF(ROUND(100/J66*K66-100,1)&gt;999,999,-999)))</f>
        <v>999</v>
      </c>
      <c r="M66" s="11">
        <f>IFERROR(100/'Skjema total MA'!I66*K66,0)</f>
        <v>3.2533370080585928E-4</v>
      </c>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v>0.78895999999999999</v>
      </c>
      <c r="G68" s="293">
        <v>39.948999999999998</v>
      </c>
      <c r="H68" s="166">
        <f t="shared" si="12"/>
        <v>999</v>
      </c>
      <c r="I68" s="27">
        <f>IFERROR(100/'Skjema total MA'!F68*G68,0)</f>
        <v>4.7242642343401422E-4</v>
      </c>
      <c r="J68" s="287">
        <f t="shared" si="13"/>
        <v>0.78895999999999999</v>
      </c>
      <c r="K68" s="44">
        <f t="shared" si="13"/>
        <v>39.948999999999998</v>
      </c>
      <c r="L68" s="254">
        <f t="shared" si="14"/>
        <v>999</v>
      </c>
      <c r="M68" s="27">
        <f>IFERROR(100/'Skjema total MA'!I68*K68,0)</f>
        <v>4.6723112088312938E-4</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v>0.78895999999999999</v>
      </c>
      <c r="G86" s="145">
        <v>39.948999999999998</v>
      </c>
      <c r="H86" s="166">
        <f t="shared" si="12"/>
        <v>999</v>
      </c>
      <c r="I86" s="27">
        <f>IFERROR(100/'Skjema total MA'!F86*G86,0)</f>
        <v>0.79328453750764827</v>
      </c>
      <c r="J86" s="287">
        <f t="shared" si="13"/>
        <v>0.78895999999999999</v>
      </c>
      <c r="K86" s="44">
        <f t="shared" si="13"/>
        <v>39.948999999999998</v>
      </c>
      <c r="L86" s="254">
        <f t="shared" si="14"/>
        <v>999</v>
      </c>
      <c r="M86" s="27">
        <f>IFERROR(100/'Skjema total MA'!I86*K86,0)</f>
        <v>3.4710888774215992E-2</v>
      </c>
    </row>
    <row r="87" spans="1:13" ht="15.75" x14ac:dyDescent="0.2">
      <c r="A87" s="13" t="s">
        <v>368</v>
      </c>
      <c r="B87" s="353"/>
      <c r="C87" s="353"/>
      <c r="D87" s="171"/>
      <c r="E87" s="11"/>
      <c r="F87" s="352">
        <v>543069.67675999994</v>
      </c>
      <c r="G87" s="352">
        <v>612679.44524000003</v>
      </c>
      <c r="H87" s="171">
        <f t="shared" si="12"/>
        <v>12.8</v>
      </c>
      <c r="I87" s="11">
        <f>IFERROR(100/'Skjema total MA'!F87*G87,0)</f>
        <v>0.21861184711556794</v>
      </c>
      <c r="J87" s="309">
        <f t="shared" ref="J87:K111" si="15">SUM(B87,F87)</f>
        <v>543069.67675999994</v>
      </c>
      <c r="K87" s="236">
        <f t="shared" si="15"/>
        <v>612679.44524000003</v>
      </c>
      <c r="L87" s="428">
        <f t="shared" si="14"/>
        <v>12.8</v>
      </c>
      <c r="M87" s="11">
        <f>IFERROR(100/'Skjema total MA'!I87*K87,0)</f>
        <v>9.1048791987053415E-2</v>
      </c>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v>543069.67675999994</v>
      </c>
      <c r="G89" s="145">
        <v>612679.44524000003</v>
      </c>
      <c r="H89" s="166">
        <f t="shared" si="12"/>
        <v>12.8</v>
      </c>
      <c r="I89" s="27">
        <f>IFERROR(100/'Skjema total MA'!F89*G89,0)</f>
        <v>0.21991625129030412</v>
      </c>
      <c r="J89" s="287">
        <f t="shared" si="15"/>
        <v>543069.67675999994</v>
      </c>
      <c r="K89" s="44">
        <f t="shared" si="15"/>
        <v>612679.44524000003</v>
      </c>
      <c r="L89" s="254">
        <f t="shared" si="14"/>
        <v>12.8</v>
      </c>
      <c r="M89" s="27">
        <f>IFERROR(100/'Skjema total MA'!I89*K89,0)</f>
        <v>0.21749584739044917</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v>543069.67675999994</v>
      </c>
      <c r="G107" s="145">
        <v>612679.44524000003</v>
      </c>
      <c r="H107" s="166">
        <f t="shared" si="12"/>
        <v>12.8</v>
      </c>
      <c r="I107" s="27">
        <f>IFERROR(100/'Skjema total MA'!F107*G107,0)</f>
        <v>78.330234293063313</v>
      </c>
      <c r="J107" s="287">
        <f t="shared" si="15"/>
        <v>543069.67675999994</v>
      </c>
      <c r="K107" s="44">
        <f t="shared" si="15"/>
        <v>612679.44524000003</v>
      </c>
      <c r="L107" s="254">
        <f t="shared" si="14"/>
        <v>12.8</v>
      </c>
      <c r="M107" s="27">
        <f>IFERROR(100/'Skjema total MA'!I107*K107,0)</f>
        <v>11.402179620895263</v>
      </c>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v>376298.41360999999</v>
      </c>
      <c r="G109" s="234">
        <v>457028.89337000001</v>
      </c>
      <c r="H109" s="166">
        <f t="shared" si="12"/>
        <v>21.5</v>
      </c>
      <c r="I109" s="27">
        <f>IFERROR(100/'Skjema total MA'!F109*G109,0)</f>
        <v>0.46997603771792823</v>
      </c>
      <c r="J109" s="287">
        <f t="shared" si="15"/>
        <v>376298.41360999999</v>
      </c>
      <c r="K109" s="44">
        <f t="shared" si="15"/>
        <v>457028.89337000001</v>
      </c>
      <c r="L109" s="254">
        <f t="shared" si="14"/>
        <v>21.5</v>
      </c>
      <c r="M109" s="27">
        <f>IFERROR(100/'Skjema total MA'!I109*K109,0)</f>
        <v>0.46478262581975421</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v>21960.983</v>
      </c>
      <c r="G111" s="159">
        <v>31970.420999999998</v>
      </c>
      <c r="H111" s="171">
        <f t="shared" si="12"/>
        <v>45.6</v>
      </c>
      <c r="I111" s="11">
        <f>IFERROR(100/'Skjema total MA'!F111*G111,0)</f>
        <v>0.358441564575951</v>
      </c>
      <c r="J111" s="309">
        <f t="shared" si="15"/>
        <v>21960.983</v>
      </c>
      <c r="K111" s="236">
        <f t="shared" si="15"/>
        <v>31970.420999999998</v>
      </c>
      <c r="L111" s="428">
        <f t="shared" si="14"/>
        <v>45.6</v>
      </c>
      <c r="M111" s="11">
        <f>IFERROR(100/'Skjema total MA'!I111*K111,0)</f>
        <v>0.3432470408136658</v>
      </c>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v>21960.983</v>
      </c>
      <c r="G113" s="145">
        <v>31970.420999999998</v>
      </c>
      <c r="H113" s="166">
        <f t="shared" ref="H113:H125" si="16">IF(F113=0, "    ---- ", IF(ABS(ROUND(100/F113*G113-100,1))&lt;999,ROUND(100/F113*G113-100,1),IF(ROUND(100/F113*G113-100,1)&gt;999,999,-999)))</f>
        <v>45.6</v>
      </c>
      <c r="I113" s="27">
        <f>IFERROR(100/'Skjema total MA'!F113*G113,0)</f>
        <v>0.36134595100710709</v>
      </c>
      <c r="J113" s="287">
        <f t="shared" ref="J113:K125" si="17">SUM(B113,F113)</f>
        <v>21960.983</v>
      </c>
      <c r="K113" s="44">
        <f t="shared" si="17"/>
        <v>31970.420999999998</v>
      </c>
      <c r="L113" s="254">
        <f t="shared" ref="L113:L125" si="18">IF(J113=0, "    ---- ", IF(ABS(ROUND(100/J113*K113-100,1))&lt;999,ROUND(100/J113*K113-100,1),IF(ROUND(100/J113*K113-100,1)&gt;999,999,-999)))</f>
        <v>45.6</v>
      </c>
      <c r="M113" s="27">
        <f>IFERROR(100/'Skjema total MA'!I113*K113,0)</f>
        <v>0.36117537241633352</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v>21960.983</v>
      </c>
      <c r="G117" s="234">
        <v>31970.420999999998</v>
      </c>
      <c r="H117" s="166">
        <f t="shared" si="16"/>
        <v>45.6</v>
      </c>
      <c r="I117" s="27">
        <f>IFERROR(100/'Skjema total MA'!F117*G117,0)</f>
        <v>3.8943557147027357</v>
      </c>
      <c r="J117" s="287">
        <f t="shared" si="17"/>
        <v>21960.983</v>
      </c>
      <c r="K117" s="44">
        <f t="shared" si="17"/>
        <v>31970.420999999998</v>
      </c>
      <c r="L117" s="254">
        <f t="shared" si="18"/>
        <v>45.6</v>
      </c>
      <c r="M117" s="27">
        <f>IFERROR(100/'Skjema total MA'!I117*K117,0)</f>
        <v>3.8943557147027357</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v>2712.7031099999999</v>
      </c>
      <c r="G119" s="159">
        <v>2229.94398</v>
      </c>
      <c r="H119" s="171">
        <f t="shared" si="16"/>
        <v>-17.8</v>
      </c>
      <c r="I119" s="11">
        <f>IFERROR(100/'Skjema total MA'!F119*G119,0)</f>
        <v>2.5824781494609962E-2</v>
      </c>
      <c r="J119" s="309">
        <f t="shared" si="17"/>
        <v>2712.7031099999999</v>
      </c>
      <c r="K119" s="236">
        <f t="shared" si="17"/>
        <v>2229.94398</v>
      </c>
      <c r="L119" s="428">
        <f t="shared" si="18"/>
        <v>-17.8</v>
      </c>
      <c r="M119" s="11">
        <f>IFERROR(100/'Skjema total MA'!I119*K119,0)</f>
        <v>2.4437151769494528E-2</v>
      </c>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v>2712.7031099999999</v>
      </c>
      <c r="G121" s="145">
        <v>2229.94398</v>
      </c>
      <c r="H121" s="166">
        <f t="shared" si="16"/>
        <v>-17.8</v>
      </c>
      <c r="I121" s="27">
        <f>IFERROR(100/'Skjema total MA'!F121*G121,0)</f>
        <v>2.5824781494609962E-2</v>
      </c>
      <c r="J121" s="287">
        <f t="shared" si="17"/>
        <v>2712.7031099999999</v>
      </c>
      <c r="K121" s="44">
        <f t="shared" si="17"/>
        <v>2229.94398</v>
      </c>
      <c r="L121" s="254">
        <f t="shared" si="18"/>
        <v>-17.8</v>
      </c>
      <c r="M121" s="27">
        <f>IFERROR(100/'Skjema total MA'!I121*K121,0)</f>
        <v>2.5816006720562862E-2</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v>2712.7031099999999</v>
      </c>
      <c r="G125" s="234">
        <v>2229.94398</v>
      </c>
      <c r="H125" s="166">
        <f t="shared" si="16"/>
        <v>-17.8</v>
      </c>
      <c r="I125" s="27">
        <f>IFERROR(100/'Skjema total MA'!F125*G125,0)</f>
        <v>0.27182963720424924</v>
      </c>
      <c r="J125" s="287">
        <f t="shared" si="17"/>
        <v>2712.7031099999999</v>
      </c>
      <c r="K125" s="44">
        <f t="shared" si="17"/>
        <v>2229.94398</v>
      </c>
      <c r="L125" s="254">
        <f t="shared" si="18"/>
        <v>-17.8</v>
      </c>
      <c r="M125" s="27">
        <f>IFERROR(100/'Skjema total MA'!I125*K125,0)</f>
        <v>0.27182416060185044</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319" priority="132">
      <formula>kvartal &lt; 4</formula>
    </cfRule>
  </conditionalFormatting>
  <conditionalFormatting sqref="B115">
    <cfRule type="expression" dxfId="318" priority="76">
      <formula>kvartal &lt; 4</formula>
    </cfRule>
  </conditionalFormatting>
  <conditionalFormatting sqref="C115">
    <cfRule type="expression" dxfId="317" priority="75">
      <formula>kvartal &lt; 4</formula>
    </cfRule>
  </conditionalFormatting>
  <conditionalFormatting sqref="B123">
    <cfRule type="expression" dxfId="316" priority="74">
      <formula>kvartal &lt; 4</formula>
    </cfRule>
  </conditionalFormatting>
  <conditionalFormatting sqref="C123">
    <cfRule type="expression" dxfId="315" priority="73">
      <formula>kvartal &lt; 4</formula>
    </cfRule>
  </conditionalFormatting>
  <conditionalFormatting sqref="F115">
    <cfRule type="expression" dxfId="314" priority="58">
      <formula>kvartal &lt; 4</formula>
    </cfRule>
  </conditionalFormatting>
  <conditionalFormatting sqref="G115">
    <cfRule type="expression" dxfId="313" priority="57">
      <formula>kvartal &lt; 4</formula>
    </cfRule>
  </conditionalFormatting>
  <conditionalFormatting sqref="F123:G123">
    <cfRule type="expression" dxfId="312" priority="56">
      <formula>kvartal &lt; 4</formula>
    </cfRule>
  </conditionalFormatting>
  <conditionalFormatting sqref="J115:K115">
    <cfRule type="expression" dxfId="311" priority="32">
      <formula>kvartal &lt; 4</formula>
    </cfRule>
  </conditionalFormatting>
  <conditionalFormatting sqref="J123:K123">
    <cfRule type="expression" dxfId="310" priority="31">
      <formula>kvartal &lt; 4</formula>
    </cfRule>
  </conditionalFormatting>
  <conditionalFormatting sqref="A50:A52">
    <cfRule type="expression" dxfId="309" priority="12">
      <formula>kvartal &lt; 4</formula>
    </cfRule>
  </conditionalFormatting>
  <conditionalFormatting sqref="A69:A74">
    <cfRule type="expression" dxfId="308" priority="10">
      <formula>kvartal &lt; 4</formula>
    </cfRule>
  </conditionalFormatting>
  <conditionalFormatting sqref="A80:A85">
    <cfRule type="expression" dxfId="307" priority="9">
      <formula>kvartal &lt; 4</formula>
    </cfRule>
  </conditionalFormatting>
  <conditionalFormatting sqref="A90:A95">
    <cfRule type="expression" dxfId="306" priority="6">
      <formula>kvartal &lt; 4</formula>
    </cfRule>
  </conditionalFormatting>
  <conditionalFormatting sqref="A101:A106">
    <cfRule type="expression" dxfId="305" priority="5">
      <formula>kvartal &lt; 4</formula>
    </cfRule>
  </conditionalFormatting>
  <conditionalFormatting sqref="A115">
    <cfRule type="expression" dxfId="304" priority="4">
      <formula>kvartal &lt; 4</formula>
    </cfRule>
  </conditionalFormatting>
  <conditionalFormatting sqref="A123">
    <cfRule type="expression" dxfId="303" priority="3">
      <formula>kvartal &lt; 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N144"/>
  <sheetViews>
    <sheetView showGridLines="0" zoomScaleNormal="100" workbookViewId="0">
      <selection activeCell="B1" sqref="B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134</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219573.86207</v>
      </c>
      <c r="C7" s="307">
        <v>1939.9349400000001</v>
      </c>
      <c r="D7" s="350">
        <f>IF(B7=0, "    ---- ", IF(ABS(ROUND(100/B7*C7-100,1))&lt;999,ROUND(100/B7*C7-100,1),IF(ROUND(100/B7*C7-100,1)&gt;999,999,-999)))</f>
        <v>-99.1</v>
      </c>
      <c r="E7" s="11">
        <f>IFERROR(100/'Skjema total MA'!C7*C7,0)</f>
        <v>0.12479358782365307</v>
      </c>
      <c r="F7" s="306">
        <v>96737.091490000006</v>
      </c>
      <c r="G7" s="307">
        <v>112724.65820999999</v>
      </c>
      <c r="H7" s="350">
        <f>IF(F7=0, "    ---- ", IF(ABS(ROUND(100/F7*G7-100,1))&lt;999,ROUND(100/F7*G7-100,1),IF(ROUND(100/F7*G7-100,1)&gt;999,999,-999)))</f>
        <v>16.5</v>
      </c>
      <c r="I7" s="160">
        <f>IFERROR(100/'Skjema total MA'!F7*G7,0)</f>
        <v>4.45106172743131</v>
      </c>
      <c r="J7" s="308">
        <f t="shared" ref="J7:K12" si="0">SUM(B7,F7)</f>
        <v>316310.95355999999</v>
      </c>
      <c r="K7" s="309">
        <f t="shared" si="0"/>
        <v>114664.59315</v>
      </c>
      <c r="L7" s="427">
        <f>IF(J7=0, "    ---- ", IF(ABS(ROUND(100/J7*K7-100,1))&lt;999,ROUND(100/J7*K7-100,1),IF(ROUND(100/J7*K7-100,1)&gt;999,999,-999)))</f>
        <v>-63.7</v>
      </c>
      <c r="M7" s="11">
        <f>IFERROR(100/'Skjema total MA'!I7*K7,0)</f>
        <v>2.8055594947956624</v>
      </c>
    </row>
    <row r="8" spans="1:14" ht="15.75" x14ac:dyDescent="0.2">
      <c r="A8" s="21" t="s">
        <v>25</v>
      </c>
      <c r="B8" s="281">
        <v>196505.597617661</v>
      </c>
      <c r="C8" s="282">
        <v>1564.9952900000001</v>
      </c>
      <c r="D8" s="166">
        <f t="shared" ref="D8:D10" si="1">IF(B8=0, "    ---- ", IF(ABS(ROUND(100/B8*C8-100,1))&lt;999,ROUND(100/B8*C8-100,1),IF(ROUND(100/B8*C8-100,1)&gt;999,999,-999)))</f>
        <v>-99.2</v>
      </c>
      <c r="E8" s="27">
        <f>IFERROR(100/'Skjema total MA'!C8*C8,0)</f>
        <v>0.15087878671363492</v>
      </c>
      <c r="F8" s="285"/>
      <c r="G8" s="286"/>
      <c r="H8" s="166"/>
      <c r="I8" s="175"/>
      <c r="J8" s="234">
        <f t="shared" si="0"/>
        <v>196505.597617661</v>
      </c>
      <c r="K8" s="287">
        <f t="shared" si="0"/>
        <v>1564.9952900000001</v>
      </c>
      <c r="L8" s="166">
        <f t="shared" ref="L8:L9" si="2">IF(J8=0, "    ---- ", IF(ABS(ROUND(100/J8*K8-100,1))&lt;999,ROUND(100/J8*K8-100,1),IF(ROUND(100/J8*K8-100,1)&gt;999,999,-999)))</f>
        <v>-99.2</v>
      </c>
      <c r="M8" s="27">
        <f>IFERROR(100/'Skjema total MA'!I8*K8,0)</f>
        <v>0.15087878671363492</v>
      </c>
    </row>
    <row r="9" spans="1:14" ht="15.75" x14ac:dyDescent="0.2">
      <c r="A9" s="21" t="s">
        <v>24</v>
      </c>
      <c r="B9" s="281">
        <v>23033.225723215899</v>
      </c>
      <c r="C9" s="282">
        <v>656.98141999999996</v>
      </c>
      <c r="D9" s="166">
        <f t="shared" si="1"/>
        <v>-97.1</v>
      </c>
      <c r="E9" s="27">
        <f>IFERROR(100/'Skjema total MA'!C9*C9,0)</f>
        <v>0.19705858206430801</v>
      </c>
      <c r="F9" s="285"/>
      <c r="G9" s="286"/>
      <c r="H9" s="166"/>
      <c r="I9" s="175"/>
      <c r="J9" s="234">
        <f t="shared" si="0"/>
        <v>23033.225723215899</v>
      </c>
      <c r="K9" s="287">
        <f t="shared" si="0"/>
        <v>656.98141999999996</v>
      </c>
      <c r="L9" s="166">
        <f t="shared" si="2"/>
        <v>-97.1</v>
      </c>
      <c r="M9" s="27">
        <f>IFERROR(100/'Skjema total MA'!I9*K9,0)</f>
        <v>0.19705858206430801</v>
      </c>
    </row>
    <row r="10" spans="1:14" ht="15.75" x14ac:dyDescent="0.2">
      <c r="A10" s="13" t="s">
        <v>368</v>
      </c>
      <c r="B10" s="310">
        <v>843833.30564000004</v>
      </c>
      <c r="C10" s="311">
        <v>461647.64171</v>
      </c>
      <c r="D10" s="171">
        <f t="shared" si="1"/>
        <v>-45.3</v>
      </c>
      <c r="E10" s="11">
        <f>IFERROR(100/'Skjema total MA'!C10*C10,0)</f>
        <v>2.4487104276125931</v>
      </c>
      <c r="F10" s="310">
        <v>2365547.4828400002</v>
      </c>
      <c r="G10" s="311">
        <v>2343013.2545799999</v>
      </c>
      <c r="H10" s="171">
        <f t="shared" ref="H10:H12" si="3">IF(F10=0, "    ---- ", IF(ABS(ROUND(100/F10*G10-100,1))&lt;999,ROUND(100/F10*G10-100,1),IF(ROUND(100/F10*G10-100,1)&gt;999,999,-999)))</f>
        <v>-1</v>
      </c>
      <c r="I10" s="160">
        <f>IFERROR(100/'Skjema total MA'!F10*G10,0)</f>
        <v>5.0268436758867114</v>
      </c>
      <c r="J10" s="308">
        <f t="shared" si="0"/>
        <v>3209380.7884800001</v>
      </c>
      <c r="K10" s="309">
        <f t="shared" si="0"/>
        <v>2804660.8962900001</v>
      </c>
      <c r="L10" s="428">
        <f t="shared" ref="L10:L12" si="4">IF(J10=0, "    ---- ", IF(ABS(ROUND(100/J10*K10-100,1))&lt;999,ROUND(100/J10*K10-100,1),IF(ROUND(100/J10*K10-100,1)&gt;999,999,-999)))</f>
        <v>-12.6</v>
      </c>
      <c r="M10" s="11">
        <f>IFERROR(100/'Skjema total MA'!I10*K10,0)</f>
        <v>4.2843640257992659</v>
      </c>
    </row>
    <row r="11" spans="1:14" s="43" customFormat="1" ht="15.75" x14ac:dyDescent="0.2">
      <c r="A11" s="13" t="s">
        <v>369</v>
      </c>
      <c r="B11" s="310"/>
      <c r="C11" s="311"/>
      <c r="D11" s="171"/>
      <c r="E11" s="11"/>
      <c r="F11" s="310">
        <v>11858.34188</v>
      </c>
      <c r="G11" s="311">
        <v>18566.283609999999</v>
      </c>
      <c r="H11" s="171">
        <f t="shared" si="3"/>
        <v>56.6</v>
      </c>
      <c r="I11" s="160">
        <f>IFERROR(100/'Skjema total MA'!F11*G11,0)</f>
        <v>14.602886366313191</v>
      </c>
      <c r="J11" s="308">
        <f t="shared" si="0"/>
        <v>11858.34188</v>
      </c>
      <c r="K11" s="309">
        <f t="shared" si="0"/>
        <v>18566.283609999999</v>
      </c>
      <c r="L11" s="428">
        <f t="shared" si="4"/>
        <v>56.6</v>
      </c>
      <c r="M11" s="11">
        <f>IFERROR(100/'Skjema total MA'!I11*K11,0)</f>
        <v>13.291423805255423</v>
      </c>
      <c r="N11" s="143"/>
    </row>
    <row r="12" spans="1:14" s="43" customFormat="1" ht="15.75" x14ac:dyDescent="0.2">
      <c r="A12" s="41" t="s">
        <v>370</v>
      </c>
      <c r="B12" s="312"/>
      <c r="C12" s="313"/>
      <c r="D12" s="169"/>
      <c r="E12" s="36"/>
      <c r="F12" s="312">
        <v>13162.623729999999</v>
      </c>
      <c r="G12" s="313">
        <v>2172.5895300000002</v>
      </c>
      <c r="H12" s="169">
        <f t="shared" si="3"/>
        <v>-83.5</v>
      </c>
      <c r="I12" s="169">
        <f>IFERROR(100/'Skjema total MA'!F12*G12,0)</f>
        <v>2.1517875315869421</v>
      </c>
      <c r="J12" s="314">
        <f t="shared" si="0"/>
        <v>13162.623729999999</v>
      </c>
      <c r="K12" s="315">
        <f t="shared" si="0"/>
        <v>2172.5895300000002</v>
      </c>
      <c r="L12" s="429">
        <f t="shared" si="4"/>
        <v>-83.5</v>
      </c>
      <c r="M12" s="36">
        <f>IFERROR(100/'Skjema total MA'!I12*K12,0)</f>
        <v>2.123562190137871</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205972.27897000001</v>
      </c>
      <c r="C22" s="310">
        <v>807.47190999999998</v>
      </c>
      <c r="D22" s="350">
        <f t="shared" ref="D22:D35" si="5">IF(B22=0, "    ---- ", IF(ABS(ROUND(100/B22*C22-100,1))&lt;999,ROUND(100/B22*C22-100,1),IF(ROUND(100/B22*C22-100,1)&gt;999,999,-999)))</f>
        <v>-99.6</v>
      </c>
      <c r="E22" s="11">
        <f>IFERROR(100/'Skjema total MA'!C22*C22,0)</f>
        <v>0.11627017243653542</v>
      </c>
      <c r="F22" s="318">
        <v>66307.549209999997</v>
      </c>
      <c r="G22" s="318">
        <v>69122.561220000003</v>
      </c>
      <c r="H22" s="350">
        <f t="shared" ref="H22:H35" si="6">IF(F22=0, "    ---- ", IF(ABS(ROUND(100/F22*G22-100,1))&lt;999,ROUND(100/F22*G22-100,1),IF(ROUND(100/F22*G22-100,1)&gt;999,999,-999)))</f>
        <v>4.2</v>
      </c>
      <c r="I22" s="11">
        <f>IFERROR(100/'Skjema total MA'!F22*G22,0)</f>
        <v>20.693232103637371</v>
      </c>
      <c r="J22" s="316">
        <f t="shared" ref="J22:K35" si="7">SUM(B22,F22)</f>
        <v>272279.82818000001</v>
      </c>
      <c r="K22" s="316">
        <f t="shared" si="7"/>
        <v>69930.033129999996</v>
      </c>
      <c r="L22" s="427">
        <f t="shared" ref="L22:L35" si="8">IF(J22=0, "    ---- ", IF(ABS(ROUND(100/J22*K22-100,1))&lt;999,ROUND(100/J22*K22-100,1),IF(ROUND(100/J22*K22-100,1)&gt;999,999,-999)))</f>
        <v>-74.3</v>
      </c>
      <c r="M22" s="24">
        <f>IFERROR(100/'Skjema total MA'!I22*K22,0)</f>
        <v>6.7991354059349591</v>
      </c>
    </row>
    <row r="23" spans="1:14" ht="15.75" x14ac:dyDescent="0.2">
      <c r="A23" s="583" t="s">
        <v>371</v>
      </c>
      <c r="B23" s="281">
        <v>204345.36081394501</v>
      </c>
      <c r="C23" s="281">
        <v>802.61585000000002</v>
      </c>
      <c r="D23" s="166">
        <f t="shared" si="5"/>
        <v>-99.6</v>
      </c>
      <c r="E23" s="11">
        <f>IFERROR(100/'Skjema total MA'!C23*C23,0)</f>
        <v>0.25508994973473581</v>
      </c>
      <c r="F23" s="290">
        <v>2098.6700500000002</v>
      </c>
      <c r="G23" s="290">
        <v>1201.5116499999999</v>
      </c>
      <c r="H23" s="166">
        <f t="shared" si="6"/>
        <v>-42.7</v>
      </c>
      <c r="I23" s="417">
        <f>IFERROR(100/'Skjema total MA'!F23*G23,0)</f>
        <v>4.3334106616926809</v>
      </c>
      <c r="J23" s="290">
        <f t="shared" ref="J23:J26" si="9">SUM(B23,F23)</f>
        <v>206444.03086394499</v>
      </c>
      <c r="K23" s="290">
        <f t="shared" ref="K23:K26" si="10">SUM(C23,G23)</f>
        <v>2004.1275000000001</v>
      </c>
      <c r="L23" s="166">
        <f t="shared" si="8"/>
        <v>-99</v>
      </c>
      <c r="M23" s="23">
        <f>IFERROR(100/'Skjema total MA'!I23*K23,0)</f>
        <v>0.58537398851413625</v>
      </c>
    </row>
    <row r="24" spans="1:14" ht="15.75" x14ac:dyDescent="0.2">
      <c r="A24" s="583" t="s">
        <v>372</v>
      </c>
      <c r="B24" s="281">
        <v>1626.91815605477</v>
      </c>
      <c r="C24" s="281">
        <v>4.8560600000000003</v>
      </c>
      <c r="D24" s="166">
        <f t="shared" si="5"/>
        <v>-99.7</v>
      </c>
      <c r="E24" s="11">
        <f>IFERROR(100/'Skjema total MA'!C24*C24,0)</f>
        <v>6.5033624499575712E-2</v>
      </c>
      <c r="F24" s="290">
        <v>-1.09139364212751E-14</v>
      </c>
      <c r="G24" s="290">
        <v>433.54450000000003</v>
      </c>
      <c r="H24" s="166">
        <f t="shared" si="6"/>
        <v>-999</v>
      </c>
      <c r="I24" s="417">
        <f>IFERROR(100/'Skjema total MA'!F24*G24,0)</f>
        <v>79.858847627091023</v>
      </c>
      <c r="J24" s="290">
        <f t="shared" si="9"/>
        <v>1626.91815605477</v>
      </c>
      <c r="K24" s="290">
        <f t="shared" si="10"/>
        <v>438.40056000000004</v>
      </c>
      <c r="L24" s="166">
        <f t="shared" si="8"/>
        <v>-73.099999999999994</v>
      </c>
      <c r="M24" s="23">
        <f>IFERROR(100/'Skjema total MA'!I24*K24,0)</f>
        <v>5.4732425101168962</v>
      </c>
    </row>
    <row r="25" spans="1:14" ht="15.75" x14ac:dyDescent="0.2">
      <c r="A25" s="583" t="s">
        <v>373</v>
      </c>
      <c r="B25" s="281"/>
      <c r="C25" s="281"/>
      <c r="D25" s="166"/>
      <c r="E25" s="11"/>
      <c r="F25" s="290">
        <v>2337.5184300000001</v>
      </c>
      <c r="G25" s="290">
        <v>2024.9713200000001</v>
      </c>
      <c r="H25" s="166">
        <f t="shared" si="6"/>
        <v>-13.4</v>
      </c>
      <c r="I25" s="417">
        <f>IFERROR(100/'Skjema total MA'!F25*G25,0)</f>
        <v>22.130535831947675</v>
      </c>
      <c r="J25" s="290">
        <f t="shared" si="9"/>
        <v>2337.5184300000001</v>
      </c>
      <c r="K25" s="290">
        <f t="shared" si="10"/>
        <v>2024.9713200000001</v>
      </c>
      <c r="L25" s="166">
        <f t="shared" si="8"/>
        <v>-13.4</v>
      </c>
      <c r="M25" s="23">
        <f>IFERROR(100/'Skjema total MA'!I25*K25,0)</f>
        <v>10.444929278966388</v>
      </c>
    </row>
    <row r="26" spans="1:14" ht="15.75" x14ac:dyDescent="0.2">
      <c r="A26" s="583" t="s">
        <v>374</v>
      </c>
      <c r="B26" s="281"/>
      <c r="C26" s="281"/>
      <c r="D26" s="166"/>
      <c r="E26" s="11"/>
      <c r="F26" s="290">
        <v>61871.36073</v>
      </c>
      <c r="G26" s="290">
        <v>65462.533750000002</v>
      </c>
      <c r="H26" s="166">
        <f t="shared" si="6"/>
        <v>5.8</v>
      </c>
      <c r="I26" s="417">
        <f>IFERROR(100/'Skjema total MA'!F26*G26,0)</f>
        <v>22.069872141872665</v>
      </c>
      <c r="J26" s="290">
        <f t="shared" si="9"/>
        <v>61871.36073</v>
      </c>
      <c r="K26" s="290">
        <f t="shared" si="10"/>
        <v>65462.533750000002</v>
      </c>
      <c r="L26" s="166">
        <f t="shared" si="8"/>
        <v>5.8</v>
      </c>
      <c r="M26" s="23">
        <f>IFERROR(100/'Skjema total MA'!I26*K26,0)</f>
        <v>22.069872141872665</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134981.11388116801</v>
      </c>
      <c r="C28" s="287">
        <v>0</v>
      </c>
      <c r="D28" s="166">
        <f t="shared" si="5"/>
        <v>-100</v>
      </c>
      <c r="E28" s="11">
        <f>IFERROR(100/'Skjema total MA'!C28*C28,0)</f>
        <v>0</v>
      </c>
      <c r="F28" s="234"/>
      <c r="G28" s="287"/>
      <c r="H28" s="166"/>
      <c r="I28" s="27"/>
      <c r="J28" s="44">
        <f t="shared" si="7"/>
        <v>134981.11388116801</v>
      </c>
      <c r="K28" s="44">
        <f t="shared" si="7"/>
        <v>0</v>
      </c>
      <c r="L28" s="254">
        <f t="shared" si="8"/>
        <v>-100</v>
      </c>
      <c r="M28" s="23">
        <f>IFERROR(100/'Skjema total MA'!I28*K28,0)</f>
        <v>0</v>
      </c>
    </row>
    <row r="29" spans="1:14" s="3" customFormat="1" ht="15.75" x14ac:dyDescent="0.2">
      <c r="A29" s="13" t="s">
        <v>368</v>
      </c>
      <c r="B29" s="236">
        <v>5384724.0111199999</v>
      </c>
      <c r="C29" s="236">
        <v>2863027.96722</v>
      </c>
      <c r="D29" s="171">
        <f t="shared" si="5"/>
        <v>-46.8</v>
      </c>
      <c r="E29" s="11">
        <f>IFERROR(100/'Skjema total MA'!C29*C29,0)</f>
        <v>6.1135541841233758</v>
      </c>
      <c r="F29" s="308">
        <v>2327820.0949400002</v>
      </c>
      <c r="G29" s="308">
        <v>2352408.2591800001</v>
      </c>
      <c r="H29" s="171">
        <f t="shared" si="6"/>
        <v>1.1000000000000001</v>
      </c>
      <c r="I29" s="11">
        <f>IFERROR(100/'Skjema total MA'!F29*G29,0)</f>
        <v>11.710645870784274</v>
      </c>
      <c r="J29" s="236">
        <f t="shared" si="7"/>
        <v>7712544.1060600001</v>
      </c>
      <c r="K29" s="236">
        <f t="shared" si="7"/>
        <v>5215436.2264</v>
      </c>
      <c r="L29" s="428">
        <f t="shared" si="8"/>
        <v>-32.4</v>
      </c>
      <c r="M29" s="24">
        <f>IFERROR(100/'Skjema total MA'!I29*K29,0)</f>
        <v>7.7937016728355735</v>
      </c>
      <c r="N29" s="148"/>
    </row>
    <row r="30" spans="1:14" s="3" customFormat="1" ht="15.75" x14ac:dyDescent="0.2">
      <c r="A30" s="583" t="s">
        <v>371</v>
      </c>
      <c r="B30" s="281">
        <v>3089173.2400622698</v>
      </c>
      <c r="C30" s="281">
        <v>1642496.32174673</v>
      </c>
      <c r="D30" s="166">
        <f t="shared" si="5"/>
        <v>-46.8</v>
      </c>
      <c r="E30" s="11">
        <f>IFERROR(100/'Skjema total MA'!C30*C30,0)</f>
        <v>11.490379215724058</v>
      </c>
      <c r="F30" s="290">
        <v>598260.43426999997</v>
      </c>
      <c r="G30" s="290">
        <v>527058.31292999897</v>
      </c>
      <c r="H30" s="166">
        <f t="shared" si="6"/>
        <v>-11.9</v>
      </c>
      <c r="I30" s="417">
        <f>IFERROR(100/'Skjema total MA'!F30*G30,0)</f>
        <v>13.347507254545965</v>
      </c>
      <c r="J30" s="290">
        <f t="shared" ref="J30:J33" si="11">SUM(B30,F30)</f>
        <v>3687433.6743322699</v>
      </c>
      <c r="K30" s="290">
        <f t="shared" ref="K30:K33" si="12">SUM(C30,G30)</f>
        <v>2169554.6346767289</v>
      </c>
      <c r="L30" s="166">
        <f t="shared" si="8"/>
        <v>-41.2</v>
      </c>
      <c r="M30" s="23">
        <f>IFERROR(100/'Skjema total MA'!I30*K30,0)</f>
        <v>11.892352826833138</v>
      </c>
      <c r="N30" s="148"/>
    </row>
    <row r="31" spans="1:14" s="3" customFormat="1" ht="15.75" x14ac:dyDescent="0.2">
      <c r="A31" s="583" t="s">
        <v>372</v>
      </c>
      <c r="B31" s="281">
        <v>2295550.7710577301</v>
      </c>
      <c r="C31" s="281">
        <v>1220531.64547327</v>
      </c>
      <c r="D31" s="166">
        <f t="shared" si="5"/>
        <v>-46.8</v>
      </c>
      <c r="E31" s="11">
        <f>IFERROR(100/'Skjema total MA'!C31*C31,0)</f>
        <v>4.984302992400921</v>
      </c>
      <c r="F31" s="290">
        <v>912223.78391999996</v>
      </c>
      <c r="G31" s="290">
        <v>782660.42521999998</v>
      </c>
      <c r="H31" s="166">
        <f t="shared" si="6"/>
        <v>-14.2</v>
      </c>
      <c r="I31" s="417">
        <f>IFERROR(100/'Skjema total MA'!F31*G31,0)</f>
        <v>9.0613602981457859</v>
      </c>
      <c r="J31" s="290">
        <f t="shared" si="11"/>
        <v>3207774.5549777299</v>
      </c>
      <c r="K31" s="290">
        <f t="shared" si="12"/>
        <v>2003192.0706932698</v>
      </c>
      <c r="L31" s="166">
        <f t="shared" si="8"/>
        <v>-37.6</v>
      </c>
      <c r="M31" s="23">
        <f>IFERROR(100/'Skjema total MA'!I31*K31,0)</f>
        <v>6.0473999957392088</v>
      </c>
      <c r="N31" s="148"/>
    </row>
    <row r="32" spans="1:14" ht="15.75" x14ac:dyDescent="0.2">
      <c r="A32" s="583" t="s">
        <v>373</v>
      </c>
      <c r="B32" s="281"/>
      <c r="C32" s="281"/>
      <c r="D32" s="166"/>
      <c r="E32" s="11"/>
      <c r="F32" s="290">
        <v>383950.13484999997</v>
      </c>
      <c r="G32" s="290">
        <v>360518.71662000002</v>
      </c>
      <c r="H32" s="166">
        <f t="shared" si="6"/>
        <v>-6.1</v>
      </c>
      <c r="I32" s="417">
        <f>IFERROR(100/'Skjema total MA'!F32*G32,0)</f>
        <v>8.4508992706358566</v>
      </c>
      <c r="J32" s="290">
        <f t="shared" si="11"/>
        <v>383950.13484999997</v>
      </c>
      <c r="K32" s="290">
        <f t="shared" si="12"/>
        <v>360518.71662000002</v>
      </c>
      <c r="L32" s="166">
        <f t="shared" si="8"/>
        <v>-6.1</v>
      </c>
      <c r="M32" s="23">
        <f>IFERROR(100/'Skjema total MA'!I32*K32,0)</f>
        <v>4.9767181349430327</v>
      </c>
    </row>
    <row r="33" spans="1:14" ht="15.75" x14ac:dyDescent="0.2">
      <c r="A33" s="583" t="s">
        <v>374</v>
      </c>
      <c r="B33" s="281"/>
      <c r="C33" s="281"/>
      <c r="D33" s="166"/>
      <c r="E33" s="11"/>
      <c r="F33" s="290">
        <v>433385.74190000002</v>
      </c>
      <c r="G33" s="290">
        <v>682170.80440999998</v>
      </c>
      <c r="H33" s="166">
        <f t="shared" si="6"/>
        <v>57.4</v>
      </c>
      <c r="I33" s="417">
        <f>IFERROR(100/'Skjema total MA'!F34*G33,0)</f>
        <v>6075.3242260420602</v>
      </c>
      <c r="J33" s="290">
        <f t="shared" si="11"/>
        <v>433385.74190000002</v>
      </c>
      <c r="K33" s="290">
        <f t="shared" si="12"/>
        <v>682170.80440999998</v>
      </c>
      <c r="L33" s="166">
        <f t="shared" si="8"/>
        <v>57.4</v>
      </c>
      <c r="M33" s="23">
        <f>IFERROR(100/'Skjema total MA'!I34*K33,0)</f>
        <v>3860.7222128287353</v>
      </c>
    </row>
    <row r="34" spans="1:14" ht="15.75" x14ac:dyDescent="0.2">
      <c r="A34" s="13" t="s">
        <v>369</v>
      </c>
      <c r="B34" s="236"/>
      <c r="C34" s="309"/>
      <c r="D34" s="171"/>
      <c r="E34" s="11"/>
      <c r="F34" s="308">
        <v>4020.0111299999999</v>
      </c>
      <c r="G34" s="309">
        <v>9714.9769899999992</v>
      </c>
      <c r="H34" s="171">
        <f t="shared" si="6"/>
        <v>141.69999999999999</v>
      </c>
      <c r="I34" s="11">
        <f>IFERROR(100/'Skjema total MA'!F34*G34,0)</f>
        <v>86.520318197779162</v>
      </c>
      <c r="J34" s="236">
        <f t="shared" si="7"/>
        <v>4020.0111299999999</v>
      </c>
      <c r="K34" s="236">
        <f t="shared" si="7"/>
        <v>9714.9769899999992</v>
      </c>
      <c r="L34" s="428">
        <f t="shared" si="8"/>
        <v>141.69999999999999</v>
      </c>
      <c r="M34" s="24">
        <f>IFERROR(100/'Skjema total MA'!I34*K34,0)</f>
        <v>54.981578249822896</v>
      </c>
    </row>
    <row r="35" spans="1:14" ht="15.75" x14ac:dyDescent="0.2">
      <c r="A35" s="13" t="s">
        <v>370</v>
      </c>
      <c r="B35" s="236">
        <v>121.95998</v>
      </c>
      <c r="C35" s="309">
        <v>435.90222</v>
      </c>
      <c r="D35" s="171">
        <f t="shared" si="5"/>
        <v>257.39999999999998</v>
      </c>
      <c r="E35" s="11">
        <f>IFERROR(100/'Skjema total MA'!C35*C35,0)</f>
        <v>-2.130348954102566</v>
      </c>
      <c r="F35" s="308">
        <v>1778.93929</v>
      </c>
      <c r="G35" s="309">
        <v>2387.2499899999998</v>
      </c>
      <c r="H35" s="171">
        <f t="shared" si="6"/>
        <v>34.200000000000003</v>
      </c>
      <c r="I35" s="11">
        <f>IFERROR(100/'Skjema total MA'!F35*G35,0)</f>
        <v>5.2437768968633787</v>
      </c>
      <c r="J35" s="236">
        <f t="shared" si="7"/>
        <v>1900.8992700000001</v>
      </c>
      <c r="K35" s="236">
        <f t="shared" si="7"/>
        <v>2823.1522099999997</v>
      </c>
      <c r="L35" s="428">
        <f t="shared" si="8"/>
        <v>48.5</v>
      </c>
      <c r="M35" s="24">
        <f>IFERROR(100/'Skjema total MA'!I35*K35,0)</f>
        <v>11.263840423859904</v>
      </c>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231838.67891000002</v>
      </c>
      <c r="C47" s="311">
        <v>0</v>
      </c>
      <c r="D47" s="427">
        <f t="shared" ref="D47:D58" si="13">IF(B47=0, "    ---- ", IF(ABS(ROUND(100/B47*C47-100,1))&lt;999,ROUND(100/B47*C47-100,1),IF(ROUND(100/B47*C47-100,1)&gt;999,999,-999)))</f>
        <v>-100</v>
      </c>
      <c r="E47" s="11">
        <f>IFERROR(100/'Skjema total MA'!C47*C47,0)</f>
        <v>0</v>
      </c>
      <c r="F47" s="145"/>
      <c r="G47" s="33"/>
      <c r="H47" s="159"/>
      <c r="I47" s="159"/>
      <c r="J47" s="37"/>
      <c r="K47" s="37"/>
      <c r="L47" s="159"/>
      <c r="M47" s="159"/>
      <c r="N47" s="148"/>
    </row>
    <row r="48" spans="1:14" s="3" customFormat="1" ht="15.75" x14ac:dyDescent="0.2">
      <c r="A48" s="38" t="s">
        <v>379</v>
      </c>
      <c r="B48" s="281">
        <v>67972.137319999994</v>
      </c>
      <c r="C48" s="282">
        <v>0</v>
      </c>
      <c r="D48" s="254">
        <f t="shared" si="13"/>
        <v>-100</v>
      </c>
      <c r="E48" s="27">
        <f>IFERROR(100/'Skjema total MA'!C48*C48,0)</f>
        <v>0</v>
      </c>
      <c r="F48" s="145"/>
      <c r="G48" s="33"/>
      <c r="H48" s="145"/>
      <c r="I48" s="145"/>
      <c r="J48" s="33"/>
      <c r="K48" s="33"/>
      <c r="L48" s="159"/>
      <c r="M48" s="159"/>
      <c r="N48" s="148"/>
    </row>
    <row r="49" spans="1:14" s="3" customFormat="1" ht="15.75" x14ac:dyDescent="0.2">
      <c r="A49" s="38" t="s">
        <v>380</v>
      </c>
      <c r="B49" s="44">
        <v>163866.54159000001</v>
      </c>
      <c r="C49" s="287">
        <v>0</v>
      </c>
      <c r="D49" s="254">
        <f>IF(B49=0, "    ---- ", IF(ABS(ROUND(100/B49*C49-100,1))&lt;999,ROUND(100/B49*C49-100,1),IF(ROUND(100/B49*C49-100,1)&gt;999,999,-999)))</f>
        <v>-100</v>
      </c>
      <c r="E49" s="27">
        <f>IFERROR(100/'Skjema total MA'!C49*C49,0)</f>
        <v>0</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17.751999999999999</v>
      </c>
      <c r="C53" s="311">
        <v>0</v>
      </c>
      <c r="D53" s="428">
        <f t="shared" si="13"/>
        <v>-100</v>
      </c>
      <c r="E53" s="11">
        <f>IFERROR(100/'Skjema total MA'!C53*C53,0)</f>
        <v>0</v>
      </c>
      <c r="F53" s="145"/>
      <c r="G53" s="33"/>
      <c r="H53" s="145"/>
      <c r="I53" s="145"/>
      <c r="J53" s="33"/>
      <c r="K53" s="33"/>
      <c r="L53" s="159"/>
      <c r="M53" s="159"/>
      <c r="N53" s="148"/>
    </row>
    <row r="54" spans="1:14" s="3" customFormat="1" ht="15.75" x14ac:dyDescent="0.2">
      <c r="A54" s="38" t="s">
        <v>379</v>
      </c>
      <c r="B54" s="281">
        <v>17.751999999999999</v>
      </c>
      <c r="C54" s="282">
        <v>0</v>
      </c>
      <c r="D54" s="254">
        <f t="shared" si="13"/>
        <v>-100</v>
      </c>
      <c r="E54" s="27">
        <f>IFERROR(100/'Skjema total MA'!C54*C54,0)</f>
        <v>0</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2537.2070000000003</v>
      </c>
      <c r="C56" s="311">
        <v>0</v>
      </c>
      <c r="D56" s="428">
        <f t="shared" si="13"/>
        <v>-100</v>
      </c>
      <c r="E56" s="11">
        <f>IFERROR(100/'Skjema total MA'!C56*C56,0)</f>
        <v>0</v>
      </c>
      <c r="F56" s="145"/>
      <c r="G56" s="33"/>
      <c r="H56" s="145"/>
      <c r="I56" s="145"/>
      <c r="J56" s="33"/>
      <c r="K56" s="33"/>
      <c r="L56" s="159"/>
      <c r="M56" s="159"/>
      <c r="N56" s="148"/>
    </row>
    <row r="57" spans="1:14" s="3" customFormat="1" ht="15.75" x14ac:dyDescent="0.2">
      <c r="A57" s="38" t="s">
        <v>379</v>
      </c>
      <c r="B57" s="281">
        <v>1983.2940000000001</v>
      </c>
      <c r="C57" s="282">
        <v>0</v>
      </c>
      <c r="D57" s="254">
        <f t="shared" si="13"/>
        <v>-100</v>
      </c>
      <c r="E57" s="27">
        <f>IFERROR(100/'Skjema total MA'!C57*C57,0)</f>
        <v>0</v>
      </c>
      <c r="F57" s="145"/>
      <c r="G57" s="33"/>
      <c r="H57" s="145"/>
      <c r="I57" s="145"/>
      <c r="J57" s="33"/>
      <c r="K57" s="33"/>
      <c r="L57" s="159"/>
      <c r="M57" s="159"/>
      <c r="N57" s="148"/>
    </row>
    <row r="58" spans="1:14" s="3" customFormat="1" ht="15.75" x14ac:dyDescent="0.2">
      <c r="A58" s="46" t="s">
        <v>380</v>
      </c>
      <c r="B58" s="283">
        <v>553.91300000000001</v>
      </c>
      <c r="C58" s="284">
        <v>0</v>
      </c>
      <c r="D58" s="255">
        <f t="shared" si="13"/>
        <v>-100</v>
      </c>
      <c r="E58" s="22">
        <f>IFERROR(100/'Skjema total MA'!C58*C58,0)</f>
        <v>0</v>
      </c>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236828.48882000003</v>
      </c>
      <c r="C66" s="353">
        <v>247574.57991</v>
      </c>
      <c r="D66" s="350">
        <f t="shared" ref="D66:D111" si="14">IF(B66=0, "    ---- ", IF(ABS(ROUND(100/B66*C66-100,1))&lt;999,ROUND(100/B66*C66-100,1),IF(ROUND(100/B66*C66-100,1)&gt;999,999,-999)))</f>
        <v>4.5</v>
      </c>
      <c r="E66" s="11">
        <f>IFERROR(100/'Skjema total MA'!C66*C66,0)</f>
        <v>7.1012053152556787</v>
      </c>
      <c r="F66" s="352">
        <v>910677.53567999997</v>
      </c>
      <c r="G66" s="352">
        <v>1002938.9549</v>
      </c>
      <c r="H66" s="350">
        <f t="shared" ref="H66:H111" si="15">IF(F66=0, "    ---- ", IF(ABS(ROUND(100/F66*G66-100,1))&lt;999,ROUND(100/F66*G66-100,1),IF(ROUND(100/F66*G66-100,1)&gt;999,999,-999)))</f>
        <v>10.1</v>
      </c>
      <c r="I66" s="11">
        <f>IFERROR(100/'Skjema total MA'!F66*G66,0)</f>
        <v>11.406083515159013</v>
      </c>
      <c r="J66" s="309">
        <f t="shared" ref="J66:K86" si="16">SUM(B66,F66)</f>
        <v>1147506.0245000001</v>
      </c>
      <c r="K66" s="316">
        <f t="shared" si="16"/>
        <v>1250513.5348100001</v>
      </c>
      <c r="L66" s="428">
        <f t="shared" ref="L66:L111" si="17">IF(J66=0, "    ---- ", IF(ABS(ROUND(100/J66*K66-100,1))&lt;999,ROUND(100/J66*K66-100,1),IF(ROUND(100/J66*K66-100,1)&gt;999,999,-999)))</f>
        <v>9</v>
      </c>
      <c r="M66" s="11">
        <f>IFERROR(100/'Skjema total MA'!I66*K66,0)</f>
        <v>10.183839299796091</v>
      </c>
    </row>
    <row r="67" spans="1:14" x14ac:dyDescent="0.2">
      <c r="A67" s="419" t="s">
        <v>9</v>
      </c>
      <c r="B67" s="44">
        <v>97214.300340000002</v>
      </c>
      <c r="C67" s="145">
        <v>101436.30798</v>
      </c>
      <c r="D67" s="166">
        <f t="shared" si="14"/>
        <v>4.3</v>
      </c>
      <c r="E67" s="27">
        <f>IFERROR(100/'Skjema total MA'!C67*C67,0)</f>
        <v>3.6795733315567007</v>
      </c>
      <c r="F67" s="234"/>
      <c r="G67" s="145"/>
      <c r="H67" s="166"/>
      <c r="I67" s="27"/>
      <c r="J67" s="287">
        <f t="shared" si="16"/>
        <v>97214.300340000002</v>
      </c>
      <c r="K67" s="44">
        <f t="shared" si="16"/>
        <v>101436.30798</v>
      </c>
      <c r="L67" s="254">
        <f t="shared" si="17"/>
        <v>4.3</v>
      </c>
      <c r="M67" s="27">
        <f>IFERROR(100/'Skjema total MA'!I67*K67,0)</f>
        <v>3.6795733315567007</v>
      </c>
    </row>
    <row r="68" spans="1:14" x14ac:dyDescent="0.2">
      <c r="A68" s="21" t="s">
        <v>10</v>
      </c>
      <c r="B68" s="292">
        <v>11885.13754</v>
      </c>
      <c r="C68" s="293">
        <v>11599.61771</v>
      </c>
      <c r="D68" s="166">
        <f t="shared" si="14"/>
        <v>-2.4</v>
      </c>
      <c r="E68" s="27">
        <f>IFERROR(100/'Skjema total MA'!C68*C68,0)</f>
        <v>12.336525541922526</v>
      </c>
      <c r="F68" s="292">
        <v>852925.69579999999</v>
      </c>
      <c r="G68" s="293">
        <v>933595.95932999998</v>
      </c>
      <c r="H68" s="166">
        <f t="shared" si="15"/>
        <v>9.5</v>
      </c>
      <c r="I68" s="27">
        <f>IFERROR(100/'Skjema total MA'!F68*G68,0)</f>
        <v>11.040461588493311</v>
      </c>
      <c r="J68" s="287">
        <f t="shared" si="16"/>
        <v>864810.83334000001</v>
      </c>
      <c r="K68" s="44">
        <f t="shared" si="16"/>
        <v>945195.57704</v>
      </c>
      <c r="L68" s="254">
        <f t="shared" si="17"/>
        <v>9.3000000000000007</v>
      </c>
      <c r="M68" s="27">
        <f>IFERROR(100/'Skjema total MA'!I68*K68,0)</f>
        <v>11.054714483821259</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v>82494.561220000003</v>
      </c>
      <c r="C75" s="145">
        <v>83305.496220000001</v>
      </c>
      <c r="D75" s="166">
        <f t="shared" si="14"/>
        <v>1</v>
      </c>
      <c r="E75" s="27">
        <f>IFERROR(100/'Skjema total MA'!C75*C75,0)</f>
        <v>64.439187844914514</v>
      </c>
      <c r="F75" s="234">
        <v>57751.83988</v>
      </c>
      <c r="G75" s="145">
        <v>69342.995569999999</v>
      </c>
      <c r="H75" s="166">
        <f t="shared" si="15"/>
        <v>20.100000000000001</v>
      </c>
      <c r="I75" s="27">
        <f>IFERROR(100/'Skjema total MA'!F75*G75,0)</f>
        <v>20.583505676683263</v>
      </c>
      <c r="J75" s="287">
        <f t="shared" si="16"/>
        <v>140246.40110000002</v>
      </c>
      <c r="K75" s="44">
        <f t="shared" si="16"/>
        <v>152648.49179</v>
      </c>
      <c r="L75" s="254">
        <f t="shared" si="17"/>
        <v>8.8000000000000007</v>
      </c>
      <c r="M75" s="27">
        <f>IFERROR(100/'Skjema total MA'!I75*K75,0)</f>
        <v>32.745668418806247</v>
      </c>
      <c r="N75" s="148"/>
    </row>
    <row r="76" spans="1:14" s="3" customFormat="1" x14ac:dyDescent="0.2">
      <c r="A76" s="21" t="s">
        <v>352</v>
      </c>
      <c r="B76" s="234">
        <v>45234.489719999998</v>
      </c>
      <c r="C76" s="145">
        <v>51233.158000000003</v>
      </c>
      <c r="D76" s="166">
        <f t="shared" ref="D76" si="18">IF(B76=0, "    ---- ", IF(ABS(ROUND(100/B76*C76-100,1))&lt;999,ROUND(100/B76*C76-100,1),IF(ROUND(100/B76*C76-100,1)&gt;999,999,-999)))</f>
        <v>13.3</v>
      </c>
      <c r="E76" s="27">
        <f>IFERROR(100/'Skjema total MA'!C77*C76,0)</f>
        <v>1.8693369393550672</v>
      </c>
      <c r="F76" s="234"/>
      <c r="G76" s="145"/>
      <c r="H76" s="166"/>
      <c r="I76" s="27"/>
      <c r="J76" s="287">
        <f t="shared" ref="J76" si="19">SUM(B76,F76)</f>
        <v>45234.489719999998</v>
      </c>
      <c r="K76" s="44">
        <f t="shared" ref="K76" si="20">SUM(C76,G76)</f>
        <v>51233.158000000003</v>
      </c>
      <c r="L76" s="254">
        <f t="shared" ref="L76" si="21">IF(J76=0, "    ---- ", IF(ABS(ROUND(100/J76*K76-100,1))&lt;999,ROUND(100/J76*K76-100,1),IF(ROUND(100/J76*K76-100,1)&gt;999,999,-999)))</f>
        <v>13.3</v>
      </c>
      <c r="M76" s="27">
        <f>IFERROR(100/'Skjema total MA'!I77*K76,0)</f>
        <v>0.45777371696765806</v>
      </c>
      <c r="N76" s="148"/>
    </row>
    <row r="77" spans="1:14" ht="15.75" x14ac:dyDescent="0.2">
      <c r="A77" s="21" t="s">
        <v>385</v>
      </c>
      <c r="B77" s="234">
        <v>109099.43788</v>
      </c>
      <c r="C77" s="234">
        <v>113035.92569</v>
      </c>
      <c r="D77" s="166">
        <f t="shared" si="14"/>
        <v>3.6</v>
      </c>
      <c r="E77" s="27">
        <f>IFERROR(100/'Skjema total MA'!C77*C77,0)</f>
        <v>4.1243257221526619</v>
      </c>
      <c r="F77" s="234">
        <v>850740.56579999998</v>
      </c>
      <c r="G77" s="145">
        <v>929517.29934999999</v>
      </c>
      <c r="H77" s="166">
        <f t="shared" si="15"/>
        <v>9.3000000000000007</v>
      </c>
      <c r="I77" s="27">
        <f>IFERROR(100/'Skjema total MA'!F77*G77,0)</f>
        <v>10.998778548458763</v>
      </c>
      <c r="J77" s="287">
        <f t="shared" si="16"/>
        <v>959840.00367999997</v>
      </c>
      <c r="K77" s="44">
        <f t="shared" si="16"/>
        <v>1042553.2250399999</v>
      </c>
      <c r="L77" s="254">
        <f t="shared" si="17"/>
        <v>8.6</v>
      </c>
      <c r="M77" s="27">
        <f>IFERROR(100/'Skjema total MA'!I77*K77,0)</f>
        <v>9.3153239736496438</v>
      </c>
    </row>
    <row r="78" spans="1:14" x14ac:dyDescent="0.2">
      <c r="A78" s="21" t="s">
        <v>9</v>
      </c>
      <c r="B78" s="234">
        <v>97214.300340000002</v>
      </c>
      <c r="C78" s="145">
        <v>101436.30798</v>
      </c>
      <c r="D78" s="166">
        <f t="shared" si="14"/>
        <v>4.3</v>
      </c>
      <c r="E78" s="27">
        <f>IFERROR(100/'Skjema total MA'!C78*C78,0)</f>
        <v>3.8312503226225929</v>
      </c>
      <c r="F78" s="234"/>
      <c r="G78" s="145"/>
      <c r="H78" s="166"/>
      <c r="I78" s="27"/>
      <c r="J78" s="287">
        <f t="shared" si="16"/>
        <v>97214.300340000002</v>
      </c>
      <c r="K78" s="44">
        <f t="shared" si="16"/>
        <v>101436.30798</v>
      </c>
      <c r="L78" s="254">
        <f t="shared" si="17"/>
        <v>4.3</v>
      </c>
      <c r="M78" s="27">
        <f>IFERROR(100/'Skjema total MA'!I78*K78,0)</f>
        <v>3.8312503226225929</v>
      </c>
    </row>
    <row r="79" spans="1:14" x14ac:dyDescent="0.2">
      <c r="A79" s="21" t="s">
        <v>10</v>
      </c>
      <c r="B79" s="292">
        <v>11885.13754</v>
      </c>
      <c r="C79" s="293">
        <v>11599.61771</v>
      </c>
      <c r="D79" s="166">
        <f t="shared" si="14"/>
        <v>-2.4</v>
      </c>
      <c r="E79" s="27">
        <f>IFERROR(100/'Skjema total MA'!C79*C79,0)</f>
        <v>12.458023129391709</v>
      </c>
      <c r="F79" s="292">
        <v>850740.56579999998</v>
      </c>
      <c r="G79" s="293">
        <v>929517.29934999999</v>
      </c>
      <c r="H79" s="166">
        <f t="shared" si="15"/>
        <v>9.3000000000000007</v>
      </c>
      <c r="I79" s="27">
        <f>IFERROR(100/'Skjema total MA'!F79*G79,0)</f>
        <v>10.998778548458763</v>
      </c>
      <c r="J79" s="287">
        <f t="shared" si="16"/>
        <v>862625.70334000001</v>
      </c>
      <c r="K79" s="44">
        <f t="shared" si="16"/>
        <v>941116.91706000001</v>
      </c>
      <c r="L79" s="254">
        <f t="shared" si="17"/>
        <v>9.1</v>
      </c>
      <c r="M79" s="27">
        <f>IFERROR(100/'Skjema total MA'!I79*K79,0)</f>
        <v>11.014680519473833</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v>2185.13</v>
      </c>
      <c r="G86" s="145">
        <v>4078.6599799999999</v>
      </c>
      <c r="H86" s="166">
        <f t="shared" si="15"/>
        <v>86.7</v>
      </c>
      <c r="I86" s="27">
        <f>IFERROR(100/'Skjema total MA'!F86*G86,0)</f>
        <v>80.991711829714234</v>
      </c>
      <c r="J86" s="287">
        <f t="shared" si="16"/>
        <v>2185.13</v>
      </c>
      <c r="K86" s="44">
        <f t="shared" si="16"/>
        <v>4078.6599799999999</v>
      </c>
      <c r="L86" s="254">
        <f t="shared" si="17"/>
        <v>86.7</v>
      </c>
      <c r="M86" s="27">
        <f>IFERROR(100/'Skjema total MA'!I86*K86,0)</f>
        <v>3.5438662523123488</v>
      </c>
    </row>
    <row r="87" spans="1:13" ht="15.75" x14ac:dyDescent="0.2">
      <c r="A87" s="13" t="s">
        <v>368</v>
      </c>
      <c r="B87" s="353">
        <v>13848937.066349998</v>
      </c>
      <c r="C87" s="353">
        <v>15899451.918160001</v>
      </c>
      <c r="D87" s="171">
        <f t="shared" si="14"/>
        <v>14.8</v>
      </c>
      <c r="E87" s="11">
        <f>IFERROR(100/'Skjema total MA'!C87*C87,0)</f>
        <v>4.0492241001518323</v>
      </c>
      <c r="F87" s="352">
        <v>26100043.090270001</v>
      </c>
      <c r="G87" s="352">
        <v>26774294.9175</v>
      </c>
      <c r="H87" s="171">
        <f t="shared" si="15"/>
        <v>2.6</v>
      </c>
      <c r="I87" s="11">
        <f>IFERROR(100/'Skjema total MA'!F87*G87,0)</f>
        <v>9.5534102092144106</v>
      </c>
      <c r="J87" s="309">
        <f t="shared" ref="J87:K111" si="22">SUM(B87,F87)</f>
        <v>39948980.156619996</v>
      </c>
      <c r="K87" s="236">
        <f t="shared" si="22"/>
        <v>42673746.835660003</v>
      </c>
      <c r="L87" s="428">
        <f t="shared" si="17"/>
        <v>6.8</v>
      </c>
      <c r="M87" s="11">
        <f>IFERROR(100/'Skjema total MA'!I87*K87,0)</f>
        <v>6.341641014945739</v>
      </c>
    </row>
    <row r="88" spans="1:13" x14ac:dyDescent="0.2">
      <c r="A88" s="21" t="s">
        <v>9</v>
      </c>
      <c r="B88" s="234">
        <v>11161681.833109999</v>
      </c>
      <c r="C88" s="145">
        <v>12245768.056089999</v>
      </c>
      <c r="D88" s="166">
        <f t="shared" si="14"/>
        <v>9.6999999999999993</v>
      </c>
      <c r="E88" s="27">
        <f>IFERROR(100/'Skjema total MA'!C88*C88,0)</f>
        <v>3.2075019597064465</v>
      </c>
      <c r="F88" s="234"/>
      <c r="G88" s="145"/>
      <c r="H88" s="166"/>
      <c r="I88" s="27"/>
      <c r="J88" s="287">
        <f t="shared" si="22"/>
        <v>11161681.833109999</v>
      </c>
      <c r="K88" s="44">
        <f t="shared" si="22"/>
        <v>12245768.056089999</v>
      </c>
      <c r="L88" s="254">
        <f t="shared" si="17"/>
        <v>9.6999999999999993</v>
      </c>
      <c r="M88" s="27">
        <f>IFERROR(100/'Skjema total MA'!I88*K88,0)</f>
        <v>3.2075019597064465</v>
      </c>
    </row>
    <row r="89" spans="1:13" x14ac:dyDescent="0.2">
      <c r="A89" s="21" t="s">
        <v>10</v>
      </c>
      <c r="B89" s="234">
        <v>1349748.6074900001</v>
      </c>
      <c r="C89" s="145">
        <v>1597800.53978</v>
      </c>
      <c r="D89" s="166">
        <f t="shared" si="14"/>
        <v>18.399999999999999</v>
      </c>
      <c r="E89" s="27">
        <f>IFERROR(100/'Skjema total MA'!C89*C89,0)</f>
        <v>51.535880734302708</v>
      </c>
      <c r="F89" s="234">
        <v>25367225.336770002</v>
      </c>
      <c r="G89" s="145">
        <v>25927399.960030001</v>
      </c>
      <c r="H89" s="166">
        <f t="shared" si="15"/>
        <v>2.2000000000000002</v>
      </c>
      <c r="I89" s="27">
        <f>IFERROR(100/'Skjema total MA'!F89*G89,0)</f>
        <v>9.3064271197814321</v>
      </c>
      <c r="J89" s="287">
        <f t="shared" si="22"/>
        <v>26716973.944260001</v>
      </c>
      <c r="K89" s="44">
        <f t="shared" si="22"/>
        <v>27525200.499809999</v>
      </c>
      <c r="L89" s="254">
        <f t="shared" si="17"/>
        <v>3</v>
      </c>
      <c r="M89" s="27">
        <f>IFERROR(100/'Skjema total MA'!I89*K89,0)</f>
        <v>9.7712055689302613</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v>815605.40483000001</v>
      </c>
      <c r="C96" s="145">
        <v>1262851.4336300001</v>
      </c>
      <c r="D96" s="166">
        <f t="shared" si="14"/>
        <v>54.8</v>
      </c>
      <c r="E96" s="27">
        <f>IFERROR(100/'Skjema total MA'!C96*C96,0)</f>
        <v>81.602767880803611</v>
      </c>
      <c r="F96" s="234">
        <v>732817.75349999999</v>
      </c>
      <c r="G96" s="145">
        <v>846894.95747000002</v>
      </c>
      <c r="H96" s="166">
        <f t="shared" si="15"/>
        <v>15.6</v>
      </c>
      <c r="I96" s="27">
        <f>IFERROR(100/'Skjema total MA'!F96*G96,0)</f>
        <v>50.946584528188914</v>
      </c>
      <c r="J96" s="287">
        <f t="shared" si="22"/>
        <v>1548423.15833</v>
      </c>
      <c r="K96" s="44">
        <f t="shared" si="22"/>
        <v>2109746.3911000001</v>
      </c>
      <c r="L96" s="254">
        <f t="shared" si="17"/>
        <v>36.299999999999997</v>
      </c>
      <c r="M96" s="27">
        <f>IFERROR(100/'Skjema total MA'!I96*K96,0)</f>
        <v>65.726665084696521</v>
      </c>
    </row>
    <row r="97" spans="1:13" x14ac:dyDescent="0.2">
      <c r="A97" s="21" t="s">
        <v>350</v>
      </c>
      <c r="B97" s="234">
        <v>521901.22091999999</v>
      </c>
      <c r="C97" s="145">
        <v>793031.88866000006</v>
      </c>
      <c r="D97" s="166">
        <f t="shared" ref="D97" si="23">IF(B97=0, "    ---- ", IF(ABS(ROUND(100/B97*C97-100,1))&lt;999,ROUND(100/B97*C97-100,1),IF(ROUND(100/B97*C97-100,1)&gt;999,999,-999)))</f>
        <v>52</v>
      </c>
      <c r="E97" s="27">
        <f>IFERROR(100/'Skjema total MA'!C98*C97,0)</f>
        <v>0.2085310481771101</v>
      </c>
      <c r="F97" s="234"/>
      <c r="G97" s="145"/>
      <c r="H97" s="166"/>
      <c r="I97" s="27"/>
      <c r="J97" s="287">
        <f t="shared" ref="J97" si="24">SUM(B97,F97)</f>
        <v>521901.22091999999</v>
      </c>
      <c r="K97" s="44">
        <f t="shared" ref="K97" si="25">SUM(C97,G97)</f>
        <v>793031.88866000006</v>
      </c>
      <c r="L97" s="254">
        <f t="shared" ref="L97" si="26">IF(J97=0, "    ---- ", IF(ABS(ROUND(100/J97*K97-100,1))&lt;999,ROUND(100/J97*K97-100,1),IF(ROUND(100/J97*K97-100,1)&gt;999,999,-999)))</f>
        <v>52</v>
      </c>
      <c r="M97" s="27">
        <f>IFERROR(100/'Skjema total MA'!I98*K97,0)</f>
        <v>0.12050161449772125</v>
      </c>
    </row>
    <row r="98" spans="1:13" ht="15.75" x14ac:dyDescent="0.2">
      <c r="A98" s="21" t="s">
        <v>385</v>
      </c>
      <c r="B98" s="234">
        <v>12511430.440599998</v>
      </c>
      <c r="C98" s="234">
        <v>13843568.595869999</v>
      </c>
      <c r="D98" s="166">
        <f t="shared" si="14"/>
        <v>10.6</v>
      </c>
      <c r="E98" s="27">
        <f>IFERROR(100/'Skjema total MA'!C98*C98,0)</f>
        <v>3.6402241966415696</v>
      </c>
      <c r="F98" s="292">
        <v>25298485.781789999</v>
      </c>
      <c r="G98" s="292">
        <v>25866417.25905</v>
      </c>
      <c r="H98" s="166">
        <f t="shared" si="15"/>
        <v>2.2000000000000002</v>
      </c>
      <c r="I98" s="27">
        <f>IFERROR(100/'Skjema total MA'!F98*G98,0)</f>
        <v>9.3106780987850719</v>
      </c>
      <c r="J98" s="287">
        <f t="shared" si="22"/>
        <v>37809916.222389996</v>
      </c>
      <c r="K98" s="44">
        <f t="shared" si="22"/>
        <v>39709985.85492</v>
      </c>
      <c r="L98" s="254">
        <f t="shared" si="17"/>
        <v>5</v>
      </c>
      <c r="M98" s="27">
        <f>IFERROR(100/'Skjema total MA'!I98*K98,0)</f>
        <v>6.0339533322991974</v>
      </c>
    </row>
    <row r="99" spans="1:13" x14ac:dyDescent="0.2">
      <c r="A99" s="21" t="s">
        <v>9</v>
      </c>
      <c r="B99" s="292">
        <v>11161681.833109999</v>
      </c>
      <c r="C99" s="293">
        <v>12245768.056089999</v>
      </c>
      <c r="D99" s="166">
        <f t="shared" si="14"/>
        <v>9.6999999999999993</v>
      </c>
      <c r="E99" s="27">
        <f>IFERROR(100/'Skjema total MA'!C99*C99,0)</f>
        <v>3.2465434447317874</v>
      </c>
      <c r="F99" s="234"/>
      <c r="G99" s="145"/>
      <c r="H99" s="166"/>
      <c r="I99" s="27"/>
      <c r="J99" s="287">
        <f t="shared" si="22"/>
        <v>11161681.833109999</v>
      </c>
      <c r="K99" s="44">
        <f t="shared" si="22"/>
        <v>12245768.056089999</v>
      </c>
      <c r="L99" s="254">
        <f t="shared" si="17"/>
        <v>9.6999999999999993</v>
      </c>
      <c r="M99" s="27">
        <f>IFERROR(100/'Skjema total MA'!I99*K99,0)</f>
        <v>3.2465434447317874</v>
      </c>
    </row>
    <row r="100" spans="1:13" x14ac:dyDescent="0.2">
      <c r="A100" s="21" t="s">
        <v>10</v>
      </c>
      <c r="B100" s="292">
        <v>1349748.6074900001</v>
      </c>
      <c r="C100" s="293">
        <v>1597800.53978</v>
      </c>
      <c r="D100" s="166">
        <f t="shared" si="14"/>
        <v>18.399999999999999</v>
      </c>
      <c r="E100" s="27">
        <f>IFERROR(100/'Skjema total MA'!C100*C100,0)</f>
        <v>51.535880734302708</v>
      </c>
      <c r="F100" s="234">
        <v>25298485.781789999</v>
      </c>
      <c r="G100" s="234">
        <v>25866417.25905</v>
      </c>
      <c r="H100" s="166">
        <f t="shared" si="15"/>
        <v>2.2000000000000002</v>
      </c>
      <c r="I100" s="27">
        <f>IFERROR(100/'Skjema total MA'!F100*G100,0)</f>
        <v>9.3106780987850719</v>
      </c>
      <c r="J100" s="287">
        <f t="shared" si="22"/>
        <v>26648234.389279999</v>
      </c>
      <c r="K100" s="44">
        <f t="shared" si="22"/>
        <v>27464217.798829999</v>
      </c>
      <c r="L100" s="254">
        <f t="shared" si="17"/>
        <v>3.1</v>
      </c>
      <c r="M100" s="27">
        <f>IFERROR(100/'Skjema total MA'!I100*K100,0)</f>
        <v>9.7767037528862843</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v>68739.554979999899</v>
      </c>
      <c r="G107" s="145">
        <v>60982.700980000001</v>
      </c>
      <c r="H107" s="166">
        <f t="shared" si="15"/>
        <v>-11.3</v>
      </c>
      <c r="I107" s="27">
        <f>IFERROR(100/'Skjema total MA'!F107*G107,0)</f>
        <v>7.7965554299215114</v>
      </c>
      <c r="J107" s="287">
        <f t="shared" si="22"/>
        <v>68739.554979999899</v>
      </c>
      <c r="K107" s="44">
        <f t="shared" si="22"/>
        <v>60982.700980000001</v>
      </c>
      <c r="L107" s="254">
        <f t="shared" si="17"/>
        <v>-11.3</v>
      </c>
      <c r="M107" s="27">
        <f>IFERROR(100/'Skjema total MA'!I107*K107,0)</f>
        <v>1.1349094795712091</v>
      </c>
    </row>
    <row r="108" spans="1:13" ht="15.75" x14ac:dyDescent="0.2">
      <c r="A108" s="21" t="s">
        <v>387</v>
      </c>
      <c r="B108" s="234">
        <v>8201894.1049300004</v>
      </c>
      <c r="C108" s="234">
        <v>8945712.7810200006</v>
      </c>
      <c r="D108" s="166">
        <f t="shared" si="14"/>
        <v>9.1</v>
      </c>
      <c r="E108" s="27">
        <f>IFERROR(100/'Skjema total MA'!C108*C108,0)</f>
        <v>2.77501811652346</v>
      </c>
      <c r="F108" s="234"/>
      <c r="G108" s="234"/>
      <c r="H108" s="166"/>
      <c r="I108" s="27"/>
      <c r="J108" s="287">
        <f t="shared" si="22"/>
        <v>8201894.1049300004</v>
      </c>
      <c r="K108" s="44">
        <f t="shared" si="22"/>
        <v>8945712.7810200006</v>
      </c>
      <c r="L108" s="254">
        <f t="shared" si="17"/>
        <v>9.1</v>
      </c>
      <c r="M108" s="27">
        <f>IFERROR(100/'Skjema total MA'!I108*K108,0)</f>
        <v>2.6505853377871804</v>
      </c>
    </row>
    <row r="109" spans="1:13" ht="15.75" x14ac:dyDescent="0.2">
      <c r="A109" s="21" t="s">
        <v>388</v>
      </c>
      <c r="B109" s="234">
        <v>322966.67813999997</v>
      </c>
      <c r="C109" s="234">
        <v>351053.38308</v>
      </c>
      <c r="D109" s="166">
        <f t="shared" si="14"/>
        <v>8.6999999999999993</v>
      </c>
      <c r="E109" s="27">
        <f>IFERROR(100/'Skjema total MA'!C109*C109,0)</f>
        <v>32.307424472576599</v>
      </c>
      <c r="F109" s="234">
        <v>8104519.2685799999</v>
      </c>
      <c r="G109" s="234">
        <v>8765269.2903899997</v>
      </c>
      <c r="H109" s="166">
        <f t="shared" si="15"/>
        <v>8.1999999999999993</v>
      </c>
      <c r="I109" s="27">
        <f>IFERROR(100/'Skjema total MA'!F109*G109,0)</f>
        <v>9.0135800829841699</v>
      </c>
      <c r="J109" s="287">
        <f t="shared" si="22"/>
        <v>8427485.9467200004</v>
      </c>
      <c r="K109" s="44">
        <f t="shared" si="22"/>
        <v>9116322.6734699998</v>
      </c>
      <c r="L109" s="254">
        <f t="shared" si="17"/>
        <v>8.1999999999999993</v>
      </c>
      <c r="M109" s="27">
        <f>IFERROR(100/'Skjema total MA'!I109*K109,0)</f>
        <v>9.2709858205075975</v>
      </c>
    </row>
    <row r="110" spans="1:13" ht="15.75" x14ac:dyDescent="0.2">
      <c r="A110" s="21" t="s">
        <v>389</v>
      </c>
      <c r="B110" s="234">
        <v>117514.26841</v>
      </c>
      <c r="C110" s="234">
        <v>236575.15768</v>
      </c>
      <c r="D110" s="166">
        <f t="shared" si="14"/>
        <v>101.3</v>
      </c>
      <c r="E110" s="27">
        <f>IFERROR(100/'Skjema total MA'!C110*C110,0)</f>
        <v>70.703860822501596</v>
      </c>
      <c r="F110" s="234"/>
      <c r="G110" s="234"/>
      <c r="H110" s="166"/>
      <c r="I110" s="27"/>
      <c r="J110" s="287">
        <f t="shared" si="22"/>
        <v>117514.26841</v>
      </c>
      <c r="K110" s="44">
        <f t="shared" si="22"/>
        <v>236575.15768</v>
      </c>
      <c r="L110" s="254">
        <f t="shared" si="17"/>
        <v>101.3</v>
      </c>
      <c r="M110" s="27">
        <f>IFERROR(100/'Skjema total MA'!I110*K110,0)</f>
        <v>70.703860822501596</v>
      </c>
    </row>
    <row r="111" spans="1:13" ht="15.75" x14ac:dyDescent="0.2">
      <c r="A111" s="13" t="s">
        <v>369</v>
      </c>
      <c r="B111" s="308">
        <v>5076.31459</v>
      </c>
      <c r="C111" s="159">
        <v>7445.8224300000002</v>
      </c>
      <c r="D111" s="171">
        <f t="shared" si="14"/>
        <v>46.7</v>
      </c>
      <c r="E111" s="11">
        <f>IFERROR(100/'Skjema total MA'!C111*C111,0)</f>
        <v>1.8858293606372951</v>
      </c>
      <c r="F111" s="308">
        <v>463043.89737000002</v>
      </c>
      <c r="G111" s="159">
        <v>404939.65591999999</v>
      </c>
      <c r="H111" s="171">
        <f t="shared" si="15"/>
        <v>-12.5</v>
      </c>
      <c r="I111" s="11">
        <f>IFERROR(100/'Skjema total MA'!F111*G111,0)</f>
        <v>4.5400466833643529</v>
      </c>
      <c r="J111" s="309">
        <f t="shared" si="22"/>
        <v>468120.21196000004</v>
      </c>
      <c r="K111" s="236">
        <f t="shared" si="22"/>
        <v>412385.47834999999</v>
      </c>
      <c r="L111" s="428">
        <f t="shared" si="17"/>
        <v>-11.9</v>
      </c>
      <c r="M111" s="11">
        <f>IFERROR(100/'Skjema total MA'!I111*K111,0)</f>
        <v>4.4275330349314315</v>
      </c>
    </row>
    <row r="112" spans="1:13" x14ac:dyDescent="0.2">
      <c r="A112" s="21" t="s">
        <v>9</v>
      </c>
      <c r="B112" s="234">
        <v>1024.8425199999999</v>
      </c>
      <c r="C112" s="145">
        <v>581.85080000000005</v>
      </c>
      <c r="D112" s="166">
        <f t="shared" ref="D112:D126" si="27">IF(B112=0, "    ---- ", IF(ABS(ROUND(100/B112*C112-100,1))&lt;999,ROUND(100/B112*C112-100,1),IF(ROUND(100/B112*C112-100,1)&gt;999,999,-999)))</f>
        <v>-43.2</v>
      </c>
      <c r="E112" s="27">
        <f>IFERROR(100/'Skjema total MA'!C112*C112,0)</f>
        <v>0.81769244493468363</v>
      </c>
      <c r="F112" s="234"/>
      <c r="G112" s="145"/>
      <c r="H112" s="166"/>
      <c r="I112" s="27"/>
      <c r="J112" s="287">
        <f t="shared" ref="J112:K126" si="28">SUM(B112,F112)</f>
        <v>1024.8425199999999</v>
      </c>
      <c r="K112" s="44">
        <f t="shared" si="28"/>
        <v>581.85080000000005</v>
      </c>
      <c r="L112" s="254">
        <f t="shared" ref="L112:L126" si="29">IF(J112=0, "    ---- ", IF(ABS(ROUND(100/J112*K112-100,1))&lt;999,ROUND(100/J112*K112-100,1),IF(ROUND(100/J112*K112-100,1)&gt;999,999,-999)))</f>
        <v>-43.2</v>
      </c>
      <c r="M112" s="27">
        <f>IFERROR(100/'Skjema total MA'!I112*K112,0)</f>
        <v>0.77925624939416371</v>
      </c>
    </row>
    <row r="113" spans="1:14" x14ac:dyDescent="0.2">
      <c r="A113" s="21" t="s">
        <v>10</v>
      </c>
      <c r="B113" s="234">
        <v>0</v>
      </c>
      <c r="C113" s="145">
        <v>3724.60727</v>
      </c>
      <c r="D113" s="166" t="str">
        <f t="shared" si="27"/>
        <v xml:space="preserve">    ---- </v>
      </c>
      <c r="E113" s="27">
        <f>IFERROR(100/'Skjema total MA'!C113*C113,0)</f>
        <v>89.13513592771784</v>
      </c>
      <c r="F113" s="234">
        <v>436019.43910000002</v>
      </c>
      <c r="G113" s="145">
        <v>404761.55391999998</v>
      </c>
      <c r="H113" s="166">
        <f t="shared" ref="H113:H125" si="30">IF(F113=0, "    ---- ", IF(ABS(ROUND(100/F113*G113-100,1))&lt;999,ROUND(100/F113*G113-100,1),IF(ROUND(100/F113*G113-100,1)&gt;999,999,-999)))</f>
        <v>-7.2</v>
      </c>
      <c r="I113" s="27">
        <f>IFERROR(100/'Skjema total MA'!F113*G113,0)</f>
        <v>4.5748208518222784</v>
      </c>
      <c r="J113" s="287">
        <f t="shared" si="28"/>
        <v>436019.43910000002</v>
      </c>
      <c r="K113" s="44">
        <f t="shared" si="28"/>
        <v>408486.16118999996</v>
      </c>
      <c r="L113" s="254">
        <f t="shared" si="29"/>
        <v>-6.3</v>
      </c>
      <c r="M113" s="27">
        <f>IFERROR(100/'Skjema total MA'!I113*K113,0)</f>
        <v>4.6147387735280896</v>
      </c>
    </row>
    <row r="114" spans="1:14" x14ac:dyDescent="0.2">
      <c r="A114" s="21" t="s">
        <v>26</v>
      </c>
      <c r="B114" s="234">
        <v>4051.4720699999998</v>
      </c>
      <c r="C114" s="145">
        <v>3139.36436</v>
      </c>
      <c r="D114" s="166">
        <f t="shared" si="27"/>
        <v>-22.5</v>
      </c>
      <c r="E114" s="27">
        <f>IFERROR(100/'Skjema total MA'!C114*C114,0)</f>
        <v>0.98260553936425432</v>
      </c>
      <c r="F114" s="234">
        <v>27024.458269999999</v>
      </c>
      <c r="G114" s="145">
        <v>178.102</v>
      </c>
      <c r="H114" s="166">
        <f t="shared" si="30"/>
        <v>-99.3</v>
      </c>
      <c r="I114" s="27">
        <f>IFERROR(100/'Skjema total MA'!F114*G114,0)</f>
        <v>0.26122079205566823</v>
      </c>
      <c r="J114" s="287">
        <f t="shared" si="28"/>
        <v>31075.930339999999</v>
      </c>
      <c r="K114" s="44">
        <f t="shared" si="28"/>
        <v>3317.4663599999999</v>
      </c>
      <c r="L114" s="254">
        <f t="shared" si="29"/>
        <v>-89.3</v>
      </c>
      <c r="M114" s="27">
        <f>IFERROR(100/'Skjema total MA'!I114*K114,0)</f>
        <v>0.85573500221158572</v>
      </c>
    </row>
    <row r="115" spans="1:14" x14ac:dyDescent="0.2">
      <c r="A115" s="296" t="s">
        <v>15</v>
      </c>
      <c r="B115" s="281" t="s">
        <v>416</v>
      </c>
      <c r="C115" s="281" t="s">
        <v>416</v>
      </c>
      <c r="D115" s="166"/>
      <c r="E115" s="417"/>
      <c r="F115" s="281" t="s">
        <v>416</v>
      </c>
      <c r="G115" s="281" t="s">
        <v>416</v>
      </c>
      <c r="H115" s="166"/>
      <c r="I115" s="417"/>
      <c r="J115" s="290"/>
      <c r="K115" s="290"/>
      <c r="L115" s="166"/>
      <c r="M115" s="23"/>
    </row>
    <row r="116" spans="1:14" ht="15.75" x14ac:dyDescent="0.2">
      <c r="A116" s="21" t="s">
        <v>390</v>
      </c>
      <c r="B116" s="234">
        <v>1015.96725</v>
      </c>
      <c r="C116" s="234">
        <v>0</v>
      </c>
      <c r="D116" s="166">
        <f t="shared" si="27"/>
        <v>-100</v>
      </c>
      <c r="E116" s="27">
        <f>IFERROR(100/'Skjema total MA'!C116*C116,0)</f>
        <v>0</v>
      </c>
      <c r="F116" s="234"/>
      <c r="G116" s="234"/>
      <c r="H116" s="166"/>
      <c r="I116" s="27"/>
      <c r="J116" s="287">
        <f t="shared" si="28"/>
        <v>1015.96725</v>
      </c>
      <c r="K116" s="44">
        <f t="shared" si="28"/>
        <v>0</v>
      </c>
      <c r="L116" s="254">
        <f t="shared" si="29"/>
        <v>-100</v>
      </c>
      <c r="M116" s="27">
        <f>IFERROR(100/'Skjema total MA'!I116*K116,0)</f>
        <v>0</v>
      </c>
    </row>
    <row r="117" spans="1:14" ht="15.75" x14ac:dyDescent="0.2">
      <c r="A117" s="21" t="s">
        <v>391</v>
      </c>
      <c r="B117" s="234"/>
      <c r="C117" s="234"/>
      <c r="D117" s="166"/>
      <c r="E117" s="27"/>
      <c r="F117" s="234">
        <v>81963.62599</v>
      </c>
      <c r="G117" s="234">
        <v>146900.31581</v>
      </c>
      <c r="H117" s="166">
        <f t="shared" si="30"/>
        <v>79.2</v>
      </c>
      <c r="I117" s="27">
        <f>IFERROR(100/'Skjema total MA'!F117*G117,0)</f>
        <v>17.894105440973398</v>
      </c>
      <c r="J117" s="287">
        <f t="shared" si="28"/>
        <v>81963.62599</v>
      </c>
      <c r="K117" s="44">
        <f t="shared" si="28"/>
        <v>146900.31581</v>
      </c>
      <c r="L117" s="254">
        <f t="shared" si="29"/>
        <v>79.2</v>
      </c>
      <c r="M117" s="27">
        <f>IFERROR(100/'Skjema total MA'!I117*K117,0)</f>
        <v>17.894105440973398</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10141.68197</v>
      </c>
      <c r="C119" s="159">
        <v>3863.5304299999998</v>
      </c>
      <c r="D119" s="171">
        <f t="shared" si="27"/>
        <v>-61.9</v>
      </c>
      <c r="E119" s="11">
        <f>IFERROR(100/'Skjema total MA'!C119*C119,0)</f>
        <v>0.7879597457514631</v>
      </c>
      <c r="F119" s="308">
        <v>303515.26757000003</v>
      </c>
      <c r="G119" s="159">
        <v>228406.17577999999</v>
      </c>
      <c r="H119" s="171">
        <f t="shared" si="30"/>
        <v>-24.7</v>
      </c>
      <c r="I119" s="11">
        <f>IFERROR(100/'Skjema total MA'!F119*G119,0)</f>
        <v>2.6451514631941446</v>
      </c>
      <c r="J119" s="309">
        <f t="shared" si="28"/>
        <v>313656.94954</v>
      </c>
      <c r="K119" s="236">
        <f t="shared" si="28"/>
        <v>232269.70621</v>
      </c>
      <c r="L119" s="428">
        <f t="shared" si="29"/>
        <v>-25.9</v>
      </c>
      <c r="M119" s="11">
        <f>IFERROR(100/'Skjema total MA'!I119*K119,0)</f>
        <v>2.5453599341583799</v>
      </c>
    </row>
    <row r="120" spans="1:14" x14ac:dyDescent="0.2">
      <c r="A120" s="21" t="s">
        <v>9</v>
      </c>
      <c r="B120" s="234">
        <v>191.82741999999999</v>
      </c>
      <c r="C120" s="145">
        <v>396.30399999999997</v>
      </c>
      <c r="D120" s="166">
        <f t="shared" si="27"/>
        <v>106.6</v>
      </c>
      <c r="E120" s="27">
        <f>IFERROR(100/'Skjema total MA'!C120*C120,0)</f>
        <v>9.0837933891303665E-2</v>
      </c>
      <c r="F120" s="234"/>
      <c r="G120" s="145"/>
      <c r="H120" s="166"/>
      <c r="I120" s="27"/>
      <c r="J120" s="287">
        <f t="shared" si="28"/>
        <v>191.82741999999999</v>
      </c>
      <c r="K120" s="44">
        <f t="shared" si="28"/>
        <v>396.30399999999997</v>
      </c>
      <c r="L120" s="254">
        <f t="shared" si="29"/>
        <v>106.6</v>
      </c>
      <c r="M120" s="27">
        <f>IFERROR(100/'Skjema total MA'!I120*K120,0)</f>
        <v>9.0837933891303665E-2</v>
      </c>
    </row>
    <row r="121" spans="1:14" x14ac:dyDescent="0.2">
      <c r="A121" s="21" t="s">
        <v>10</v>
      </c>
      <c r="B121" s="234">
        <v>8998.6955500000004</v>
      </c>
      <c r="C121" s="145">
        <v>1818.97343</v>
      </c>
      <c r="D121" s="166">
        <f t="shared" si="27"/>
        <v>-79.8</v>
      </c>
      <c r="E121" s="27">
        <f>IFERROR(100/'Skjema total MA'!C121*C121,0)</f>
        <v>61.975805688980294</v>
      </c>
      <c r="F121" s="234">
        <v>303515.26757000003</v>
      </c>
      <c r="G121" s="145">
        <v>228406.17577999999</v>
      </c>
      <c r="H121" s="166">
        <f t="shared" si="30"/>
        <v>-24.7</v>
      </c>
      <c r="I121" s="27">
        <f>IFERROR(100/'Skjema total MA'!F121*G121,0)</f>
        <v>2.6451514631941446</v>
      </c>
      <c r="J121" s="287">
        <f t="shared" si="28"/>
        <v>312513.96312000003</v>
      </c>
      <c r="K121" s="44">
        <f t="shared" si="28"/>
        <v>230225.14921</v>
      </c>
      <c r="L121" s="254">
        <f t="shared" si="29"/>
        <v>-26.3</v>
      </c>
      <c r="M121" s="27">
        <f>IFERROR(100/'Skjema total MA'!I121*K121,0)</f>
        <v>2.6653109013294354</v>
      </c>
    </row>
    <row r="122" spans="1:14" x14ac:dyDescent="0.2">
      <c r="A122" s="21" t="s">
        <v>26</v>
      </c>
      <c r="B122" s="234">
        <v>951.15899999999999</v>
      </c>
      <c r="C122" s="145">
        <v>1648.2529999999999</v>
      </c>
      <c r="D122" s="166">
        <f t="shared" si="27"/>
        <v>73.3</v>
      </c>
      <c r="E122" s="27">
        <f>IFERROR(100/'Skjema total MA'!C122*C122,0)</f>
        <v>3.2249174128181632</v>
      </c>
      <c r="F122" s="234"/>
      <c r="G122" s="145"/>
      <c r="H122" s="166"/>
      <c r="I122" s="27"/>
      <c r="J122" s="287">
        <f t="shared" si="28"/>
        <v>951.15899999999999</v>
      </c>
      <c r="K122" s="44">
        <f t="shared" si="28"/>
        <v>1648.2529999999999</v>
      </c>
      <c r="L122" s="254">
        <f t="shared" si="29"/>
        <v>73.3</v>
      </c>
      <c r="M122" s="27">
        <f>IFERROR(100/'Skjema total MA'!I122*K122,0)</f>
        <v>3.2249174128181632</v>
      </c>
    </row>
    <row r="123" spans="1:14" x14ac:dyDescent="0.2">
      <c r="A123" s="296" t="s">
        <v>14</v>
      </c>
      <c r="B123" s="281" t="s">
        <v>416</v>
      </c>
      <c r="C123" s="281" t="s">
        <v>416</v>
      </c>
      <c r="D123" s="166"/>
      <c r="E123" s="417"/>
      <c r="F123" s="281" t="s">
        <v>416</v>
      </c>
      <c r="G123" s="281" t="s">
        <v>416</v>
      </c>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v>115.97561</v>
      </c>
      <c r="C125" s="234">
        <v>0</v>
      </c>
      <c r="D125" s="166">
        <f t="shared" si="27"/>
        <v>-100</v>
      </c>
      <c r="E125" s="27">
        <f>IFERROR(100/'Skjema total MA'!C125*C125,0)</f>
        <v>0</v>
      </c>
      <c r="F125" s="234">
        <v>65350.938320000001</v>
      </c>
      <c r="G125" s="234">
        <v>111085.31614</v>
      </c>
      <c r="H125" s="166">
        <f t="shared" si="30"/>
        <v>70</v>
      </c>
      <c r="I125" s="27">
        <f>IFERROR(100/'Skjema total MA'!F125*G125,0)</f>
        <v>13.541273438203381</v>
      </c>
      <c r="J125" s="287">
        <f t="shared" si="28"/>
        <v>65466.913930000002</v>
      </c>
      <c r="K125" s="44">
        <f t="shared" si="28"/>
        <v>111085.31614</v>
      </c>
      <c r="L125" s="254">
        <f t="shared" si="29"/>
        <v>69.7</v>
      </c>
      <c r="M125" s="27">
        <f>IFERROR(100/'Skjema total MA'!I125*K125,0)</f>
        <v>13.541000619641883</v>
      </c>
    </row>
    <row r="126" spans="1:14" ht="15.75" x14ac:dyDescent="0.2">
      <c r="A126" s="10" t="s">
        <v>389</v>
      </c>
      <c r="B126" s="45">
        <v>522.41161999999997</v>
      </c>
      <c r="C126" s="45">
        <v>0</v>
      </c>
      <c r="D126" s="167">
        <f t="shared" si="27"/>
        <v>-100</v>
      </c>
      <c r="E126" s="418">
        <f>IFERROR(100/'Skjema total MA'!C126*C126,0)</f>
        <v>0</v>
      </c>
      <c r="F126" s="45"/>
      <c r="G126" s="45"/>
      <c r="H126" s="167"/>
      <c r="I126" s="22"/>
      <c r="J126" s="288">
        <f t="shared" si="28"/>
        <v>522.41161999999997</v>
      </c>
      <c r="K126" s="45">
        <f t="shared" si="28"/>
        <v>0</v>
      </c>
      <c r="L126" s="255">
        <f t="shared" si="29"/>
        <v>-100</v>
      </c>
      <c r="M126" s="22">
        <f>IFERROR(100/'Skjema total MA'!I126*K126,0)</f>
        <v>0</v>
      </c>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302" priority="132">
      <formula>kvartal &lt; 4</formula>
    </cfRule>
  </conditionalFormatting>
  <conditionalFormatting sqref="B115">
    <cfRule type="expression" dxfId="301" priority="76">
      <formula>kvartal &lt; 4</formula>
    </cfRule>
  </conditionalFormatting>
  <conditionalFormatting sqref="C115">
    <cfRule type="expression" dxfId="300" priority="75">
      <formula>kvartal &lt; 4</formula>
    </cfRule>
  </conditionalFormatting>
  <conditionalFormatting sqref="B123">
    <cfRule type="expression" dxfId="299" priority="74">
      <formula>kvartal &lt; 4</formula>
    </cfRule>
  </conditionalFormatting>
  <conditionalFormatting sqref="C123">
    <cfRule type="expression" dxfId="298" priority="73">
      <formula>kvartal &lt; 4</formula>
    </cfRule>
  </conditionalFormatting>
  <conditionalFormatting sqref="F115">
    <cfRule type="expression" dxfId="297" priority="58">
      <formula>kvartal &lt; 4</formula>
    </cfRule>
  </conditionalFormatting>
  <conditionalFormatting sqref="G115">
    <cfRule type="expression" dxfId="296" priority="57">
      <formula>kvartal &lt; 4</formula>
    </cfRule>
  </conditionalFormatting>
  <conditionalFormatting sqref="F123:G123">
    <cfRule type="expression" dxfId="295" priority="56">
      <formula>kvartal &lt; 4</formula>
    </cfRule>
  </conditionalFormatting>
  <conditionalFormatting sqref="J115:K115">
    <cfRule type="expression" dxfId="294" priority="32">
      <formula>kvartal &lt; 4</formula>
    </cfRule>
  </conditionalFormatting>
  <conditionalFormatting sqref="J123:K123">
    <cfRule type="expression" dxfId="293" priority="31">
      <formula>kvartal &lt; 4</formula>
    </cfRule>
  </conditionalFormatting>
  <conditionalFormatting sqref="A50:A52">
    <cfRule type="expression" dxfId="292" priority="12">
      <formula>kvartal &lt; 4</formula>
    </cfRule>
  </conditionalFormatting>
  <conditionalFormatting sqref="A69:A74">
    <cfRule type="expression" dxfId="291" priority="10">
      <formula>kvartal &lt; 4</formula>
    </cfRule>
  </conditionalFormatting>
  <conditionalFormatting sqref="A80:A85">
    <cfRule type="expression" dxfId="290" priority="9">
      <formula>kvartal &lt; 4</formula>
    </cfRule>
  </conditionalFormatting>
  <conditionalFormatting sqref="A90:A95">
    <cfRule type="expression" dxfId="289" priority="6">
      <formula>kvartal &lt; 4</formula>
    </cfRule>
  </conditionalFormatting>
  <conditionalFormatting sqref="A101:A106">
    <cfRule type="expression" dxfId="288" priority="5">
      <formula>kvartal &lt; 4</formula>
    </cfRule>
  </conditionalFormatting>
  <conditionalFormatting sqref="A115">
    <cfRule type="expression" dxfId="287" priority="4">
      <formula>kvartal &lt; 4</formula>
    </cfRule>
  </conditionalFormatting>
  <conditionalFormatting sqref="A123">
    <cfRule type="expression" dxfId="286" priority="3">
      <formula>kvartal &lt; 4</formula>
    </cfRule>
  </conditionalFormatting>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135</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171371.592</v>
      </c>
      <c r="C7" s="307">
        <v>181373.658</v>
      </c>
      <c r="D7" s="350">
        <f>IF(B7=0, "    ---- ", IF(ABS(ROUND(100/B7*C7-100,1))&lt;999,ROUND(100/B7*C7-100,1),IF(ROUND(100/B7*C7-100,1)&gt;999,999,-999)))</f>
        <v>5.8</v>
      </c>
      <c r="E7" s="11">
        <f>IFERROR(100/'Skjema total MA'!C7*C7,0)</f>
        <v>11.667540519951775</v>
      </c>
      <c r="F7" s="306">
        <v>333937.76</v>
      </c>
      <c r="G7" s="307">
        <v>359807.614</v>
      </c>
      <c r="H7" s="350">
        <f>IF(F7=0, "    ---- ", IF(ABS(ROUND(100/F7*G7-100,1))&lt;999,ROUND(100/F7*G7-100,1),IF(ROUND(100/F7*G7-100,1)&gt;999,999,-999)))</f>
        <v>7.7</v>
      </c>
      <c r="I7" s="160">
        <f>IFERROR(100/'Skjema total MA'!F7*G7,0)</f>
        <v>14.207414112804148</v>
      </c>
      <c r="J7" s="308">
        <f t="shared" ref="J7:K12" si="0">SUM(B7,F7)</f>
        <v>505309.35200000001</v>
      </c>
      <c r="K7" s="309">
        <f t="shared" si="0"/>
        <v>541181.272</v>
      </c>
      <c r="L7" s="427">
        <f>IF(J7=0, "    ---- ", IF(ABS(ROUND(100/J7*K7-100,1))&lt;999,ROUND(100/J7*K7-100,1),IF(ROUND(100/J7*K7-100,1)&gt;999,999,-999)))</f>
        <v>7.1</v>
      </c>
      <c r="M7" s="11">
        <f>IFERROR(100/'Skjema total MA'!I7*K7,0)</f>
        <v>13.241369583712633</v>
      </c>
    </row>
    <row r="8" spans="1:14" ht="15.75" x14ac:dyDescent="0.2">
      <c r="A8" s="21" t="s">
        <v>25</v>
      </c>
      <c r="B8" s="281">
        <v>73363.091</v>
      </c>
      <c r="C8" s="282">
        <v>70166.732000000004</v>
      </c>
      <c r="D8" s="166">
        <f t="shared" ref="D8:D10" si="1">IF(B8=0, "    ---- ", IF(ABS(ROUND(100/B8*C8-100,1))&lt;999,ROUND(100/B8*C8-100,1),IF(ROUND(100/B8*C8-100,1)&gt;999,999,-999)))</f>
        <v>-4.4000000000000004</v>
      </c>
      <c r="E8" s="27">
        <f>IFERROR(100/'Skjema total MA'!C8*C8,0)</f>
        <v>6.7646666155914001</v>
      </c>
      <c r="F8" s="285"/>
      <c r="G8" s="286"/>
      <c r="H8" s="166"/>
      <c r="I8" s="175"/>
      <c r="J8" s="234">
        <f t="shared" si="0"/>
        <v>73363.091</v>
      </c>
      <c r="K8" s="287">
        <f t="shared" si="0"/>
        <v>70166.732000000004</v>
      </c>
      <c r="L8" s="166">
        <f t="shared" ref="L8:L9" si="2">IF(J8=0, "    ---- ", IF(ABS(ROUND(100/J8*K8-100,1))&lt;999,ROUND(100/J8*K8-100,1),IF(ROUND(100/J8*K8-100,1)&gt;999,999,-999)))</f>
        <v>-4.4000000000000004</v>
      </c>
      <c r="M8" s="27">
        <f>IFERROR(100/'Skjema total MA'!I8*K8,0)</f>
        <v>6.7646666155914001</v>
      </c>
    </row>
    <row r="9" spans="1:14" ht="15.75" x14ac:dyDescent="0.2">
      <c r="A9" s="21" t="s">
        <v>24</v>
      </c>
      <c r="B9" s="281">
        <v>15876.199000000001</v>
      </c>
      <c r="C9" s="282">
        <v>15237.434999999999</v>
      </c>
      <c r="D9" s="166">
        <f t="shared" si="1"/>
        <v>-4</v>
      </c>
      <c r="E9" s="27">
        <f>IFERROR(100/'Skjema total MA'!C9*C9,0)</f>
        <v>4.5703991680572322</v>
      </c>
      <c r="F9" s="285"/>
      <c r="G9" s="286"/>
      <c r="H9" s="166"/>
      <c r="I9" s="175"/>
      <c r="J9" s="234">
        <f t="shared" si="0"/>
        <v>15876.199000000001</v>
      </c>
      <c r="K9" s="287">
        <f t="shared" si="0"/>
        <v>15237.434999999999</v>
      </c>
      <c r="L9" s="166">
        <f t="shared" si="2"/>
        <v>-4</v>
      </c>
      <c r="M9" s="27">
        <f>IFERROR(100/'Skjema total MA'!I9*K9,0)</f>
        <v>4.5703991680572322</v>
      </c>
    </row>
    <row r="10" spans="1:14" ht="15.75" x14ac:dyDescent="0.2">
      <c r="A10" s="13" t="s">
        <v>368</v>
      </c>
      <c r="B10" s="310">
        <v>3997150.5109999999</v>
      </c>
      <c r="C10" s="311">
        <v>3988755.4989999998</v>
      </c>
      <c r="D10" s="171">
        <f t="shared" si="1"/>
        <v>-0.2</v>
      </c>
      <c r="E10" s="11">
        <f>IFERROR(100/'Skjema total MA'!C10*C10,0)</f>
        <v>21.157493943690596</v>
      </c>
      <c r="F10" s="310">
        <v>6764318.568</v>
      </c>
      <c r="G10" s="311">
        <v>6801794.5089999996</v>
      </c>
      <c r="H10" s="171">
        <f t="shared" ref="H10:H12" si="3">IF(F10=0, "    ---- ", IF(ABS(ROUND(100/F10*G10-100,1))&lt;999,ROUND(100/F10*G10-100,1),IF(ROUND(100/F10*G10-100,1)&gt;999,999,-999)))</f>
        <v>0.6</v>
      </c>
      <c r="I10" s="160">
        <f>IFERROR(100/'Skjema total MA'!F10*G10,0)</f>
        <v>14.592985184958614</v>
      </c>
      <c r="J10" s="308">
        <f t="shared" si="0"/>
        <v>10761469.079</v>
      </c>
      <c r="K10" s="309">
        <f t="shared" si="0"/>
        <v>10790550.007999999</v>
      </c>
      <c r="L10" s="428">
        <f t="shared" ref="L10:L12" si="4">IF(J10=0, "    ---- ", IF(ABS(ROUND(100/J10*K10-100,1))&lt;999,ROUND(100/J10*K10-100,1),IF(ROUND(100/J10*K10-100,1)&gt;999,999,-999)))</f>
        <v>0.3</v>
      </c>
      <c r="M10" s="11">
        <f>IFERROR(100/'Skjema total MA'!I10*K10,0)</f>
        <v>16.483505843439747</v>
      </c>
    </row>
    <row r="11" spans="1:14" s="43" customFormat="1" ht="15.75" x14ac:dyDescent="0.2">
      <c r="A11" s="13" t="s">
        <v>369</v>
      </c>
      <c r="B11" s="310"/>
      <c r="C11" s="311"/>
      <c r="D11" s="171"/>
      <c r="E11" s="11"/>
      <c r="F11" s="310">
        <v>1418.7470000000001</v>
      </c>
      <c r="G11" s="311">
        <v>4589.7079999999996</v>
      </c>
      <c r="H11" s="171">
        <f t="shared" si="3"/>
        <v>223.5</v>
      </c>
      <c r="I11" s="160">
        <f>IFERROR(100/'Skjema total MA'!F11*G11,0)</f>
        <v>3.6099300100349261</v>
      </c>
      <c r="J11" s="308">
        <f t="shared" si="0"/>
        <v>1418.7470000000001</v>
      </c>
      <c r="K11" s="309">
        <f t="shared" si="0"/>
        <v>4589.7079999999996</v>
      </c>
      <c r="L11" s="428">
        <f t="shared" si="4"/>
        <v>223.5</v>
      </c>
      <c r="M11" s="11">
        <f>IFERROR(100/'Skjema total MA'!I11*K11,0)</f>
        <v>3.2857277984008593</v>
      </c>
      <c r="N11" s="143"/>
    </row>
    <row r="12" spans="1:14" s="43" customFormat="1" ht="15.75" x14ac:dyDescent="0.2">
      <c r="A12" s="41" t="s">
        <v>370</v>
      </c>
      <c r="B12" s="312"/>
      <c r="C12" s="313"/>
      <c r="D12" s="169"/>
      <c r="E12" s="36"/>
      <c r="F12" s="312">
        <v>2281.98</v>
      </c>
      <c r="G12" s="313">
        <v>10954.56</v>
      </c>
      <c r="H12" s="169">
        <f t="shared" si="3"/>
        <v>380</v>
      </c>
      <c r="I12" s="169">
        <f>IFERROR(100/'Skjema total MA'!F12*G12,0)</f>
        <v>10.849672842721031</v>
      </c>
      <c r="J12" s="314">
        <f t="shared" si="0"/>
        <v>2281.98</v>
      </c>
      <c r="K12" s="315">
        <f t="shared" si="0"/>
        <v>10954.56</v>
      </c>
      <c r="L12" s="429">
        <f t="shared" si="4"/>
        <v>380</v>
      </c>
      <c r="M12" s="36">
        <f>IFERROR(100/'Skjema total MA'!I12*K12,0)</f>
        <v>10.707355947534513</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2277.2710000000002</v>
      </c>
      <c r="C22" s="310">
        <v>1863.125</v>
      </c>
      <c r="D22" s="350">
        <f t="shared" ref="D22:D37" si="5">IF(B22=0, "    ---- ", IF(ABS(ROUND(100/B22*C22-100,1))&lt;999,ROUND(100/B22*C22-100,1),IF(ROUND(100/B22*C22-100,1)&gt;999,999,-999)))</f>
        <v>-18.2</v>
      </c>
      <c r="E22" s="11">
        <f>IFERROR(100/'Skjema total MA'!C22*C22,0)</f>
        <v>0.26827665747632023</v>
      </c>
      <c r="F22" s="318">
        <v>94683.267000000007</v>
      </c>
      <c r="G22" s="318">
        <v>99043.315000000002</v>
      </c>
      <c r="H22" s="350">
        <f t="shared" ref="H22:H35" si="6">IF(F22=0, "    ---- ", IF(ABS(ROUND(100/F22*G22-100,1))&lt;999,ROUND(100/F22*G22-100,1),IF(ROUND(100/F22*G22-100,1)&gt;999,999,-999)))</f>
        <v>4.5999999999999996</v>
      </c>
      <c r="I22" s="11">
        <f>IFERROR(100/'Skjema total MA'!F22*G22,0)</f>
        <v>29.650612903152329</v>
      </c>
      <c r="J22" s="316">
        <f t="shared" ref="J22:K35" si="7">SUM(B22,F22)</f>
        <v>96960.538</v>
      </c>
      <c r="K22" s="316">
        <f t="shared" si="7"/>
        <v>100906.44</v>
      </c>
      <c r="L22" s="427">
        <f t="shared" ref="L22:L37" si="8">IF(J22=0, "    ---- ", IF(ABS(ROUND(100/J22*K22-100,1))&lt;999,ROUND(100/J22*K22-100,1),IF(ROUND(100/J22*K22-100,1)&gt;999,999,-999)))</f>
        <v>4.0999999999999996</v>
      </c>
      <c r="M22" s="24">
        <f>IFERROR(100/'Skjema total MA'!I22*K22,0)</f>
        <v>9.810899812036908</v>
      </c>
    </row>
    <row r="23" spans="1:14" ht="15.75" x14ac:dyDescent="0.2">
      <c r="A23" s="583" t="s">
        <v>371</v>
      </c>
      <c r="B23" s="281">
        <v>301.69799999999998</v>
      </c>
      <c r="C23" s="281">
        <v>258.82100000000003</v>
      </c>
      <c r="D23" s="166">
        <f t="shared" si="5"/>
        <v>-14.2</v>
      </c>
      <c r="E23" s="11">
        <f>IFERROR(100/'Skjema total MA'!C23*C23,0)</f>
        <v>8.2259322290101883E-2</v>
      </c>
      <c r="F23" s="290">
        <v>11062</v>
      </c>
      <c r="G23" s="290">
        <v>3808.81</v>
      </c>
      <c r="H23" s="166">
        <f t="shared" si="6"/>
        <v>-65.599999999999994</v>
      </c>
      <c r="I23" s="417">
        <f>IFERROR(100/'Skjema total MA'!F23*G23,0)</f>
        <v>13.736976967607182</v>
      </c>
      <c r="J23" s="290">
        <f t="shared" ref="J23:J26" si="9">SUM(B23,F23)</f>
        <v>11363.698</v>
      </c>
      <c r="K23" s="290">
        <f t="shared" ref="K23:K26" si="10">SUM(C23,G23)</f>
        <v>4067.6309999999999</v>
      </c>
      <c r="L23" s="166">
        <f t="shared" si="8"/>
        <v>-64.2</v>
      </c>
      <c r="M23" s="23">
        <f>IFERROR(100/'Skjema total MA'!I23*K23,0)</f>
        <v>1.1880907688127349</v>
      </c>
    </row>
    <row r="24" spans="1:14" ht="15.75" x14ac:dyDescent="0.2">
      <c r="A24" s="583" t="s">
        <v>372</v>
      </c>
      <c r="B24" s="281">
        <v>1975.5730000000001</v>
      </c>
      <c r="C24" s="281">
        <v>1604.3040000000001</v>
      </c>
      <c r="D24" s="166">
        <f t="shared" si="5"/>
        <v>-18.8</v>
      </c>
      <c r="E24" s="11">
        <f>IFERROR(100/'Skjema total MA'!C24*C24,0)</f>
        <v>21.485258402731294</v>
      </c>
      <c r="F24" s="290">
        <v>-3</v>
      </c>
      <c r="G24" s="290">
        <v>0</v>
      </c>
      <c r="H24" s="166">
        <f t="shared" si="6"/>
        <v>-100</v>
      </c>
      <c r="I24" s="417">
        <f>IFERROR(100/'Skjema total MA'!F24*G24,0)</f>
        <v>0</v>
      </c>
      <c r="J24" s="290">
        <f t="shared" si="9"/>
        <v>1972.5730000000001</v>
      </c>
      <c r="K24" s="290">
        <f t="shared" si="10"/>
        <v>1604.3040000000001</v>
      </c>
      <c r="L24" s="166">
        <f t="shared" si="8"/>
        <v>-18.7</v>
      </c>
      <c r="M24" s="23">
        <f>IFERROR(100/'Skjema total MA'!I24*K24,0)</f>
        <v>20.029045701836186</v>
      </c>
    </row>
    <row r="25" spans="1:14" ht="15.75" x14ac:dyDescent="0.2">
      <c r="A25" s="583" t="s">
        <v>373</v>
      </c>
      <c r="B25" s="281"/>
      <c r="C25" s="281"/>
      <c r="D25" s="166"/>
      <c r="E25" s="11"/>
      <c r="F25" s="290">
        <v>-358</v>
      </c>
      <c r="G25" s="290">
        <v>86.8</v>
      </c>
      <c r="H25" s="166">
        <f t="shared" si="6"/>
        <v>-124.2</v>
      </c>
      <c r="I25" s="417">
        <f>IFERROR(100/'Skjema total MA'!F25*G25,0)</f>
        <v>0.94862109464990252</v>
      </c>
      <c r="J25" s="290">
        <f t="shared" si="9"/>
        <v>-358</v>
      </c>
      <c r="K25" s="290">
        <f t="shared" si="10"/>
        <v>86.8</v>
      </c>
      <c r="L25" s="166">
        <f t="shared" si="8"/>
        <v>-124.2</v>
      </c>
      <c r="M25" s="23">
        <f>IFERROR(100/'Skjema total MA'!I25*K25,0)</f>
        <v>0.44771985284921584</v>
      </c>
    </row>
    <row r="26" spans="1:14" ht="15.75" x14ac:dyDescent="0.2">
      <c r="A26" s="583" t="s">
        <v>374</v>
      </c>
      <c r="B26" s="281"/>
      <c r="C26" s="281"/>
      <c r="D26" s="166"/>
      <c r="E26" s="11"/>
      <c r="F26" s="290">
        <v>83983.032999999996</v>
      </c>
      <c r="G26" s="290">
        <v>95147.705000000002</v>
      </c>
      <c r="H26" s="166">
        <f t="shared" si="6"/>
        <v>13.3</v>
      </c>
      <c r="I26" s="417">
        <f>IFERROR(100/'Skjema total MA'!F26*G26,0)</f>
        <v>32.077855280733282</v>
      </c>
      <c r="J26" s="290">
        <f t="shared" si="9"/>
        <v>83983.032999999996</v>
      </c>
      <c r="K26" s="290">
        <f t="shared" si="10"/>
        <v>95147.705000000002</v>
      </c>
      <c r="L26" s="166">
        <f t="shared" si="8"/>
        <v>13.3</v>
      </c>
      <c r="M26" s="23">
        <f>IFERROR(100/'Skjema total MA'!I26*K26,0)</f>
        <v>32.077855280733282</v>
      </c>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55404.23</v>
      </c>
      <c r="C28" s="287">
        <v>52635.207000000002</v>
      </c>
      <c r="D28" s="166">
        <f t="shared" si="5"/>
        <v>-5</v>
      </c>
      <c r="E28" s="11">
        <f>IFERROR(100/'Skjema total MA'!C28*C28,0)</f>
        <v>7.2268881109451426</v>
      </c>
      <c r="F28" s="234"/>
      <c r="G28" s="287"/>
      <c r="H28" s="166"/>
      <c r="I28" s="27"/>
      <c r="J28" s="44">
        <f t="shared" si="7"/>
        <v>55404.23</v>
      </c>
      <c r="K28" s="44">
        <f t="shared" si="7"/>
        <v>52635.207000000002</v>
      </c>
      <c r="L28" s="254">
        <f t="shared" si="8"/>
        <v>-5</v>
      </c>
      <c r="M28" s="23">
        <f>IFERROR(100/'Skjema total MA'!I28*K28,0)</f>
        <v>7.2268881109451426</v>
      </c>
    </row>
    <row r="29" spans="1:14" s="3" customFormat="1" ht="15.75" x14ac:dyDescent="0.2">
      <c r="A29" s="13" t="s">
        <v>368</v>
      </c>
      <c r="B29" s="236">
        <v>10207172</v>
      </c>
      <c r="C29" s="236">
        <v>9503851.3629999999</v>
      </c>
      <c r="D29" s="171">
        <f t="shared" si="5"/>
        <v>-6.9</v>
      </c>
      <c r="E29" s="11">
        <f>IFERROR(100/'Skjema total MA'!C29*C29,0)</f>
        <v>20.294007229685793</v>
      </c>
      <c r="F29" s="308">
        <v>4459894.6069999998</v>
      </c>
      <c r="G29" s="308">
        <v>4484177.943</v>
      </c>
      <c r="H29" s="171">
        <f t="shared" si="6"/>
        <v>0.5</v>
      </c>
      <c r="I29" s="11">
        <f>IFERROR(100/'Skjema total MA'!F29*G29,0)</f>
        <v>22.32291937725115</v>
      </c>
      <c r="J29" s="236">
        <f t="shared" si="7"/>
        <v>14667066.607000001</v>
      </c>
      <c r="K29" s="236">
        <f t="shared" si="7"/>
        <v>13988029.306</v>
      </c>
      <c r="L29" s="428">
        <f t="shared" si="8"/>
        <v>-4.5999999999999996</v>
      </c>
      <c r="M29" s="24">
        <f>IFERROR(100/'Skjema total MA'!I29*K29,0)</f>
        <v>20.903050611568155</v>
      </c>
      <c r="N29" s="148"/>
    </row>
    <row r="30" spans="1:14" s="3" customFormat="1" ht="15.75" x14ac:dyDescent="0.2">
      <c r="A30" s="583" t="s">
        <v>371</v>
      </c>
      <c r="B30" s="281">
        <v>1352270</v>
      </c>
      <c r="C30" s="281">
        <v>1320253.368</v>
      </c>
      <c r="D30" s="166">
        <f t="shared" si="5"/>
        <v>-2.4</v>
      </c>
      <c r="E30" s="11">
        <f>IFERROR(100/'Skjema total MA'!C30*C30,0)</f>
        <v>9.2360705216216026</v>
      </c>
      <c r="F30" s="290">
        <v>512321.74599999998</v>
      </c>
      <c r="G30" s="290">
        <v>469593.07900000003</v>
      </c>
      <c r="H30" s="166">
        <f t="shared" si="6"/>
        <v>-8.3000000000000007</v>
      </c>
      <c r="I30" s="417">
        <f>IFERROR(100/'Skjema total MA'!F30*G30,0)</f>
        <v>11.892226865359289</v>
      </c>
      <c r="J30" s="290">
        <f t="shared" ref="J30:J33" si="11">SUM(B30,F30)</f>
        <v>1864591.746</v>
      </c>
      <c r="K30" s="290">
        <f t="shared" ref="K30:K33" si="12">SUM(C30,G30)</f>
        <v>1789846.4470000002</v>
      </c>
      <c r="L30" s="166">
        <f t="shared" si="8"/>
        <v>-4</v>
      </c>
      <c r="M30" s="23">
        <f>IFERROR(100/'Skjema total MA'!I30*K30,0)</f>
        <v>9.8109930551480726</v>
      </c>
      <c r="N30" s="148"/>
    </row>
    <row r="31" spans="1:14" s="3" customFormat="1" ht="15.75" x14ac:dyDescent="0.2">
      <c r="A31" s="583" t="s">
        <v>372</v>
      </c>
      <c r="B31" s="281">
        <v>8854902</v>
      </c>
      <c r="C31" s="281">
        <v>8183597.9950000001</v>
      </c>
      <c r="D31" s="166">
        <f t="shared" si="5"/>
        <v>-7.6</v>
      </c>
      <c r="E31" s="11">
        <f>IFERROR(100/'Skjema total MA'!C31*C31,0)</f>
        <v>33.41947922969932</v>
      </c>
      <c r="F31" s="290">
        <v>1888246.2579999999</v>
      </c>
      <c r="G31" s="290">
        <v>1587661.07</v>
      </c>
      <c r="H31" s="166">
        <f t="shared" si="6"/>
        <v>-15.9</v>
      </c>
      <c r="I31" s="417">
        <f>IFERROR(100/'Skjema total MA'!F31*G31,0)</f>
        <v>18.381367605964947</v>
      </c>
      <c r="J31" s="290">
        <f t="shared" si="11"/>
        <v>10743148.257999999</v>
      </c>
      <c r="K31" s="290">
        <f t="shared" si="12"/>
        <v>9771259.0649999995</v>
      </c>
      <c r="L31" s="166">
        <f t="shared" si="8"/>
        <v>-9</v>
      </c>
      <c r="M31" s="23">
        <f>IFERROR(100/'Skjema total MA'!I31*K31,0)</f>
        <v>29.498275723304676</v>
      </c>
      <c r="N31" s="148"/>
    </row>
    <row r="32" spans="1:14" ht="15.75" x14ac:dyDescent="0.2">
      <c r="A32" s="583" t="s">
        <v>373</v>
      </c>
      <c r="B32" s="281"/>
      <c r="C32" s="281"/>
      <c r="D32" s="166"/>
      <c r="E32" s="11"/>
      <c r="F32" s="290">
        <v>1276617.047</v>
      </c>
      <c r="G32" s="290">
        <v>1353447.662</v>
      </c>
      <c r="H32" s="166">
        <f t="shared" si="6"/>
        <v>6</v>
      </c>
      <c r="I32" s="417">
        <f>IFERROR(100/'Skjema total MA'!F32*G32,0)</f>
        <v>31.726091690533558</v>
      </c>
      <c r="J32" s="290">
        <f t="shared" si="11"/>
        <v>1276617.047</v>
      </c>
      <c r="K32" s="290">
        <f t="shared" si="12"/>
        <v>1353447.662</v>
      </c>
      <c r="L32" s="166">
        <f t="shared" si="8"/>
        <v>6</v>
      </c>
      <c r="M32" s="23">
        <f>IFERROR(100/'Skjema total MA'!I32*K32,0)</f>
        <v>18.68343365726377</v>
      </c>
    </row>
    <row r="33" spans="1:14" ht="15.75" x14ac:dyDescent="0.2">
      <c r="A33" s="583" t="s">
        <v>374</v>
      </c>
      <c r="B33" s="281"/>
      <c r="C33" s="281"/>
      <c r="D33" s="166"/>
      <c r="E33" s="11"/>
      <c r="F33" s="290">
        <v>782709.55599999998</v>
      </c>
      <c r="G33" s="290">
        <v>1073476.132</v>
      </c>
      <c r="H33" s="166">
        <f t="shared" si="6"/>
        <v>37.1</v>
      </c>
      <c r="I33" s="417">
        <f>IFERROR(100/'Skjema total MA'!F34*G33,0)</f>
        <v>9560.2384456456839</v>
      </c>
      <c r="J33" s="290">
        <f t="shared" si="11"/>
        <v>782709.55599999998</v>
      </c>
      <c r="K33" s="290">
        <f t="shared" si="12"/>
        <v>1073476.132</v>
      </c>
      <c r="L33" s="166">
        <f t="shared" si="8"/>
        <v>37.1</v>
      </c>
      <c r="M33" s="23">
        <f>IFERROR(100/'Skjema total MA'!I34*K33,0)</f>
        <v>6075.3012602735171</v>
      </c>
    </row>
    <row r="34" spans="1:14" ht="15.75" x14ac:dyDescent="0.2">
      <c r="A34" s="13" t="s">
        <v>369</v>
      </c>
      <c r="B34" s="236">
        <v>1794.25</v>
      </c>
      <c r="C34" s="309">
        <v>3009.9630000000002</v>
      </c>
      <c r="D34" s="171">
        <f t="shared" si="5"/>
        <v>67.8</v>
      </c>
      <c r="E34" s="11">
        <f>IFERROR(100/'Skjema total MA'!C34*C34,0)</f>
        <v>46.731567934794846</v>
      </c>
      <c r="F34" s="308">
        <v>3796</v>
      </c>
      <c r="G34" s="309">
        <v>8509.1990000000005</v>
      </c>
      <c r="H34" s="171">
        <f t="shared" si="6"/>
        <v>124.2</v>
      </c>
      <c r="I34" s="11">
        <f>IFERROR(100/'Skjema total MA'!F34*G34,0)</f>
        <v>75.781816657521929</v>
      </c>
      <c r="J34" s="236">
        <f t="shared" si="7"/>
        <v>5590.25</v>
      </c>
      <c r="K34" s="236">
        <f t="shared" si="7"/>
        <v>11519.162</v>
      </c>
      <c r="L34" s="428">
        <f t="shared" si="8"/>
        <v>106.1</v>
      </c>
      <c r="M34" s="24">
        <f>IFERROR(100/'Skjema total MA'!I34*K34,0)</f>
        <v>65.192301281548012</v>
      </c>
    </row>
    <row r="35" spans="1:14" ht="15.75" x14ac:dyDescent="0.2">
      <c r="A35" s="13" t="s">
        <v>370</v>
      </c>
      <c r="B35" s="236">
        <v>224.376</v>
      </c>
      <c r="C35" s="309">
        <v>2018.557</v>
      </c>
      <c r="D35" s="171">
        <f t="shared" si="5"/>
        <v>799.6</v>
      </c>
      <c r="E35" s="11">
        <f>IFERROR(100/'Skjema total MA'!C35*C35,0)</f>
        <v>-9.8651270776882338</v>
      </c>
      <c r="F35" s="308">
        <v>4546.9229999999998</v>
      </c>
      <c r="G35" s="309">
        <v>9458.2729999999992</v>
      </c>
      <c r="H35" s="171">
        <f t="shared" si="6"/>
        <v>108</v>
      </c>
      <c r="I35" s="11">
        <f>IFERROR(100/'Skjema total MA'!F35*G35,0)</f>
        <v>20.775818891772907</v>
      </c>
      <c r="J35" s="236">
        <f t="shared" si="7"/>
        <v>4771.299</v>
      </c>
      <c r="K35" s="236">
        <f t="shared" si="7"/>
        <v>11476.83</v>
      </c>
      <c r="L35" s="428">
        <f t="shared" si="8"/>
        <v>140.5</v>
      </c>
      <c r="M35" s="24">
        <f>IFERROR(100/'Skjema total MA'!I35*K35,0)</f>
        <v>45.79036908951079</v>
      </c>
    </row>
    <row r="36" spans="1:14" ht="15.75" x14ac:dyDescent="0.2">
      <c r="A36" s="12" t="s">
        <v>287</v>
      </c>
      <c r="B36" s="236">
        <v>34.747999999999998</v>
      </c>
      <c r="C36" s="309">
        <v>37.607999999999997</v>
      </c>
      <c r="D36" s="171">
        <f t="shared" si="5"/>
        <v>8.1999999999999993</v>
      </c>
      <c r="E36" s="11">
        <f>100/'Skjema total MA'!C36*C36</f>
        <v>5.477361172605038</v>
      </c>
      <c r="F36" s="319"/>
      <c r="G36" s="320"/>
      <c r="H36" s="171"/>
      <c r="I36" s="434"/>
      <c r="J36" s="236">
        <f t="shared" ref="J36:J37" si="13">SUM(B36,F36)</f>
        <v>34.747999999999998</v>
      </c>
      <c r="K36" s="236">
        <f t="shared" ref="K36:K37" si="14">SUM(C36,G36)</f>
        <v>37.607999999999997</v>
      </c>
      <c r="L36" s="428">
        <f t="shared" si="8"/>
        <v>8.1999999999999993</v>
      </c>
      <c r="M36" s="24">
        <f>IFERROR(100/'Skjema total MA'!I36*K36,0)</f>
        <v>5.477361172605038</v>
      </c>
    </row>
    <row r="37" spans="1:14" ht="15.75" x14ac:dyDescent="0.2">
      <c r="A37" s="12" t="s">
        <v>376</v>
      </c>
      <c r="B37" s="236">
        <v>468072.69</v>
      </c>
      <c r="C37" s="309">
        <v>458686.56599999999</v>
      </c>
      <c r="D37" s="171">
        <f t="shared" si="5"/>
        <v>-2</v>
      </c>
      <c r="E37" s="11">
        <f>100/'Skjema total MA'!C37*C37</f>
        <v>12.860479544581667</v>
      </c>
      <c r="F37" s="319"/>
      <c r="G37" s="321"/>
      <c r="H37" s="171"/>
      <c r="I37" s="434"/>
      <c r="J37" s="236">
        <f t="shared" si="13"/>
        <v>468072.69</v>
      </c>
      <c r="K37" s="236">
        <f t="shared" si="14"/>
        <v>458686.56599999999</v>
      </c>
      <c r="L37" s="428">
        <f t="shared" si="8"/>
        <v>-2</v>
      </c>
      <c r="M37" s="24">
        <f>IFERROR(100/'Skjema total MA'!I37*K37,0)</f>
        <v>12.860479544581667</v>
      </c>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445981.75699999998</v>
      </c>
      <c r="C47" s="311">
        <v>620048.29700000002</v>
      </c>
      <c r="D47" s="427">
        <f t="shared" ref="D47:D57" si="15">IF(B47=0, "    ---- ", IF(ABS(ROUND(100/B47*C47-100,1))&lt;999,ROUND(100/B47*C47-100,1),IF(ROUND(100/B47*C47-100,1)&gt;999,999,-999)))</f>
        <v>39</v>
      </c>
      <c r="E47" s="11">
        <f>IFERROR(100/'Skjema total MA'!C47*C47,0)</f>
        <v>21.487625334738276</v>
      </c>
      <c r="F47" s="145"/>
      <c r="G47" s="33"/>
      <c r="H47" s="159"/>
      <c r="I47" s="159"/>
      <c r="J47" s="37"/>
      <c r="K47" s="37"/>
      <c r="L47" s="159"/>
      <c r="M47" s="159"/>
      <c r="N47" s="148"/>
    </row>
    <row r="48" spans="1:14" s="3" customFormat="1" ht="15.75" x14ac:dyDescent="0.2">
      <c r="A48" s="38" t="s">
        <v>379</v>
      </c>
      <c r="B48" s="281">
        <v>154398.25599999999</v>
      </c>
      <c r="C48" s="282">
        <v>266184.8</v>
      </c>
      <c r="D48" s="254">
        <f t="shared" si="15"/>
        <v>72.400000000000006</v>
      </c>
      <c r="E48" s="27">
        <f>IFERROR(100/'Skjema total MA'!C48*C48,0)</f>
        <v>16.974317693303142</v>
      </c>
      <c r="F48" s="145"/>
      <c r="G48" s="33"/>
      <c r="H48" s="145"/>
      <c r="I48" s="145"/>
      <c r="J48" s="33"/>
      <c r="K48" s="33"/>
      <c r="L48" s="159"/>
      <c r="M48" s="159"/>
      <c r="N48" s="148"/>
    </row>
    <row r="49" spans="1:14" s="3" customFormat="1" ht="15.75" x14ac:dyDescent="0.2">
      <c r="A49" s="38" t="s">
        <v>380</v>
      </c>
      <c r="B49" s="44">
        <v>291583.50099999999</v>
      </c>
      <c r="C49" s="287">
        <v>353863.49699999997</v>
      </c>
      <c r="D49" s="254">
        <f>IF(B49=0, "    ---- ", IF(ABS(ROUND(100/B49*C49-100,1))&lt;999,ROUND(100/B49*C49-100,1),IF(ROUND(100/B49*C49-100,1)&gt;999,999,-999)))</f>
        <v>21.4</v>
      </c>
      <c r="E49" s="27">
        <f>IFERROR(100/'Skjema total MA'!C49*C49,0)</f>
        <v>26.859842499603019</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6993.3620000000001</v>
      </c>
      <c r="C53" s="311">
        <v>4161.6000000000004</v>
      </c>
      <c r="D53" s="428">
        <f t="shared" si="15"/>
        <v>-40.5</v>
      </c>
      <c r="E53" s="11">
        <f>IFERROR(100/'Skjema total MA'!C53*C53,0)</f>
        <v>4.0717561309252757</v>
      </c>
      <c r="F53" s="145"/>
      <c r="G53" s="33"/>
      <c r="H53" s="145"/>
      <c r="I53" s="145"/>
      <c r="J53" s="33"/>
      <c r="K53" s="33"/>
      <c r="L53" s="159"/>
      <c r="M53" s="159"/>
      <c r="N53" s="148"/>
    </row>
    <row r="54" spans="1:14" s="3" customFormat="1" ht="15.75" x14ac:dyDescent="0.2">
      <c r="A54" s="38" t="s">
        <v>379</v>
      </c>
      <c r="B54" s="281">
        <v>6993.3620000000001</v>
      </c>
      <c r="C54" s="282">
        <v>4161.6000000000004</v>
      </c>
      <c r="D54" s="254">
        <f t="shared" si="15"/>
        <v>-40.5</v>
      </c>
      <c r="E54" s="27">
        <f>IFERROR(100/'Skjema total MA'!C54*C54,0)</f>
        <v>4.0717561309252757</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5317.01</v>
      </c>
      <c r="C56" s="311">
        <v>1362.04</v>
      </c>
      <c r="D56" s="428">
        <f t="shared" si="15"/>
        <v>-74.400000000000006</v>
      </c>
      <c r="E56" s="11">
        <f>IFERROR(100/'Skjema total MA'!C56*C56,0)</f>
        <v>1.4421187333482925</v>
      </c>
      <c r="F56" s="145"/>
      <c r="G56" s="33"/>
      <c r="H56" s="145"/>
      <c r="I56" s="145"/>
      <c r="J56" s="33"/>
      <c r="K56" s="33"/>
      <c r="L56" s="159"/>
      <c r="M56" s="159"/>
      <c r="N56" s="148"/>
    </row>
    <row r="57" spans="1:14" s="3" customFormat="1" ht="15.75" x14ac:dyDescent="0.2">
      <c r="A57" s="38" t="s">
        <v>379</v>
      </c>
      <c r="B57" s="281">
        <v>5317.01</v>
      </c>
      <c r="C57" s="282">
        <v>1362.04</v>
      </c>
      <c r="D57" s="254">
        <f t="shared" si="15"/>
        <v>-74.400000000000006</v>
      </c>
      <c r="E57" s="27">
        <f>IFERROR(100/'Skjema total MA'!C57*C57,0)</f>
        <v>1.4421187333482925</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1486536.871</v>
      </c>
      <c r="C66" s="353">
        <v>1627259.1040000001</v>
      </c>
      <c r="D66" s="350">
        <f t="shared" ref="D66:D111" si="16">IF(B66=0, "    ---- ", IF(ABS(ROUND(100/B66*C66-100,1))&lt;999,ROUND(100/B66*C66-100,1),IF(ROUND(100/B66*C66-100,1)&gt;999,999,-999)))</f>
        <v>9.5</v>
      </c>
      <c r="E66" s="11">
        <f>IFERROR(100/'Skjema total MA'!C66*C66,0)</f>
        <v>46.674828259119849</v>
      </c>
      <c r="F66" s="352">
        <v>2333386.8620000002</v>
      </c>
      <c r="G66" s="352">
        <v>2817391.0989999999</v>
      </c>
      <c r="H66" s="350">
        <f t="shared" ref="H66:H111" si="17">IF(F66=0, "    ---- ", IF(ABS(ROUND(100/F66*G66-100,1))&lt;999,ROUND(100/F66*G66-100,1),IF(ROUND(100/F66*G66-100,1)&gt;999,999,-999)))</f>
        <v>20.7</v>
      </c>
      <c r="I66" s="11">
        <f>IFERROR(100/'Skjema total MA'!F66*G66,0)</f>
        <v>32.041230438859316</v>
      </c>
      <c r="J66" s="309">
        <f t="shared" ref="J66:K86" si="18">SUM(B66,F66)</f>
        <v>3819923.733</v>
      </c>
      <c r="K66" s="316">
        <f t="shared" si="18"/>
        <v>4444650.2029999997</v>
      </c>
      <c r="L66" s="428">
        <f t="shared" ref="L66:L111" si="19">IF(J66=0, "    ---- ", IF(ABS(ROUND(100/J66*K66-100,1))&lt;999,ROUND(100/J66*K66-100,1),IF(ROUND(100/J66*K66-100,1)&gt;999,999,-999)))</f>
        <v>16.399999999999999</v>
      </c>
      <c r="M66" s="11">
        <f>IFERROR(100/'Skjema total MA'!I66*K66,0)</f>
        <v>36.196012399046374</v>
      </c>
    </row>
    <row r="67" spans="1:14" x14ac:dyDescent="0.2">
      <c r="A67" s="419" t="s">
        <v>9</v>
      </c>
      <c r="B67" s="44">
        <v>1155356.23</v>
      </c>
      <c r="C67" s="145">
        <v>1246638.523</v>
      </c>
      <c r="D67" s="166">
        <f t="shared" si="16"/>
        <v>7.9</v>
      </c>
      <c r="E67" s="27">
        <f>IFERROR(100/'Skjema total MA'!C67*C67,0)</f>
        <v>45.221459205972522</v>
      </c>
      <c r="F67" s="234"/>
      <c r="G67" s="145"/>
      <c r="H67" s="166"/>
      <c r="I67" s="27"/>
      <c r="J67" s="287">
        <f t="shared" si="18"/>
        <v>1155356.23</v>
      </c>
      <c r="K67" s="44">
        <f t="shared" si="18"/>
        <v>1246638.523</v>
      </c>
      <c r="L67" s="254">
        <f t="shared" si="19"/>
        <v>7.9</v>
      </c>
      <c r="M67" s="27">
        <f>IFERROR(100/'Skjema total MA'!I67*K67,0)</f>
        <v>45.221459205972522</v>
      </c>
    </row>
    <row r="68" spans="1:14" x14ac:dyDescent="0.2">
      <c r="A68" s="21" t="s">
        <v>10</v>
      </c>
      <c r="B68" s="292"/>
      <c r="C68" s="293"/>
      <c r="D68" s="166"/>
      <c r="E68" s="27"/>
      <c r="F68" s="292">
        <v>2288262.844</v>
      </c>
      <c r="G68" s="293">
        <v>2549847.8679999998</v>
      </c>
      <c r="H68" s="166">
        <f t="shared" si="17"/>
        <v>11.4</v>
      </c>
      <c r="I68" s="27">
        <f>IFERROR(100/'Skjema total MA'!F68*G68,0)</f>
        <v>30.153833852664306</v>
      </c>
      <c r="J68" s="287">
        <f t="shared" si="18"/>
        <v>2288262.844</v>
      </c>
      <c r="K68" s="44">
        <f t="shared" si="18"/>
        <v>2549847.8679999998</v>
      </c>
      <c r="L68" s="254">
        <f t="shared" si="19"/>
        <v>11.4</v>
      </c>
      <c r="M68" s="27">
        <f>IFERROR(100/'Skjema total MA'!I68*K68,0)</f>
        <v>29.822230279784165</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v>31826.722000000002</v>
      </c>
      <c r="C75" s="145">
        <v>45972.197999999997</v>
      </c>
      <c r="D75" s="166">
        <f t="shared" si="16"/>
        <v>44.4</v>
      </c>
      <c r="E75" s="27">
        <f>IFERROR(100/'Skjema total MA'!C75*C75,0)</f>
        <v>35.560812155085479</v>
      </c>
      <c r="F75" s="234">
        <v>45124.017999999996</v>
      </c>
      <c r="G75" s="145">
        <v>267543.23100000003</v>
      </c>
      <c r="H75" s="166">
        <f t="shared" si="17"/>
        <v>492.9</v>
      </c>
      <c r="I75" s="27">
        <f>IFERROR(100/'Skjema total MA'!F75*G75,0)</f>
        <v>79.416494323316726</v>
      </c>
      <c r="J75" s="287">
        <f t="shared" si="18"/>
        <v>76950.739999999991</v>
      </c>
      <c r="K75" s="44">
        <f t="shared" si="18"/>
        <v>313515.429</v>
      </c>
      <c r="L75" s="254">
        <f t="shared" si="19"/>
        <v>307.39999999999998</v>
      </c>
      <c r="M75" s="27">
        <f>IFERROR(100/'Skjema total MA'!I75*K75,0)</f>
        <v>67.254331581193753</v>
      </c>
      <c r="N75" s="148"/>
    </row>
    <row r="76" spans="1:14" s="3" customFormat="1" x14ac:dyDescent="0.2">
      <c r="A76" s="21" t="s">
        <v>352</v>
      </c>
      <c r="B76" s="234">
        <v>299353.91899999999</v>
      </c>
      <c r="C76" s="145">
        <v>334648.38299999997</v>
      </c>
      <c r="D76" s="166">
        <f t="shared" ref="D76" si="20">IF(B76=0, "    ---- ", IF(ABS(ROUND(100/B76*C76-100,1))&lt;999,ROUND(100/B76*C76-100,1),IF(ROUND(100/B76*C76-100,1)&gt;999,999,-999)))</f>
        <v>11.8</v>
      </c>
      <c r="E76" s="27">
        <f>IFERROR(100/'Skjema total MA'!C77*C76,0)</f>
        <v>12.210267890129714</v>
      </c>
      <c r="F76" s="234"/>
      <c r="G76" s="145"/>
      <c r="H76" s="166"/>
      <c r="I76" s="27"/>
      <c r="J76" s="287">
        <f t="shared" ref="J76" si="21">SUM(B76,F76)</f>
        <v>299353.91899999999</v>
      </c>
      <c r="K76" s="44">
        <f t="shared" ref="K76" si="22">SUM(C76,G76)</f>
        <v>334648.38299999997</v>
      </c>
      <c r="L76" s="254">
        <f t="shared" ref="L76" si="23">IF(J76=0, "    ---- ", IF(ABS(ROUND(100/J76*K76-100,1))&lt;999,ROUND(100/J76*K76-100,1),IF(ROUND(100/J76*K76-100,1)&gt;999,999,-999)))</f>
        <v>11.8</v>
      </c>
      <c r="M76" s="27">
        <f>IFERROR(100/'Skjema total MA'!I77*K76,0)</f>
        <v>2.990118902354729</v>
      </c>
      <c r="N76" s="148"/>
    </row>
    <row r="77" spans="1:14" ht="15.75" x14ac:dyDescent="0.2">
      <c r="A77" s="21" t="s">
        <v>385</v>
      </c>
      <c r="B77" s="234">
        <v>1103524.5819999999</v>
      </c>
      <c r="C77" s="234">
        <v>1184983.7749999999</v>
      </c>
      <c r="D77" s="166">
        <f t="shared" si="16"/>
        <v>7.4</v>
      </c>
      <c r="E77" s="27">
        <f>IFERROR(100/'Skjema total MA'!C77*C77,0)</f>
        <v>43.236334233855217</v>
      </c>
      <c r="F77" s="234">
        <v>2288262.844</v>
      </c>
      <c r="G77" s="145">
        <v>2549847.8679999998</v>
      </c>
      <c r="H77" s="166">
        <f t="shared" si="17"/>
        <v>11.4</v>
      </c>
      <c r="I77" s="27">
        <f>IFERROR(100/'Skjema total MA'!F77*G77,0)</f>
        <v>30.171802129990887</v>
      </c>
      <c r="J77" s="287">
        <f t="shared" si="18"/>
        <v>3391787.426</v>
      </c>
      <c r="K77" s="44">
        <f t="shared" si="18"/>
        <v>3734831.6429999997</v>
      </c>
      <c r="L77" s="254">
        <f t="shared" si="19"/>
        <v>10.1</v>
      </c>
      <c r="M77" s="27">
        <f>IFERROR(100/'Skjema total MA'!I77*K77,0)</f>
        <v>33.371118045554304</v>
      </c>
    </row>
    <row r="78" spans="1:14" x14ac:dyDescent="0.2">
      <c r="A78" s="21" t="s">
        <v>9</v>
      </c>
      <c r="B78" s="234">
        <v>1103524.5819999999</v>
      </c>
      <c r="C78" s="145">
        <v>1184983.7749999999</v>
      </c>
      <c r="D78" s="166">
        <f t="shared" si="16"/>
        <v>7.4</v>
      </c>
      <c r="E78" s="27">
        <f>IFERROR(100/'Skjema total MA'!C78*C78,0)</f>
        <v>44.756848515882744</v>
      </c>
      <c r="F78" s="234"/>
      <c r="G78" s="145"/>
      <c r="H78" s="166"/>
      <c r="I78" s="27"/>
      <c r="J78" s="287">
        <f t="shared" si="18"/>
        <v>1103524.5819999999</v>
      </c>
      <c r="K78" s="44">
        <f t="shared" si="18"/>
        <v>1184983.7749999999</v>
      </c>
      <c r="L78" s="254">
        <f t="shared" si="19"/>
        <v>7.4</v>
      </c>
      <c r="M78" s="27">
        <f>IFERROR(100/'Skjema total MA'!I78*K78,0)</f>
        <v>44.756848515882744</v>
      </c>
    </row>
    <row r="79" spans="1:14" x14ac:dyDescent="0.2">
      <c r="A79" s="21" t="s">
        <v>10</v>
      </c>
      <c r="B79" s="292"/>
      <c r="C79" s="293"/>
      <c r="D79" s="166"/>
      <c r="E79" s="27"/>
      <c r="F79" s="292">
        <v>2288262.844</v>
      </c>
      <c r="G79" s="293">
        <v>2549847.8679999998</v>
      </c>
      <c r="H79" s="166">
        <f t="shared" si="17"/>
        <v>11.4</v>
      </c>
      <c r="I79" s="27">
        <f>IFERROR(100/'Skjema total MA'!F79*G79,0)</f>
        <v>30.171802129990887</v>
      </c>
      <c r="J79" s="287">
        <f t="shared" si="18"/>
        <v>2288262.844</v>
      </c>
      <c r="K79" s="44">
        <f t="shared" si="18"/>
        <v>2549847.8679999998</v>
      </c>
      <c r="L79" s="254">
        <f t="shared" si="19"/>
        <v>11.4</v>
      </c>
      <c r="M79" s="27">
        <f>IFERROR(100/'Skjema total MA'!I79*K79,0)</f>
        <v>29.843007951679294</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v>51831.648000000001</v>
      </c>
      <c r="C86" s="145">
        <v>61654.748</v>
      </c>
      <c r="D86" s="166">
        <f t="shared" si="16"/>
        <v>19</v>
      </c>
      <c r="E86" s="27">
        <f>IFERROR(100/'Skjema total MA'!C86*C86,0)</f>
        <v>56.021867944536858</v>
      </c>
      <c r="F86" s="234"/>
      <c r="G86" s="145"/>
      <c r="H86" s="166"/>
      <c r="I86" s="27"/>
      <c r="J86" s="287">
        <f t="shared" si="18"/>
        <v>51831.648000000001</v>
      </c>
      <c r="K86" s="44">
        <f t="shared" si="18"/>
        <v>61654.748</v>
      </c>
      <c r="L86" s="254">
        <f t="shared" si="19"/>
        <v>19</v>
      </c>
      <c r="M86" s="27">
        <f>IFERROR(100/'Skjema total MA'!I86*K86,0)</f>
        <v>53.570579995251848</v>
      </c>
    </row>
    <row r="87" spans="1:13" ht="15.75" x14ac:dyDescent="0.2">
      <c r="A87" s="13" t="s">
        <v>368</v>
      </c>
      <c r="B87" s="353">
        <v>163673544.45400003</v>
      </c>
      <c r="C87" s="353">
        <v>165421770.93100002</v>
      </c>
      <c r="D87" s="171">
        <f t="shared" si="16"/>
        <v>1.1000000000000001</v>
      </c>
      <c r="E87" s="11">
        <f>IFERROR(100/'Skjema total MA'!C87*C87,0)</f>
        <v>42.129113946282409</v>
      </c>
      <c r="F87" s="352">
        <v>88658453.464999989</v>
      </c>
      <c r="G87" s="352">
        <v>93862584.553000003</v>
      </c>
      <c r="H87" s="171">
        <f t="shared" si="17"/>
        <v>5.9</v>
      </c>
      <c r="I87" s="11">
        <f>IFERROR(100/'Skjema total MA'!F87*G87,0)</f>
        <v>33.491368355167481</v>
      </c>
      <c r="J87" s="309">
        <f t="shared" ref="J87:K111" si="24">SUM(B87,F87)</f>
        <v>252331997.91900003</v>
      </c>
      <c r="K87" s="236">
        <f t="shared" si="24"/>
        <v>259284355.48400003</v>
      </c>
      <c r="L87" s="428">
        <f t="shared" si="19"/>
        <v>2.8</v>
      </c>
      <c r="M87" s="11">
        <f>IFERROR(100/'Skjema total MA'!I87*K87,0)</f>
        <v>38.531613115749856</v>
      </c>
    </row>
    <row r="88" spans="1:13" x14ac:dyDescent="0.2">
      <c r="A88" s="21" t="s">
        <v>9</v>
      </c>
      <c r="B88" s="234">
        <v>159296223.69400001</v>
      </c>
      <c r="C88" s="145">
        <v>159895163.19319999</v>
      </c>
      <c r="D88" s="166">
        <f t="shared" si="16"/>
        <v>0.4</v>
      </c>
      <c r="E88" s="27">
        <f>IFERROR(100/'Skjema total MA'!C88*C88,0)</f>
        <v>41.880921387753723</v>
      </c>
      <c r="F88" s="234"/>
      <c r="G88" s="145"/>
      <c r="H88" s="166"/>
      <c r="I88" s="27"/>
      <c r="J88" s="287">
        <f t="shared" si="24"/>
        <v>159296223.69400001</v>
      </c>
      <c r="K88" s="44">
        <f t="shared" si="24"/>
        <v>159895163.19319999</v>
      </c>
      <c r="L88" s="254">
        <f t="shared" si="19"/>
        <v>0.4</v>
      </c>
      <c r="M88" s="27">
        <f>IFERROR(100/'Skjema total MA'!I88*K88,0)</f>
        <v>41.880921387753723</v>
      </c>
    </row>
    <row r="89" spans="1:13" x14ac:dyDescent="0.2">
      <c r="A89" s="21" t="s">
        <v>10</v>
      </c>
      <c r="B89" s="234">
        <v>48987.894999999997</v>
      </c>
      <c r="C89" s="145">
        <v>49050.618799999997</v>
      </c>
      <c r="D89" s="166">
        <f t="shared" si="16"/>
        <v>0.1</v>
      </c>
      <c r="E89" s="27">
        <f>IFERROR(100/'Skjema total MA'!C89*C89,0)</f>
        <v>1.5820916174985185</v>
      </c>
      <c r="F89" s="234">
        <v>88200795.922999993</v>
      </c>
      <c r="G89" s="145">
        <v>93047160.112000003</v>
      </c>
      <c r="H89" s="166">
        <f t="shared" si="17"/>
        <v>5.5</v>
      </c>
      <c r="I89" s="27">
        <f>IFERROR(100/'Skjema total MA'!F89*G89,0)</f>
        <v>33.398513372721538</v>
      </c>
      <c r="J89" s="287">
        <f t="shared" si="24"/>
        <v>88249783.817999989</v>
      </c>
      <c r="K89" s="44">
        <f t="shared" si="24"/>
        <v>93096210.730800003</v>
      </c>
      <c r="L89" s="254">
        <f t="shared" si="19"/>
        <v>5.5</v>
      </c>
      <c r="M89" s="27">
        <f>IFERROR(100/'Skjema total MA'!I89*K89,0)</f>
        <v>33.048341019182665</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v>163501.61600000001</v>
      </c>
      <c r="C96" s="145">
        <v>284708.12400000001</v>
      </c>
      <c r="D96" s="166">
        <f t="shared" si="16"/>
        <v>74.099999999999994</v>
      </c>
      <c r="E96" s="27">
        <f>IFERROR(100/'Skjema total MA'!C96*C96,0)</f>
        <v>18.397232119196396</v>
      </c>
      <c r="F96" s="234">
        <v>457657.54200000002</v>
      </c>
      <c r="G96" s="145">
        <v>815424.44099999999</v>
      </c>
      <c r="H96" s="166">
        <f t="shared" si="17"/>
        <v>78.2</v>
      </c>
      <c r="I96" s="27">
        <f>IFERROR(100/'Skjema total MA'!F96*G96,0)</f>
        <v>49.053415471811093</v>
      </c>
      <c r="J96" s="287">
        <f t="shared" si="24"/>
        <v>621159.15800000005</v>
      </c>
      <c r="K96" s="44">
        <f t="shared" si="24"/>
        <v>1100132.5649999999</v>
      </c>
      <c r="L96" s="254">
        <f t="shared" si="19"/>
        <v>77.099999999999994</v>
      </c>
      <c r="M96" s="27">
        <f>IFERROR(100/'Skjema total MA'!I96*K96,0)</f>
        <v>34.273334915303472</v>
      </c>
    </row>
    <row r="97" spans="1:13" x14ac:dyDescent="0.2">
      <c r="A97" s="21" t="s">
        <v>350</v>
      </c>
      <c r="B97" s="234">
        <v>4164831.2489999998</v>
      </c>
      <c r="C97" s="145">
        <v>5192848.9950000001</v>
      </c>
      <c r="D97" s="166">
        <f t="shared" ref="D97" si="25">IF(B97=0, "    ---- ", IF(ABS(ROUND(100/B97*C97-100,1))&lt;999,ROUND(100/B97*C97-100,1),IF(ROUND(100/B97*C97-100,1)&gt;999,999,-999)))</f>
        <v>24.7</v>
      </c>
      <c r="E97" s="27">
        <f>IFERROR(100/'Skjema total MA'!C98*C97,0)</f>
        <v>1.3654813374308916</v>
      </c>
      <c r="F97" s="234"/>
      <c r="G97" s="145"/>
      <c r="H97" s="166"/>
      <c r="I97" s="27"/>
      <c r="J97" s="287">
        <f t="shared" ref="J97" si="26">SUM(B97,F97)</f>
        <v>4164831.2489999998</v>
      </c>
      <c r="K97" s="44">
        <f t="shared" ref="K97" si="27">SUM(C97,G97)</f>
        <v>5192848.9950000001</v>
      </c>
      <c r="L97" s="254">
        <f t="shared" ref="L97" si="28">IF(J97=0, "    ---- ", IF(ABS(ROUND(100/J97*K97-100,1))&lt;999,ROUND(100/J97*K97-100,1),IF(ROUND(100/J97*K97-100,1)&gt;999,999,-999)))</f>
        <v>24.7</v>
      </c>
      <c r="M97" s="27">
        <f>IFERROR(100/'Skjema total MA'!I98*K97,0)</f>
        <v>0.78905614854618833</v>
      </c>
    </row>
    <row r="98" spans="1:13" ht="15.75" x14ac:dyDescent="0.2">
      <c r="A98" s="21" t="s">
        <v>385</v>
      </c>
      <c r="B98" s="234">
        <v>155997293.449</v>
      </c>
      <c r="C98" s="234">
        <v>156670920.62100002</v>
      </c>
      <c r="D98" s="166">
        <f t="shared" si="16"/>
        <v>0.4</v>
      </c>
      <c r="E98" s="27">
        <f>IFERROR(100/'Skjema total MA'!C98*C98,0)</f>
        <v>41.197273102314071</v>
      </c>
      <c r="F98" s="292">
        <v>88200795.922999993</v>
      </c>
      <c r="G98" s="292">
        <v>93047160.112000003</v>
      </c>
      <c r="H98" s="166">
        <f t="shared" si="17"/>
        <v>5.5</v>
      </c>
      <c r="I98" s="27">
        <f>IFERROR(100/'Skjema total MA'!F98*G98,0)</f>
        <v>33.49254545508574</v>
      </c>
      <c r="J98" s="287">
        <f t="shared" si="24"/>
        <v>244198089.37199998</v>
      </c>
      <c r="K98" s="44">
        <f t="shared" si="24"/>
        <v>249718080.73300004</v>
      </c>
      <c r="L98" s="254">
        <f t="shared" si="19"/>
        <v>2.2999999999999998</v>
      </c>
      <c r="M98" s="27">
        <f>IFERROR(100/'Skjema total MA'!I98*K98,0)</f>
        <v>37.944794311417695</v>
      </c>
    </row>
    <row r="99" spans="1:13" x14ac:dyDescent="0.2">
      <c r="A99" s="21" t="s">
        <v>9</v>
      </c>
      <c r="B99" s="292">
        <v>155948305.55399999</v>
      </c>
      <c r="C99" s="293">
        <v>156621870.00220001</v>
      </c>
      <c r="D99" s="166">
        <f t="shared" si="16"/>
        <v>0.4</v>
      </c>
      <c r="E99" s="27">
        <f>IFERROR(100/'Skjema total MA'!C99*C99,0)</f>
        <v>41.522892074082868</v>
      </c>
      <c r="F99" s="234"/>
      <c r="G99" s="145"/>
      <c r="H99" s="166"/>
      <c r="I99" s="27"/>
      <c r="J99" s="287">
        <f t="shared" si="24"/>
        <v>155948305.55399999</v>
      </c>
      <c r="K99" s="44">
        <f t="shared" si="24"/>
        <v>156621870.00220001</v>
      </c>
      <c r="L99" s="254">
        <f t="shared" si="19"/>
        <v>0.4</v>
      </c>
      <c r="M99" s="27">
        <f>IFERROR(100/'Skjema total MA'!I99*K99,0)</f>
        <v>41.522892074082868</v>
      </c>
    </row>
    <row r="100" spans="1:13" x14ac:dyDescent="0.2">
      <c r="A100" s="21" t="s">
        <v>10</v>
      </c>
      <c r="B100" s="292">
        <v>48987.894999999997</v>
      </c>
      <c r="C100" s="293">
        <v>49050.618799999997</v>
      </c>
      <c r="D100" s="166">
        <f t="shared" si="16"/>
        <v>0.1</v>
      </c>
      <c r="E100" s="27">
        <f>IFERROR(100/'Skjema total MA'!C100*C100,0)</f>
        <v>1.5820916174985185</v>
      </c>
      <c r="F100" s="234">
        <v>88200795.922999993</v>
      </c>
      <c r="G100" s="234">
        <v>93047160.112000003</v>
      </c>
      <c r="H100" s="166">
        <f t="shared" si="17"/>
        <v>5.5</v>
      </c>
      <c r="I100" s="27">
        <f>IFERROR(100/'Skjema total MA'!F100*G100,0)</f>
        <v>33.49254545508574</v>
      </c>
      <c r="J100" s="287">
        <f t="shared" si="24"/>
        <v>88249783.817999989</v>
      </c>
      <c r="K100" s="44">
        <f t="shared" si="24"/>
        <v>93096210.730800003</v>
      </c>
      <c r="L100" s="254">
        <f t="shared" si="19"/>
        <v>5.5</v>
      </c>
      <c r="M100" s="27">
        <f>IFERROR(100/'Skjema total MA'!I100*K100,0)</f>
        <v>33.140360286178591</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v>3347918.14</v>
      </c>
      <c r="C107" s="145">
        <v>3273293.1910000001</v>
      </c>
      <c r="D107" s="166">
        <f t="shared" si="16"/>
        <v>-2.2000000000000002</v>
      </c>
      <c r="E107" s="27">
        <f>IFERROR(100/'Skjema total MA'!C107*C107,0)</f>
        <v>71.295266781793288</v>
      </c>
      <c r="F107" s="234"/>
      <c r="G107" s="145"/>
      <c r="H107" s="166"/>
      <c r="I107" s="27"/>
      <c r="J107" s="287">
        <f t="shared" si="24"/>
        <v>3347918.14</v>
      </c>
      <c r="K107" s="44">
        <f t="shared" si="24"/>
        <v>3273293.1910000001</v>
      </c>
      <c r="L107" s="254">
        <f t="shared" si="19"/>
        <v>-2.2000000000000002</v>
      </c>
      <c r="M107" s="27">
        <f>IFERROR(100/'Skjema total MA'!I107*K107,0)</f>
        <v>60.917135715260223</v>
      </c>
    </row>
    <row r="108" spans="1:13" ht="15.75" x14ac:dyDescent="0.2">
      <c r="A108" s="21" t="s">
        <v>387</v>
      </c>
      <c r="B108" s="234">
        <v>133051125.956</v>
      </c>
      <c r="C108" s="234">
        <v>137209616.09900001</v>
      </c>
      <c r="D108" s="166">
        <f t="shared" si="16"/>
        <v>3.1</v>
      </c>
      <c r="E108" s="27">
        <f>IFERROR(100/'Skjema total MA'!C108*C108,0)</f>
        <v>42.563312701454677</v>
      </c>
      <c r="F108" s="234">
        <v>15473357.636</v>
      </c>
      <c r="G108" s="234">
        <v>14521013.328</v>
      </c>
      <c r="H108" s="166">
        <f t="shared" si="17"/>
        <v>-6.2</v>
      </c>
      <c r="I108" s="27">
        <f>IFERROR(100/'Skjema total MA'!F108*G108,0)</f>
        <v>95.952167195659868</v>
      </c>
      <c r="J108" s="287">
        <f t="shared" si="24"/>
        <v>148524483.59200001</v>
      </c>
      <c r="K108" s="44">
        <f t="shared" si="24"/>
        <v>151730629.42700002</v>
      </c>
      <c r="L108" s="254">
        <f t="shared" si="19"/>
        <v>2.2000000000000002</v>
      </c>
      <c r="M108" s="27">
        <f>IFERROR(100/'Skjema total MA'!I108*K108,0)</f>
        <v>44.957287529476204</v>
      </c>
    </row>
    <row r="109" spans="1:13" ht="15.75" x14ac:dyDescent="0.2">
      <c r="A109" s="21" t="s">
        <v>388</v>
      </c>
      <c r="B109" s="234"/>
      <c r="C109" s="234"/>
      <c r="D109" s="166"/>
      <c r="E109" s="27"/>
      <c r="F109" s="234">
        <v>26566311.657000002</v>
      </c>
      <c r="G109" s="234">
        <v>28753171.041999999</v>
      </c>
      <c r="H109" s="166">
        <f t="shared" si="17"/>
        <v>8.1999999999999993</v>
      </c>
      <c r="I109" s="27">
        <f>IFERROR(100/'Skjema total MA'!F109*G109,0)</f>
        <v>29.567717914948052</v>
      </c>
      <c r="J109" s="287">
        <f t="shared" si="24"/>
        <v>26566311.657000002</v>
      </c>
      <c r="K109" s="44">
        <f t="shared" si="24"/>
        <v>28753171.041999999</v>
      </c>
      <c r="L109" s="254">
        <f t="shared" si="19"/>
        <v>8.1999999999999993</v>
      </c>
      <c r="M109" s="27">
        <f>IFERROR(100/'Skjema total MA'!I109*K109,0)</f>
        <v>29.24098351638813</v>
      </c>
    </row>
    <row r="110" spans="1:13" ht="15.75" x14ac:dyDescent="0.2">
      <c r="A110" s="21" t="s">
        <v>389</v>
      </c>
      <c r="B110" s="234">
        <v>66678.096000000005</v>
      </c>
      <c r="C110" s="234">
        <v>98024.898000000001</v>
      </c>
      <c r="D110" s="166">
        <f t="shared" si="16"/>
        <v>47</v>
      </c>
      <c r="E110" s="27">
        <f>IFERROR(100/'Skjema total MA'!C110*C110,0)</f>
        <v>29.296139177498421</v>
      </c>
      <c r="F110" s="234"/>
      <c r="G110" s="234"/>
      <c r="H110" s="166"/>
      <c r="I110" s="27"/>
      <c r="J110" s="287">
        <f t="shared" si="24"/>
        <v>66678.096000000005</v>
      </c>
      <c r="K110" s="44">
        <f t="shared" si="24"/>
        <v>98024.898000000001</v>
      </c>
      <c r="L110" s="254">
        <f t="shared" si="19"/>
        <v>47</v>
      </c>
      <c r="M110" s="27">
        <f>IFERROR(100/'Skjema total MA'!I110*K110,0)</f>
        <v>29.296139177498421</v>
      </c>
    </row>
    <row r="111" spans="1:13" ht="15.75" x14ac:dyDescent="0.2">
      <c r="A111" s="13" t="s">
        <v>369</v>
      </c>
      <c r="B111" s="308">
        <v>21654.183000000001</v>
      </c>
      <c r="C111" s="159">
        <v>316206.701</v>
      </c>
      <c r="D111" s="171">
        <f t="shared" si="16"/>
        <v>999</v>
      </c>
      <c r="E111" s="11">
        <f>IFERROR(100/'Skjema total MA'!C111*C111,0)</f>
        <v>80.086771660502563</v>
      </c>
      <c r="F111" s="308">
        <v>600198.51699999999</v>
      </c>
      <c r="G111" s="159">
        <v>4293315.9129999997</v>
      </c>
      <c r="H111" s="171">
        <f t="shared" si="17"/>
        <v>615.29999999999995</v>
      </c>
      <c r="I111" s="11">
        <f>IFERROR(100/'Skjema total MA'!F111*G111,0)</f>
        <v>48.135208262491993</v>
      </c>
      <c r="J111" s="309">
        <f t="shared" si="24"/>
        <v>621852.69999999995</v>
      </c>
      <c r="K111" s="236">
        <f t="shared" si="24"/>
        <v>4609522.6140000001</v>
      </c>
      <c r="L111" s="428">
        <f t="shared" si="19"/>
        <v>641.29999999999995</v>
      </c>
      <c r="M111" s="11">
        <f>IFERROR(100/'Skjema total MA'!I111*K111,0)</f>
        <v>49.489651600746001</v>
      </c>
    </row>
    <row r="112" spans="1:13" x14ac:dyDescent="0.2">
      <c r="A112" s="21" t="s">
        <v>9</v>
      </c>
      <c r="B112" s="234">
        <v>3876.2689999999998</v>
      </c>
      <c r="C112" s="145">
        <v>-147.79400000000001</v>
      </c>
      <c r="D112" s="166">
        <f t="shared" ref="D112:D125" si="29">IF(B112=0, "    ---- ", IF(ABS(ROUND(100/B112*C112-100,1))&lt;999,ROUND(100/B112*C112-100,1),IF(ROUND(100/B112*C112-100,1)&gt;999,999,-999)))</f>
        <v>-103.8</v>
      </c>
      <c r="E112" s="27">
        <f>IFERROR(100/'Skjema total MA'!C112*C112,0)</f>
        <v>-0.2076993573037566</v>
      </c>
      <c r="F112" s="234">
        <v>933.62400000000002</v>
      </c>
      <c r="G112" s="145">
        <v>3509.7950000000001</v>
      </c>
      <c r="H112" s="166">
        <f t="shared" ref="H112:H125" si="30">IF(F112=0, "    ---- ", IF(ABS(ROUND(100/F112*G112-100,1))&lt;999,ROUND(100/F112*G112-100,1),IF(ROUND(100/F112*G112-100,1)&gt;999,999,-999)))</f>
        <v>275.89999999999998</v>
      </c>
      <c r="I112" s="27">
        <f>IFERROR(100/'Skjema total MA'!F112*G112,0)</f>
        <v>100</v>
      </c>
      <c r="J112" s="287">
        <f t="shared" ref="J112:K125" si="31">SUM(B112,F112)</f>
        <v>4809.893</v>
      </c>
      <c r="K112" s="44">
        <f t="shared" si="31"/>
        <v>3362.0010000000002</v>
      </c>
      <c r="L112" s="254">
        <f t="shared" ref="L112:L125" si="32">IF(J112=0, "    ---- ", IF(ABS(ROUND(100/J112*K112-100,1))&lt;999,ROUND(100/J112*K112-100,1),IF(ROUND(100/J112*K112-100,1)&gt;999,999,-999)))</f>
        <v>-30.1</v>
      </c>
      <c r="M112" s="27">
        <f>IFERROR(100/'Skjema total MA'!I112*K112,0)</f>
        <v>4.5026324441238676</v>
      </c>
    </row>
    <row r="113" spans="1:14" x14ac:dyDescent="0.2">
      <c r="A113" s="21" t="s">
        <v>10</v>
      </c>
      <c r="B113" s="234"/>
      <c r="C113" s="145"/>
      <c r="D113" s="166"/>
      <c r="E113" s="27"/>
      <c r="F113" s="234">
        <v>599264.89300000004</v>
      </c>
      <c r="G113" s="145">
        <v>4221803.5829999996</v>
      </c>
      <c r="H113" s="166">
        <f t="shared" si="30"/>
        <v>604.5</v>
      </c>
      <c r="I113" s="27">
        <f>IFERROR(100/'Skjema total MA'!F113*G113,0)</f>
        <v>47.716970341565009</v>
      </c>
      <c r="J113" s="287">
        <f t="shared" si="31"/>
        <v>599264.89300000004</v>
      </c>
      <c r="K113" s="44">
        <f t="shared" si="31"/>
        <v>4221803.5829999996</v>
      </c>
      <c r="L113" s="254">
        <f t="shared" si="32"/>
        <v>604.5</v>
      </c>
      <c r="M113" s="27">
        <f>IFERROR(100/'Skjema total MA'!I113*K113,0)</f>
        <v>47.69444485446833</v>
      </c>
    </row>
    <row r="114" spans="1:14" x14ac:dyDescent="0.2">
      <c r="A114" s="21" t="s">
        <v>26</v>
      </c>
      <c r="B114" s="234">
        <v>17777.914000000001</v>
      </c>
      <c r="C114" s="145">
        <v>316354.495</v>
      </c>
      <c r="D114" s="166">
        <f t="shared" si="29"/>
        <v>999</v>
      </c>
      <c r="E114" s="27">
        <f>IFERROR(100/'Skjema total MA'!C114*C114,0)</f>
        <v>99.017394460635757</v>
      </c>
      <c r="F114" s="234">
        <v>0</v>
      </c>
      <c r="G114" s="145">
        <v>68002.535000000003</v>
      </c>
      <c r="H114" s="166" t="str">
        <f t="shared" si="30"/>
        <v xml:space="preserve">    ---- </v>
      </c>
      <c r="I114" s="27">
        <f>IFERROR(100/'Skjema total MA'!F114*G114,0)</f>
        <v>99.738779207944333</v>
      </c>
      <c r="J114" s="287">
        <f t="shared" si="31"/>
        <v>17777.914000000001</v>
      </c>
      <c r="K114" s="44">
        <f t="shared" si="31"/>
        <v>384357.03</v>
      </c>
      <c r="L114" s="254">
        <f t="shared" si="32"/>
        <v>999</v>
      </c>
      <c r="M114" s="27">
        <f>IFERROR(100/'Skjema total MA'!I114*K114,0)</f>
        <v>99.144264997788412</v>
      </c>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v>4213.7340000000004</v>
      </c>
      <c r="C116" s="234">
        <v>1105.327</v>
      </c>
      <c r="D116" s="166">
        <f t="shared" si="29"/>
        <v>-73.8</v>
      </c>
      <c r="E116" s="27">
        <f>IFERROR(100/'Skjema total MA'!C116*C116,0)</f>
        <v>4.9971095413526818</v>
      </c>
      <c r="F116" s="234">
        <v>933.62400000000002</v>
      </c>
      <c r="G116" s="234">
        <v>3509.7950000000001</v>
      </c>
      <c r="H116" s="166">
        <f t="shared" si="30"/>
        <v>275.89999999999998</v>
      </c>
      <c r="I116" s="27">
        <f>IFERROR(100/'Skjema total MA'!F116*G116,0)</f>
        <v>100</v>
      </c>
      <c r="J116" s="287">
        <f t="shared" si="31"/>
        <v>5147.3580000000002</v>
      </c>
      <c r="K116" s="44">
        <f t="shared" si="31"/>
        <v>4615.1220000000003</v>
      </c>
      <c r="L116" s="254">
        <f t="shared" si="32"/>
        <v>-10.3</v>
      </c>
      <c r="M116" s="27">
        <f>IFERROR(100/'Skjema total MA'!I116*K116,0)</f>
        <v>18.007335561475731</v>
      </c>
    </row>
    <row r="117" spans="1:14" ht="15.75" x14ac:dyDescent="0.2">
      <c r="A117" s="21" t="s">
        <v>391</v>
      </c>
      <c r="B117" s="234"/>
      <c r="C117" s="234"/>
      <c r="D117" s="166"/>
      <c r="E117" s="27"/>
      <c r="F117" s="234">
        <v>179733.318</v>
      </c>
      <c r="G117" s="234">
        <v>299527.14399999997</v>
      </c>
      <c r="H117" s="166">
        <f t="shared" si="30"/>
        <v>66.7</v>
      </c>
      <c r="I117" s="27">
        <f>IFERROR(100/'Skjema total MA'!F117*G117,0)</f>
        <v>36.485764292718855</v>
      </c>
      <c r="J117" s="287">
        <f t="shared" si="31"/>
        <v>179733.318</v>
      </c>
      <c r="K117" s="44">
        <f t="shared" si="31"/>
        <v>299527.14399999997</v>
      </c>
      <c r="L117" s="254">
        <f t="shared" si="32"/>
        <v>66.7</v>
      </c>
      <c r="M117" s="27">
        <f>IFERROR(100/'Skjema total MA'!I117*K117,0)</f>
        <v>36.485764292718855</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95622.008000000002</v>
      </c>
      <c r="C119" s="159">
        <v>56514.481999999996</v>
      </c>
      <c r="D119" s="171">
        <f t="shared" si="29"/>
        <v>-40.9</v>
      </c>
      <c r="E119" s="11">
        <f>IFERROR(100/'Skjema total MA'!C119*C119,0)</f>
        <v>11.526022034721139</v>
      </c>
      <c r="F119" s="308">
        <v>1963746.0870000001</v>
      </c>
      <c r="G119" s="159">
        <v>1599789.3049999999</v>
      </c>
      <c r="H119" s="171">
        <f t="shared" si="30"/>
        <v>-18.5</v>
      </c>
      <c r="I119" s="11">
        <f>IFERROR(100/'Skjema total MA'!F119*G119,0)</f>
        <v>18.527016646866141</v>
      </c>
      <c r="J119" s="309">
        <f t="shared" si="31"/>
        <v>2059368.095</v>
      </c>
      <c r="K119" s="236">
        <f t="shared" si="31"/>
        <v>1656303.787</v>
      </c>
      <c r="L119" s="428">
        <f t="shared" si="32"/>
        <v>-19.600000000000001</v>
      </c>
      <c r="M119" s="11">
        <f>IFERROR(100/'Skjema total MA'!I119*K119,0)</f>
        <v>18.150835797815663</v>
      </c>
    </row>
    <row r="120" spans="1:14" x14ac:dyDescent="0.2">
      <c r="A120" s="21" t="s">
        <v>9</v>
      </c>
      <c r="B120" s="234">
        <v>30823.437999999998</v>
      </c>
      <c r="C120" s="145">
        <v>7052.8059999999996</v>
      </c>
      <c r="D120" s="166">
        <f t="shared" si="29"/>
        <v>-77.099999999999994</v>
      </c>
      <c r="E120" s="27">
        <f>IFERROR(100/'Skjema total MA'!C120*C120,0)</f>
        <v>1.6165931334939587</v>
      </c>
      <c r="F120" s="234"/>
      <c r="G120" s="145"/>
      <c r="H120" s="166"/>
      <c r="I120" s="27"/>
      <c r="J120" s="287">
        <f t="shared" si="31"/>
        <v>30823.437999999998</v>
      </c>
      <c r="K120" s="44">
        <f t="shared" si="31"/>
        <v>7052.8059999999996</v>
      </c>
      <c r="L120" s="254">
        <f t="shared" si="32"/>
        <v>-77.099999999999994</v>
      </c>
      <c r="M120" s="27">
        <f>IFERROR(100/'Skjema total MA'!I120*K120,0)</f>
        <v>1.6165931334939587</v>
      </c>
    </row>
    <row r="121" spans="1:14" x14ac:dyDescent="0.2">
      <c r="A121" s="21" t="s">
        <v>10</v>
      </c>
      <c r="B121" s="234"/>
      <c r="C121" s="145"/>
      <c r="D121" s="166"/>
      <c r="E121" s="27"/>
      <c r="F121" s="234">
        <v>1963746.0870000001</v>
      </c>
      <c r="G121" s="145">
        <v>1599789.3049999999</v>
      </c>
      <c r="H121" s="166">
        <f t="shared" si="30"/>
        <v>-18.5</v>
      </c>
      <c r="I121" s="27">
        <f>IFERROR(100/'Skjema total MA'!F121*G121,0)</f>
        <v>18.527016646866141</v>
      </c>
      <c r="J121" s="287">
        <f t="shared" si="31"/>
        <v>1963746.0870000001</v>
      </c>
      <c r="K121" s="44">
        <f t="shared" si="31"/>
        <v>1599789.3049999999</v>
      </c>
      <c r="L121" s="254">
        <f t="shared" si="32"/>
        <v>-18.5</v>
      </c>
      <c r="M121" s="27">
        <f>IFERROR(100/'Skjema total MA'!I121*K121,0)</f>
        <v>18.520721515777534</v>
      </c>
    </row>
    <row r="122" spans="1:14" x14ac:dyDescent="0.2">
      <c r="A122" s="21" t="s">
        <v>26</v>
      </c>
      <c r="B122" s="234">
        <v>64798.57</v>
      </c>
      <c r="C122" s="145">
        <v>49461.675999999999</v>
      </c>
      <c r="D122" s="166">
        <f t="shared" si="29"/>
        <v>-23.7</v>
      </c>
      <c r="E122" s="27">
        <f>IFERROR(100/'Skjema total MA'!C122*C122,0)</f>
        <v>96.775082587181856</v>
      </c>
      <c r="F122" s="234"/>
      <c r="G122" s="145"/>
      <c r="H122" s="166"/>
      <c r="I122" s="27"/>
      <c r="J122" s="287">
        <f t="shared" si="31"/>
        <v>64798.57</v>
      </c>
      <c r="K122" s="44">
        <f t="shared" si="31"/>
        <v>49461.675999999999</v>
      </c>
      <c r="L122" s="254">
        <f t="shared" si="32"/>
        <v>-23.7</v>
      </c>
      <c r="M122" s="27">
        <f>IFERROR(100/'Skjema total MA'!I122*K122,0)</f>
        <v>96.775082587181856</v>
      </c>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v>737.03200000000004</v>
      </c>
      <c r="C124" s="234">
        <v>1020.462</v>
      </c>
      <c r="D124" s="166">
        <f t="shared" si="29"/>
        <v>38.5</v>
      </c>
      <c r="E124" s="27">
        <f>IFERROR(100/'Skjema total MA'!C124*C124,0)</f>
        <v>6.3443962253757693</v>
      </c>
      <c r="F124" s="234">
        <v>3301.5909999999999</v>
      </c>
      <c r="G124" s="234">
        <v>2174.5</v>
      </c>
      <c r="H124" s="166">
        <f t="shared" si="30"/>
        <v>-34.1</v>
      </c>
      <c r="I124" s="27">
        <f>IFERROR(100/'Skjema total MA'!F124*G124,0)</f>
        <v>100</v>
      </c>
      <c r="J124" s="287">
        <f t="shared" si="31"/>
        <v>4038.623</v>
      </c>
      <c r="K124" s="44">
        <f t="shared" si="31"/>
        <v>3194.962</v>
      </c>
      <c r="L124" s="254">
        <f t="shared" si="32"/>
        <v>-20.9</v>
      </c>
      <c r="M124" s="27">
        <f>IFERROR(100/'Skjema total MA'!I124*K124,0)</f>
        <v>17.498048355651324</v>
      </c>
    </row>
    <row r="125" spans="1:14" ht="15.75" x14ac:dyDescent="0.2">
      <c r="A125" s="21" t="s">
        <v>388</v>
      </c>
      <c r="B125" s="234">
        <v>3.6219999999999999</v>
      </c>
      <c r="C125" s="234">
        <v>16.527999999999999</v>
      </c>
      <c r="D125" s="166">
        <f t="shared" si="29"/>
        <v>356.3</v>
      </c>
      <c r="E125" s="27">
        <f>IFERROR(100/'Skjema total MA'!C125*C125,0)</f>
        <v>100</v>
      </c>
      <c r="F125" s="234">
        <v>146751.33600000001</v>
      </c>
      <c r="G125" s="234">
        <v>260269.35699999999</v>
      </c>
      <c r="H125" s="166">
        <f t="shared" si="30"/>
        <v>77.400000000000006</v>
      </c>
      <c r="I125" s="27">
        <f>IFERROR(100/'Skjema total MA'!F125*G125,0)</f>
        <v>31.726772297075026</v>
      </c>
      <c r="J125" s="287">
        <f t="shared" si="31"/>
        <v>146754.95800000001</v>
      </c>
      <c r="K125" s="44">
        <f t="shared" si="31"/>
        <v>260285.88499999998</v>
      </c>
      <c r="L125" s="254">
        <f t="shared" si="32"/>
        <v>77.400000000000006</v>
      </c>
      <c r="M125" s="27">
        <f>IFERROR(100/'Skjema total MA'!I125*K125,0)</f>
        <v>31.728147810526959</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v>74783.684999999998</v>
      </c>
      <c r="C134" s="309">
        <v>110356.215</v>
      </c>
      <c r="D134" s="350">
        <f t="shared" ref="D134:D135" si="33">IF(B134=0, "    ---- ", IF(ABS(ROUND(100/B134*C134-100,1))&lt;999,ROUND(100/B134*C134-100,1),IF(ROUND(100/B134*C134-100,1)&gt;999,999,-999)))</f>
        <v>47.6</v>
      </c>
      <c r="E134" s="11">
        <f>IFERROR(100/'Skjema total MA'!C134*C134,0)</f>
        <v>1.4205674687738055</v>
      </c>
      <c r="F134" s="316"/>
      <c r="G134" s="317"/>
      <c r="H134" s="431"/>
      <c r="I134" s="24"/>
      <c r="J134" s="318">
        <f t="shared" ref="J134:K135" si="34">SUM(B134,F134)</f>
        <v>74783.684999999998</v>
      </c>
      <c r="K134" s="318">
        <f t="shared" si="34"/>
        <v>110356.215</v>
      </c>
      <c r="L134" s="427">
        <f t="shared" ref="L134:L135" si="35">IF(J134=0, "    ---- ", IF(ABS(ROUND(100/J134*K134-100,1))&lt;999,ROUND(100/J134*K134-100,1),IF(ROUND(100/J134*K134-100,1)&gt;999,999,-999)))</f>
        <v>47.6</v>
      </c>
      <c r="M134" s="11">
        <f>IFERROR(100/'Skjema total MA'!I134*K134,0)</f>
        <v>1.4181424467469608</v>
      </c>
      <c r="N134" s="148"/>
    </row>
    <row r="135" spans="1:14" s="3" customFormat="1" ht="15.75" x14ac:dyDescent="0.2">
      <c r="A135" s="13" t="s">
        <v>397</v>
      </c>
      <c r="B135" s="236">
        <v>2930712.3530000001</v>
      </c>
      <c r="C135" s="309">
        <v>2902711.219</v>
      </c>
      <c r="D135" s="171">
        <f t="shared" si="33"/>
        <v>-1</v>
      </c>
      <c r="E135" s="11">
        <f>IFERROR(100/'Skjema total MA'!C135*C135,0)</f>
        <v>0.49205119212590215</v>
      </c>
      <c r="F135" s="236"/>
      <c r="G135" s="309"/>
      <c r="H135" s="432"/>
      <c r="I135" s="24"/>
      <c r="J135" s="308">
        <f t="shared" si="34"/>
        <v>2930712.3530000001</v>
      </c>
      <c r="K135" s="308">
        <f t="shared" si="34"/>
        <v>2902711.219</v>
      </c>
      <c r="L135" s="428">
        <f t="shared" si="35"/>
        <v>-1</v>
      </c>
      <c r="M135" s="11">
        <f>IFERROR(100/'Skjema total MA'!I135*K135,0)</f>
        <v>0.49026291349577272</v>
      </c>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285" priority="132">
      <formula>kvartal &lt; 4</formula>
    </cfRule>
  </conditionalFormatting>
  <conditionalFormatting sqref="B115">
    <cfRule type="expression" dxfId="284" priority="76">
      <formula>kvartal &lt; 4</formula>
    </cfRule>
  </conditionalFormatting>
  <conditionalFormatting sqref="C115">
    <cfRule type="expression" dxfId="283" priority="75">
      <formula>kvartal &lt; 4</formula>
    </cfRule>
  </conditionalFormatting>
  <conditionalFormatting sqref="B123">
    <cfRule type="expression" dxfId="282" priority="74">
      <formula>kvartal &lt; 4</formula>
    </cfRule>
  </conditionalFormatting>
  <conditionalFormatting sqref="C123">
    <cfRule type="expression" dxfId="281" priority="73">
      <formula>kvartal &lt; 4</formula>
    </cfRule>
  </conditionalFormatting>
  <conditionalFormatting sqref="F115">
    <cfRule type="expression" dxfId="280" priority="58">
      <formula>kvartal &lt; 4</formula>
    </cfRule>
  </conditionalFormatting>
  <conditionalFormatting sqref="G115">
    <cfRule type="expression" dxfId="279" priority="57">
      <formula>kvartal &lt; 4</formula>
    </cfRule>
  </conditionalFormatting>
  <conditionalFormatting sqref="F123:G123">
    <cfRule type="expression" dxfId="278" priority="56">
      <formula>kvartal &lt; 4</formula>
    </cfRule>
  </conditionalFormatting>
  <conditionalFormatting sqref="J115:K115">
    <cfRule type="expression" dxfId="277" priority="32">
      <formula>kvartal &lt; 4</formula>
    </cfRule>
  </conditionalFormatting>
  <conditionalFormatting sqref="J123:K123">
    <cfRule type="expression" dxfId="276" priority="31">
      <formula>kvartal &lt; 4</formula>
    </cfRule>
  </conditionalFormatting>
  <conditionalFormatting sqref="A50:A52">
    <cfRule type="expression" dxfId="275" priority="12">
      <formula>kvartal &lt; 4</formula>
    </cfRule>
  </conditionalFormatting>
  <conditionalFormatting sqref="A69:A74">
    <cfRule type="expression" dxfId="274" priority="10">
      <formula>kvartal &lt; 4</formula>
    </cfRule>
  </conditionalFormatting>
  <conditionalFormatting sqref="A80:A85">
    <cfRule type="expression" dxfId="273" priority="9">
      <formula>kvartal &lt; 4</formula>
    </cfRule>
  </conditionalFormatting>
  <conditionalFormatting sqref="A90:A95">
    <cfRule type="expression" dxfId="272" priority="6">
      <formula>kvartal &lt; 4</formula>
    </cfRule>
  </conditionalFormatting>
  <conditionalFormatting sqref="A101:A106">
    <cfRule type="expression" dxfId="271" priority="5">
      <formula>kvartal &lt; 4</formula>
    </cfRule>
  </conditionalFormatting>
  <conditionalFormatting sqref="A115">
    <cfRule type="expression" dxfId="270" priority="4">
      <formula>kvartal &lt; 4</formula>
    </cfRule>
  </conditionalFormatting>
  <conditionalFormatting sqref="A123">
    <cfRule type="expression" dxfId="269" priority="3">
      <formula>kvartal &lt; 4</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N144"/>
  <sheetViews>
    <sheetView showGridLines="0" zoomScaleNormal="100" workbookViewId="0">
      <selection activeCell="B1" sqref="B1"/>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133</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c r="D47" s="427"/>
      <c r="E47" s="11"/>
      <c r="F47" s="145"/>
      <c r="G47" s="33"/>
      <c r="H47" s="159"/>
      <c r="I47" s="159"/>
      <c r="J47" s="37"/>
      <c r="K47" s="37"/>
      <c r="L47" s="159"/>
      <c r="M47" s="159"/>
      <c r="N47" s="148"/>
    </row>
    <row r="48" spans="1:14" s="3" customFormat="1" ht="15.75" x14ac:dyDescent="0.2">
      <c r="A48" s="38" t="s">
        <v>379</v>
      </c>
      <c r="B48" s="281"/>
      <c r="C48" s="282"/>
      <c r="D48" s="254"/>
      <c r="E48" s="27"/>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268" priority="132">
      <formula>kvartal &lt; 4</formula>
    </cfRule>
  </conditionalFormatting>
  <conditionalFormatting sqref="B115">
    <cfRule type="expression" dxfId="267" priority="76">
      <formula>kvartal &lt; 4</formula>
    </cfRule>
  </conditionalFormatting>
  <conditionalFormatting sqref="C115">
    <cfRule type="expression" dxfId="266" priority="75">
      <formula>kvartal &lt; 4</formula>
    </cfRule>
  </conditionalFormatting>
  <conditionalFormatting sqref="B123">
    <cfRule type="expression" dxfId="265" priority="74">
      <formula>kvartal &lt; 4</formula>
    </cfRule>
  </conditionalFormatting>
  <conditionalFormatting sqref="C123">
    <cfRule type="expression" dxfId="264" priority="73">
      <formula>kvartal &lt; 4</formula>
    </cfRule>
  </conditionalFormatting>
  <conditionalFormatting sqref="F115">
    <cfRule type="expression" dxfId="263" priority="58">
      <formula>kvartal &lt; 4</formula>
    </cfRule>
  </conditionalFormatting>
  <conditionalFormatting sqref="G115">
    <cfRule type="expression" dxfId="262" priority="57">
      <formula>kvartal &lt; 4</formula>
    </cfRule>
  </conditionalFormatting>
  <conditionalFormatting sqref="F123:G123">
    <cfRule type="expression" dxfId="261" priority="56">
      <formula>kvartal &lt; 4</formula>
    </cfRule>
  </conditionalFormatting>
  <conditionalFormatting sqref="J115:K115">
    <cfRule type="expression" dxfId="260" priority="32">
      <formula>kvartal &lt; 4</formula>
    </cfRule>
  </conditionalFormatting>
  <conditionalFormatting sqref="J123:K123">
    <cfRule type="expression" dxfId="259" priority="31">
      <formula>kvartal &lt; 4</formula>
    </cfRule>
  </conditionalFormatting>
  <conditionalFormatting sqref="A50:A52">
    <cfRule type="expression" dxfId="258" priority="12">
      <formula>kvartal &lt; 4</formula>
    </cfRule>
  </conditionalFormatting>
  <conditionalFormatting sqref="A69:A74">
    <cfRule type="expression" dxfId="257" priority="10">
      <formula>kvartal &lt; 4</formula>
    </cfRule>
  </conditionalFormatting>
  <conditionalFormatting sqref="A80:A85">
    <cfRule type="expression" dxfId="256" priority="9">
      <formula>kvartal &lt; 4</formula>
    </cfRule>
  </conditionalFormatting>
  <conditionalFormatting sqref="A90:A95">
    <cfRule type="expression" dxfId="255" priority="6">
      <formula>kvartal &lt; 4</formula>
    </cfRule>
  </conditionalFormatting>
  <conditionalFormatting sqref="A101:A106">
    <cfRule type="expression" dxfId="254" priority="5">
      <formula>kvartal &lt; 4</formula>
    </cfRule>
  </conditionalFormatting>
  <conditionalFormatting sqref="A115">
    <cfRule type="expression" dxfId="253" priority="4">
      <formula>kvartal &lt; 4</formula>
    </cfRule>
  </conditionalFormatting>
  <conditionalFormatting sqref="A123">
    <cfRule type="expression" dxfId="252" priority="3">
      <formula>kvartal &lt; 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90" zoomScaleNormal="90" workbookViewId="0">
      <selection activeCell="K140" sqref="K140"/>
    </sheetView>
  </sheetViews>
  <sheetFormatPr baseColWidth="10" defaultColWidth="11.42578125" defaultRowHeight="18.75" x14ac:dyDescent="0.3"/>
  <cols>
    <col min="10" max="11" width="16.7109375" customWidth="1"/>
    <col min="12" max="12" width="20.7109375" style="74" customWidth="1"/>
    <col min="13" max="14" width="15.85546875" style="74" bestFit="1" customWidth="1"/>
    <col min="15" max="15" width="22.85546875" customWidth="1"/>
    <col min="16" max="16" width="13.42578125" customWidth="1"/>
    <col min="17" max="17" width="13.85546875" customWidth="1"/>
  </cols>
  <sheetData>
    <row r="1" spans="1:15" x14ac:dyDescent="0.3">
      <c r="A1" s="73" t="s">
        <v>52</v>
      </c>
    </row>
    <row r="2" spans="1:15" x14ac:dyDescent="0.3">
      <c r="A2" s="75"/>
      <c r="B2" s="74"/>
      <c r="C2" s="74"/>
      <c r="D2" s="74"/>
      <c r="E2" s="74"/>
      <c r="F2" s="74"/>
      <c r="G2" s="74"/>
      <c r="H2" s="74"/>
      <c r="I2" s="74"/>
      <c r="J2" s="74"/>
      <c r="K2" s="74"/>
      <c r="O2" s="74"/>
    </row>
    <row r="3" spans="1:15" x14ac:dyDescent="0.3">
      <c r="A3" s="75" t="s">
        <v>32</v>
      </c>
      <c r="B3" s="74"/>
      <c r="C3" s="74"/>
      <c r="D3" s="74"/>
      <c r="E3" s="74"/>
      <c r="F3" s="74"/>
      <c r="G3" s="74"/>
      <c r="H3" s="74"/>
      <c r="I3" s="74"/>
      <c r="J3" s="74"/>
      <c r="K3" s="74"/>
      <c r="O3" s="74"/>
    </row>
    <row r="4" spans="1:15" x14ac:dyDescent="0.3">
      <c r="A4" s="74"/>
      <c r="B4" s="74"/>
      <c r="C4" s="74"/>
      <c r="D4" s="74"/>
      <c r="E4" s="74"/>
      <c r="F4" s="74"/>
      <c r="G4" s="74"/>
      <c r="H4" s="74"/>
      <c r="I4" s="74"/>
      <c r="J4" s="74"/>
      <c r="K4" s="74"/>
      <c r="L4" s="76"/>
      <c r="O4" s="74"/>
    </row>
    <row r="5" spans="1:15" x14ac:dyDescent="0.3">
      <c r="A5" s="75" t="s">
        <v>417</v>
      </c>
      <c r="B5" s="74"/>
      <c r="C5" s="74"/>
      <c r="D5" s="74"/>
      <c r="E5" s="74"/>
      <c r="F5" s="74"/>
      <c r="G5" s="74"/>
      <c r="H5" s="74"/>
      <c r="I5" s="79"/>
      <c r="J5" s="74"/>
      <c r="K5" s="74"/>
      <c r="O5" s="74"/>
    </row>
    <row r="6" spans="1:15" x14ac:dyDescent="0.3">
      <c r="A6" s="74"/>
      <c r="B6" s="74"/>
      <c r="C6" s="74"/>
      <c r="D6" s="74"/>
      <c r="E6" s="74"/>
      <c r="F6" s="74"/>
      <c r="G6" s="74"/>
      <c r="H6" s="74"/>
      <c r="I6" s="74"/>
      <c r="J6" s="74"/>
      <c r="K6" s="74"/>
      <c r="L6" s="74" t="s">
        <v>53</v>
      </c>
      <c r="O6" s="74"/>
    </row>
    <row r="7" spans="1:15" x14ac:dyDescent="0.3">
      <c r="A7" s="74"/>
      <c r="B7" s="74"/>
      <c r="C7" s="74"/>
      <c r="D7" s="74"/>
      <c r="E7" s="74"/>
      <c r="F7" s="74"/>
      <c r="G7" s="74"/>
      <c r="H7" s="74"/>
      <c r="I7" s="74"/>
      <c r="J7" s="74"/>
      <c r="K7" s="74"/>
      <c r="L7" s="74" t="s">
        <v>0</v>
      </c>
      <c r="O7" s="74"/>
    </row>
    <row r="8" spans="1:15" x14ac:dyDescent="0.3">
      <c r="A8" s="74"/>
      <c r="B8" s="74"/>
      <c r="C8" s="74"/>
      <c r="D8" s="74"/>
      <c r="E8" s="74"/>
      <c r="F8" s="74"/>
      <c r="G8" s="74"/>
      <c r="H8" s="74"/>
      <c r="I8" s="74"/>
      <c r="J8" s="74"/>
      <c r="K8" s="74"/>
      <c r="M8" s="74">
        <v>2019</v>
      </c>
      <c r="N8" s="74">
        <v>2020</v>
      </c>
      <c r="O8" s="74"/>
    </row>
    <row r="9" spans="1:15" x14ac:dyDescent="0.3">
      <c r="A9" s="74"/>
      <c r="B9" s="74"/>
      <c r="C9" s="74"/>
      <c r="D9" s="74"/>
      <c r="E9" s="74"/>
      <c r="F9" s="74"/>
      <c r="G9" s="74"/>
      <c r="H9" s="74"/>
      <c r="I9" s="74"/>
      <c r="J9" s="74"/>
      <c r="K9" s="74"/>
      <c r="L9" s="74" t="s">
        <v>54</v>
      </c>
      <c r="M9" s="77">
        <f>'Tabel 1.1'!B10</f>
        <v>106551.42599999999</v>
      </c>
      <c r="N9" s="77">
        <f>'Tabel 1.1'!C10</f>
        <v>109603.56300000001</v>
      </c>
      <c r="O9" s="74"/>
    </row>
    <row r="10" spans="1:15" x14ac:dyDescent="0.3">
      <c r="A10" s="74"/>
      <c r="B10" s="74"/>
      <c r="C10" s="74"/>
      <c r="D10" s="74"/>
      <c r="E10" s="74"/>
      <c r="F10" s="74"/>
      <c r="G10" s="74"/>
      <c r="H10" s="74"/>
      <c r="I10" s="74"/>
      <c r="J10" s="74"/>
      <c r="K10" s="74"/>
      <c r="L10" s="74" t="s">
        <v>55</v>
      </c>
      <c r="M10" s="77">
        <f>'Tabel 1.1'!B11</f>
        <v>1720403.8</v>
      </c>
      <c r="N10" s="77">
        <f>'Tabel 1.1'!C11</f>
        <v>1392573.169</v>
      </c>
      <c r="O10" s="74"/>
    </row>
    <row r="11" spans="1:15" x14ac:dyDescent="0.3">
      <c r="A11" s="74"/>
      <c r="B11" s="74"/>
      <c r="C11" s="74"/>
      <c r="D11" s="74"/>
      <c r="E11" s="74"/>
      <c r="F11" s="74"/>
      <c r="G11" s="74"/>
      <c r="H11" s="74"/>
      <c r="I11" s="74"/>
      <c r="J11" s="74"/>
      <c r="K11" s="74"/>
      <c r="L11" s="74" t="s">
        <v>56</v>
      </c>
      <c r="M11" s="77">
        <f>'Tabel 1.1'!B12</f>
        <v>73468</v>
      </c>
      <c r="N11" s="77">
        <f>'Tabel 1.1'!C12</f>
        <v>79343</v>
      </c>
      <c r="O11" s="74"/>
    </row>
    <row r="12" spans="1:15" x14ac:dyDescent="0.3">
      <c r="A12" s="74"/>
      <c r="B12" s="74"/>
      <c r="C12" s="74"/>
      <c r="D12" s="74"/>
      <c r="E12" s="74"/>
      <c r="F12" s="74"/>
      <c r="G12" s="74"/>
      <c r="H12" s="74"/>
      <c r="I12" s="74"/>
      <c r="J12" s="74"/>
      <c r="K12" s="74"/>
      <c r="L12" s="79" t="s">
        <v>407</v>
      </c>
      <c r="M12" s="77">
        <f>'Tabel 1.1'!B13</f>
        <v>0</v>
      </c>
      <c r="N12" s="77">
        <f>'Tabel 1.1'!C13</f>
        <v>825203.29516999994</v>
      </c>
      <c r="O12" s="74"/>
    </row>
    <row r="13" spans="1:15" x14ac:dyDescent="0.3">
      <c r="A13" s="74"/>
      <c r="B13" s="74"/>
      <c r="C13" s="74"/>
      <c r="D13" s="74"/>
      <c r="E13" s="74"/>
      <c r="F13" s="74"/>
      <c r="G13" s="74"/>
      <c r="H13" s="74"/>
      <c r="I13" s="74"/>
      <c r="J13" s="74"/>
      <c r="K13" s="74"/>
      <c r="L13" s="74" t="s">
        <v>57</v>
      </c>
      <c r="M13" s="77">
        <f>'Tabel 1.1'!B14</f>
        <v>493427</v>
      </c>
      <c r="N13" s="77">
        <f>'Tabel 1.1'!C14</f>
        <v>508634</v>
      </c>
      <c r="O13" s="74"/>
    </row>
    <row r="14" spans="1:15" x14ac:dyDescent="0.3">
      <c r="A14" s="74"/>
      <c r="B14" s="74"/>
      <c r="C14" s="74"/>
      <c r="D14" s="74"/>
      <c r="E14" s="74"/>
      <c r="F14" s="74"/>
      <c r="G14" s="74"/>
      <c r="H14" s="74"/>
      <c r="I14" s="74"/>
      <c r="J14" s="74"/>
      <c r="K14" s="74"/>
      <c r="L14" s="74" t="s">
        <v>58</v>
      </c>
      <c r="M14" s="77">
        <f>'Tabel 1.1'!B15</f>
        <v>1699</v>
      </c>
      <c r="N14" s="77">
        <f>'Tabel 1.1'!C15</f>
        <v>838</v>
      </c>
      <c r="O14" s="74"/>
    </row>
    <row r="15" spans="1:15" x14ac:dyDescent="0.3">
      <c r="A15" s="74"/>
      <c r="B15" s="74"/>
      <c r="C15" s="74"/>
      <c r="D15" s="74"/>
      <c r="E15" s="74"/>
      <c r="F15" s="74"/>
      <c r="G15" s="74"/>
      <c r="H15" s="74"/>
      <c r="I15" s="74"/>
      <c r="J15" s="74"/>
      <c r="K15" s="74"/>
      <c r="L15" s="74" t="s">
        <v>59</v>
      </c>
      <c r="M15" s="77">
        <f>'Tabel 1.1'!B16</f>
        <v>1031602</v>
      </c>
      <c r="N15" s="77">
        <f>'Tabel 1.1'!C16</f>
        <v>1082036</v>
      </c>
      <c r="O15" s="74"/>
    </row>
    <row r="16" spans="1:15" x14ac:dyDescent="0.3">
      <c r="A16" s="74"/>
      <c r="B16" s="74"/>
      <c r="C16" s="74"/>
      <c r="D16" s="74"/>
      <c r="E16" s="74"/>
      <c r="F16" s="74"/>
      <c r="G16" s="74"/>
      <c r="H16" s="74"/>
      <c r="I16" s="74"/>
      <c r="J16" s="74"/>
      <c r="K16" s="74"/>
      <c r="L16" s="74" t="s">
        <v>60</v>
      </c>
      <c r="M16" s="77">
        <f>'Tabel 1.1'!B17</f>
        <v>201661</v>
      </c>
      <c r="N16" s="77">
        <f>'Tabel 1.1'!C17</f>
        <v>209361</v>
      </c>
      <c r="O16" s="74"/>
    </row>
    <row r="17" spans="1:15" x14ac:dyDescent="0.3">
      <c r="A17" s="74"/>
      <c r="B17" s="74"/>
      <c r="C17" s="74"/>
      <c r="D17" s="74"/>
      <c r="E17" s="74"/>
      <c r="F17" s="74"/>
      <c r="G17" s="74"/>
      <c r="H17" s="74"/>
      <c r="I17" s="74"/>
      <c r="J17" s="74"/>
      <c r="K17" s="74"/>
      <c r="L17" s="74" t="s">
        <v>61</v>
      </c>
      <c r="M17" s="77">
        <f>'Tabel 1.1'!B18</f>
        <v>9227.8753499999984</v>
      </c>
      <c r="N17" s="77">
        <f>'Tabel 1.1'!C18</f>
        <v>8969.8688000000002</v>
      </c>
      <c r="O17" s="74"/>
    </row>
    <row r="18" spans="1:15" x14ac:dyDescent="0.3">
      <c r="A18" s="74"/>
      <c r="B18" s="74"/>
      <c r="C18" s="74"/>
      <c r="D18" s="74"/>
      <c r="E18" s="74"/>
      <c r="F18" s="74"/>
      <c r="G18" s="74"/>
      <c r="H18" s="74"/>
      <c r="I18" s="74"/>
      <c r="J18" s="74"/>
      <c r="K18" s="74"/>
      <c r="L18" s="74" t="s">
        <v>62</v>
      </c>
      <c r="M18" s="77">
        <f>'Tabel 1.1'!B19</f>
        <v>152402.34600000002</v>
      </c>
      <c r="N18" s="77">
        <f>'Tabel 1.1'!C19</f>
        <v>161371.50700000001</v>
      </c>
      <c r="O18" s="74"/>
    </row>
    <row r="19" spans="1:15" x14ac:dyDescent="0.3">
      <c r="A19" s="74"/>
      <c r="B19" s="74"/>
      <c r="C19" s="74"/>
      <c r="D19" s="74"/>
      <c r="E19" s="74"/>
      <c r="F19" s="74"/>
      <c r="G19" s="74"/>
      <c r="H19" s="74"/>
      <c r="I19" s="74"/>
      <c r="J19" s="74"/>
      <c r="K19" s="74"/>
      <c r="L19" s="74" t="s">
        <v>409</v>
      </c>
      <c r="M19" s="77">
        <f>'Tabel 1.1'!B20</f>
        <v>4425.9740000000002</v>
      </c>
      <c r="N19" s="77">
        <f>'Tabel 1.1'!C20</f>
        <v>3495.9480000000003</v>
      </c>
      <c r="O19" s="74"/>
    </row>
    <row r="20" spans="1:15" x14ac:dyDescent="0.3">
      <c r="A20" s="74"/>
      <c r="B20" s="74"/>
      <c r="C20" s="74"/>
      <c r="D20" s="74"/>
      <c r="E20" s="74"/>
      <c r="F20" s="74"/>
      <c r="G20" s="74"/>
      <c r="H20" s="74"/>
      <c r="I20" s="74"/>
      <c r="J20" s="74"/>
      <c r="K20" s="74"/>
      <c r="L20" s="74" t="s">
        <v>63</v>
      </c>
      <c r="M20" s="77">
        <f>'Tabel 1.1'!B21</f>
        <v>6685288.0742199998</v>
      </c>
      <c r="N20" s="77">
        <f>'Tabel 1.1'!C21</f>
        <v>7072533.2508100001</v>
      </c>
      <c r="O20" s="74"/>
    </row>
    <row r="21" spans="1:15" x14ac:dyDescent="0.3">
      <c r="A21" s="74"/>
      <c r="B21" s="74"/>
      <c r="C21" s="74"/>
      <c r="D21" s="74"/>
      <c r="E21" s="74"/>
      <c r="F21" s="74"/>
      <c r="G21" s="74"/>
      <c r="H21" s="74"/>
      <c r="I21" s="74"/>
      <c r="J21" s="74"/>
      <c r="K21" s="74"/>
      <c r="L21" s="74" t="s">
        <v>64</v>
      </c>
      <c r="M21" s="77">
        <f>'Tabel 1.1'!B22</f>
        <v>23364</v>
      </c>
      <c r="N21" s="77">
        <f>'Tabel 1.1'!C22</f>
        <v>24444</v>
      </c>
      <c r="O21" s="74"/>
    </row>
    <row r="22" spans="1:15" x14ac:dyDescent="0.3">
      <c r="A22" s="74"/>
      <c r="B22" s="74"/>
      <c r="C22" s="74"/>
      <c r="D22" s="74"/>
      <c r="E22" s="74"/>
      <c r="F22" s="74"/>
      <c r="G22" s="74"/>
      <c r="H22" s="74"/>
      <c r="I22" s="74"/>
      <c r="J22" s="74"/>
      <c r="K22" s="74"/>
      <c r="L22" s="74" t="s">
        <v>65</v>
      </c>
      <c r="M22" s="77">
        <f>'Tabel 1.1'!B23</f>
        <v>136835</v>
      </c>
      <c r="N22" s="77">
        <f>'Tabel 1.1'!C23</f>
        <v>156137.83600000001</v>
      </c>
      <c r="O22" s="74"/>
    </row>
    <row r="23" spans="1:15" x14ac:dyDescent="0.3">
      <c r="A23" s="74"/>
      <c r="B23" s="74"/>
      <c r="C23" s="74"/>
      <c r="D23" s="74"/>
      <c r="E23" s="74"/>
      <c r="F23" s="74"/>
      <c r="G23" s="74"/>
      <c r="H23" s="74"/>
      <c r="I23" s="74"/>
      <c r="J23" s="74"/>
      <c r="K23" s="74"/>
      <c r="L23" s="74" t="s">
        <v>408</v>
      </c>
      <c r="M23" s="77">
        <f>'Tabel 1.1'!B24</f>
        <v>22249</v>
      </c>
      <c r="N23" s="77">
        <f>'Tabel 1.1'!C24</f>
        <v>30906</v>
      </c>
      <c r="O23" s="74"/>
    </row>
    <row r="24" spans="1:15" x14ac:dyDescent="0.3">
      <c r="A24" s="74"/>
      <c r="B24" s="74"/>
      <c r="C24" s="74"/>
      <c r="D24" s="74"/>
      <c r="E24" s="74"/>
      <c r="F24" s="74"/>
      <c r="G24" s="74"/>
      <c r="H24" s="74"/>
      <c r="I24" s="74"/>
      <c r="J24" s="74"/>
      <c r="K24" s="74"/>
      <c r="L24" s="74" t="s">
        <v>66</v>
      </c>
      <c r="M24" s="77">
        <f>'Tabel 1.1'!B25</f>
        <v>643709.20639581443</v>
      </c>
      <c r="N24" s="77">
        <f>'Tabel 1.1'!C25</f>
        <v>629530.54245577473</v>
      </c>
      <c r="O24" s="74"/>
    </row>
    <row r="25" spans="1:15" x14ac:dyDescent="0.3">
      <c r="A25" s="74"/>
      <c r="B25" s="74"/>
      <c r="C25" s="74"/>
      <c r="D25" s="74"/>
      <c r="E25" s="74"/>
      <c r="F25" s="74"/>
      <c r="G25" s="74"/>
      <c r="H25" s="74"/>
      <c r="I25" s="74"/>
      <c r="J25" s="74"/>
      <c r="K25" s="74"/>
      <c r="L25" s="74" t="s">
        <v>67</v>
      </c>
      <c r="M25" s="77">
        <f>'Tabel 1.1'!B26</f>
        <v>973969.14500999998</v>
      </c>
      <c r="N25" s="77">
        <f>'Tabel 1.1'!C26</f>
        <v>595788.33617999998</v>
      </c>
      <c r="O25" s="74"/>
    </row>
    <row r="26" spans="1:15" s="141" customFormat="1" x14ac:dyDescent="0.3">
      <c r="A26" s="74"/>
      <c r="B26" s="74"/>
      <c r="C26" s="74"/>
      <c r="D26" s="74"/>
      <c r="E26" s="74"/>
      <c r="F26" s="74"/>
      <c r="G26" s="74"/>
      <c r="H26" s="74"/>
      <c r="I26" s="74"/>
      <c r="J26" s="74"/>
      <c r="K26" s="74"/>
      <c r="L26" s="74" t="s">
        <v>399</v>
      </c>
      <c r="M26" s="77">
        <f>'Tabel 1.1'!B27</f>
        <v>174427.98112853389</v>
      </c>
      <c r="N26" s="77">
        <f>'Tabel 1.1'!C27</f>
        <v>196210.82700126772</v>
      </c>
      <c r="O26" s="74"/>
    </row>
    <row r="27" spans="1:15" x14ac:dyDescent="0.3">
      <c r="A27" s="74"/>
      <c r="B27" s="74"/>
      <c r="C27" s="74"/>
      <c r="D27" s="74"/>
      <c r="E27" s="74"/>
      <c r="F27" s="74"/>
      <c r="G27" s="74"/>
      <c r="H27" s="74"/>
      <c r="I27" s="74"/>
      <c r="J27" s="74"/>
      <c r="K27" s="74"/>
      <c r="L27" s="74" t="s">
        <v>68</v>
      </c>
      <c r="M27" s="77">
        <f>'Tabel 1.1'!B28</f>
        <v>894213.30877</v>
      </c>
      <c r="N27" s="77">
        <f>'Tabel 1.1'!C28</f>
        <v>250321.98676</v>
      </c>
      <c r="O27" s="74"/>
    </row>
    <row r="28" spans="1:15" x14ac:dyDescent="0.3">
      <c r="A28" s="74"/>
      <c r="B28" s="74"/>
      <c r="C28" s="74"/>
      <c r="D28" s="74"/>
      <c r="E28" s="74"/>
      <c r="F28" s="74"/>
      <c r="G28" s="74"/>
      <c r="H28" s="74"/>
      <c r="I28" s="74"/>
      <c r="J28" s="74"/>
      <c r="K28" s="74"/>
      <c r="L28" s="74" t="s">
        <v>69</v>
      </c>
      <c r="M28" s="77">
        <f>'Tabel 1.1'!B29</f>
        <v>2180985.9240000001</v>
      </c>
      <c r="N28" s="77">
        <f>'Tabel 1.1'!C29</f>
        <v>2540938.0070000002</v>
      </c>
    </row>
    <row r="29" spans="1:15" x14ac:dyDescent="0.3">
      <c r="A29" s="74"/>
      <c r="B29" s="74"/>
      <c r="C29" s="74"/>
      <c r="D29" s="74"/>
      <c r="E29" s="74"/>
      <c r="F29" s="74"/>
      <c r="G29" s="74"/>
      <c r="H29" s="74"/>
      <c r="I29" s="74"/>
      <c r="J29" s="74"/>
      <c r="K29" s="74"/>
      <c r="L29" s="74" t="s">
        <v>70</v>
      </c>
      <c r="M29" s="77">
        <f>'Tabel 1.1'!B30</f>
        <v>0</v>
      </c>
      <c r="N29" s="77">
        <f>'Tabel 1.1'!C30</f>
        <v>0</v>
      </c>
    </row>
    <row r="30" spans="1:15" x14ac:dyDescent="0.3">
      <c r="A30" s="74"/>
      <c r="B30" s="74"/>
      <c r="C30" s="74"/>
      <c r="D30" s="74"/>
      <c r="E30" s="74"/>
      <c r="F30" s="74"/>
      <c r="G30" s="74"/>
      <c r="H30" s="74"/>
      <c r="I30" s="74"/>
      <c r="J30" s="74"/>
      <c r="K30" s="74"/>
      <c r="L30" s="74" t="s">
        <v>71</v>
      </c>
      <c r="M30" s="77">
        <f>'Tabel 1.1'!B31</f>
        <v>497838</v>
      </c>
      <c r="N30" s="77">
        <f>'Tabel 1.1'!C31</f>
        <v>510830.81199999998</v>
      </c>
    </row>
    <row r="31" spans="1:15" x14ac:dyDescent="0.3">
      <c r="A31" s="75" t="s">
        <v>422</v>
      </c>
      <c r="B31" s="74"/>
      <c r="C31" s="74"/>
      <c r="D31" s="74"/>
      <c r="E31" s="74"/>
      <c r="F31" s="74"/>
      <c r="G31" s="74"/>
      <c r="H31" s="74"/>
      <c r="I31" s="79"/>
      <c r="J31" s="74"/>
      <c r="K31" s="74"/>
      <c r="L31" s="74" t="s">
        <v>429</v>
      </c>
    </row>
    <row r="32" spans="1:15" x14ac:dyDescent="0.3">
      <c r="B32" s="74"/>
      <c r="C32" s="74"/>
      <c r="D32" s="74"/>
      <c r="E32" s="74"/>
      <c r="F32" s="74"/>
      <c r="G32" s="74"/>
      <c r="H32" s="74"/>
      <c r="I32" s="74"/>
      <c r="J32" s="74"/>
      <c r="K32" s="74"/>
    </row>
    <row r="33" spans="1:15" x14ac:dyDescent="0.3">
      <c r="B33" s="74"/>
      <c r="C33" s="74"/>
      <c r="D33" s="74"/>
      <c r="E33" s="74"/>
      <c r="F33" s="74"/>
      <c r="G33" s="74"/>
      <c r="H33" s="74"/>
      <c r="I33" s="74"/>
      <c r="J33" s="74"/>
      <c r="K33" s="74"/>
    </row>
    <row r="34" spans="1:15" x14ac:dyDescent="0.3">
      <c r="A34" s="74"/>
      <c r="B34" s="74"/>
      <c r="C34" s="74"/>
      <c r="D34" s="74"/>
      <c r="E34" s="74"/>
      <c r="F34" s="74"/>
      <c r="G34" s="74"/>
      <c r="H34" s="74"/>
      <c r="I34" s="74"/>
      <c r="J34" s="74"/>
      <c r="K34" s="74"/>
    </row>
    <row r="35" spans="1:15" x14ac:dyDescent="0.3">
      <c r="A35" s="74"/>
      <c r="B35" s="74"/>
      <c r="C35" s="74"/>
      <c r="D35" s="74"/>
      <c r="E35" s="74"/>
      <c r="F35" s="74"/>
      <c r="G35" s="74"/>
      <c r="H35" s="74"/>
      <c r="I35" s="74"/>
      <c r="J35" s="74"/>
      <c r="K35" s="74"/>
      <c r="L35" s="74" t="s">
        <v>53</v>
      </c>
    </row>
    <row r="36" spans="1:15" x14ac:dyDescent="0.3">
      <c r="A36" s="74"/>
      <c r="B36" s="74"/>
      <c r="C36" s="74"/>
      <c r="D36" s="74"/>
      <c r="E36" s="74"/>
      <c r="F36" s="74"/>
      <c r="G36" s="74"/>
      <c r="H36" s="74"/>
      <c r="I36" s="74"/>
      <c r="J36" s="74"/>
      <c r="K36" s="74"/>
      <c r="L36" s="74" t="s">
        <v>1</v>
      </c>
    </row>
    <row r="37" spans="1:15" x14ac:dyDescent="0.3">
      <c r="A37" s="74"/>
      <c r="B37" s="74"/>
      <c r="C37" s="74"/>
      <c r="D37" s="74"/>
      <c r="E37" s="74"/>
      <c r="F37" s="74"/>
      <c r="G37" s="74"/>
      <c r="H37" s="74"/>
      <c r="I37" s="74"/>
      <c r="J37" s="74"/>
      <c r="K37" s="74"/>
      <c r="M37" s="74">
        <v>2019</v>
      </c>
      <c r="N37" s="74">
        <v>2020</v>
      </c>
    </row>
    <row r="38" spans="1:15" x14ac:dyDescent="0.3">
      <c r="A38" s="74"/>
      <c r="B38" s="74"/>
      <c r="C38" s="74"/>
      <c r="D38" s="74"/>
      <c r="E38" s="74"/>
      <c r="F38" s="74"/>
      <c r="G38" s="74"/>
      <c r="H38" s="74"/>
      <c r="I38" s="74"/>
      <c r="J38" s="74"/>
      <c r="K38" s="74"/>
      <c r="L38" s="79" t="s">
        <v>54</v>
      </c>
      <c r="M38" s="78">
        <f>'Tabel 1.1'!B36</f>
        <v>506748.04200000002</v>
      </c>
      <c r="N38" s="78">
        <f>'Tabel 1.1'!C36</f>
        <v>556076.75199999998</v>
      </c>
    </row>
    <row r="39" spans="1:15" x14ac:dyDescent="0.3">
      <c r="A39" s="74"/>
      <c r="B39" s="74"/>
      <c r="C39" s="74"/>
      <c r="D39" s="74"/>
      <c r="E39" s="74"/>
      <c r="F39" s="74"/>
      <c r="G39" s="74"/>
      <c r="H39" s="74"/>
      <c r="I39" s="74"/>
      <c r="J39" s="74"/>
      <c r="K39" s="74"/>
      <c r="L39" s="74" t="s">
        <v>55</v>
      </c>
      <c r="M39" s="78">
        <f>'Tabel 1.1'!B37</f>
        <v>2408062</v>
      </c>
      <c r="N39" s="78">
        <f>'Tabel 1.1'!C37</f>
        <v>2457225.304</v>
      </c>
    </row>
    <row r="40" spans="1:15" x14ac:dyDescent="0.3">
      <c r="A40" s="74"/>
      <c r="B40" s="74"/>
      <c r="C40" s="74"/>
      <c r="D40" s="74"/>
      <c r="E40" s="74"/>
      <c r="F40" s="74"/>
      <c r="G40" s="74"/>
      <c r="H40" s="74"/>
      <c r="I40" s="74"/>
      <c r="J40" s="74"/>
      <c r="K40" s="74"/>
      <c r="L40" s="74" t="s">
        <v>57</v>
      </c>
      <c r="M40" s="78">
        <f>'Tabel 1.1'!B38</f>
        <v>96311</v>
      </c>
      <c r="N40" s="78">
        <f>'Tabel 1.1'!C38</f>
        <v>105771</v>
      </c>
    </row>
    <row r="41" spans="1:15" x14ac:dyDescent="0.3">
      <c r="A41" s="74"/>
      <c r="B41" s="74"/>
      <c r="C41" s="74"/>
      <c r="D41" s="74"/>
      <c r="E41" s="74"/>
      <c r="F41" s="74"/>
      <c r="G41" s="74"/>
      <c r="H41" s="74"/>
      <c r="I41" s="74"/>
      <c r="J41" s="74"/>
      <c r="K41" s="74"/>
      <c r="L41" s="79" t="s">
        <v>60</v>
      </c>
      <c r="M41" s="78">
        <f>'Tabel 1.1'!B39</f>
        <v>781465</v>
      </c>
      <c r="N41" s="78">
        <f>'Tabel 1.1'!C39</f>
        <v>826908</v>
      </c>
      <c r="O41" s="74"/>
    </row>
    <row r="42" spans="1:15" x14ac:dyDescent="0.3">
      <c r="A42" s="74"/>
      <c r="B42" s="74"/>
      <c r="C42" s="74"/>
      <c r="D42" s="74"/>
      <c r="E42" s="74"/>
      <c r="F42" s="74"/>
      <c r="G42" s="74"/>
      <c r="H42" s="74"/>
      <c r="I42" s="74"/>
      <c r="J42" s="74"/>
      <c r="K42" s="74"/>
      <c r="L42" s="74" t="s">
        <v>63</v>
      </c>
      <c r="M42" s="78">
        <f>'Tabel 1.1'!B40</f>
        <v>19489.256000000001</v>
      </c>
      <c r="N42" s="78">
        <f>'Tabel 1.1'!C40</f>
        <v>13284.058000000001</v>
      </c>
      <c r="O42" s="74"/>
    </row>
    <row r="43" spans="1:15" x14ac:dyDescent="0.3">
      <c r="A43" s="74"/>
      <c r="B43" s="74"/>
      <c r="C43" s="74"/>
      <c r="D43" s="74"/>
      <c r="E43" s="74"/>
      <c r="F43" s="74"/>
      <c r="G43" s="74"/>
      <c r="H43" s="74"/>
      <c r="I43" s="74"/>
      <c r="J43" s="74"/>
      <c r="K43" s="74"/>
      <c r="L43" s="79" t="s">
        <v>64</v>
      </c>
      <c r="M43" s="78">
        <f>'Tabel 1.1'!B41</f>
        <v>135943</v>
      </c>
      <c r="N43" s="78">
        <f>'Tabel 1.1'!C41</f>
        <v>155790</v>
      </c>
      <c r="O43" s="74"/>
    </row>
    <row r="44" spans="1:15" x14ac:dyDescent="0.3">
      <c r="A44" s="74"/>
      <c r="B44" s="74"/>
      <c r="C44" s="74"/>
      <c r="D44" s="74"/>
      <c r="E44" s="74"/>
      <c r="F44" s="74"/>
      <c r="G44" s="74"/>
      <c r="H44" s="74"/>
      <c r="I44" s="74"/>
      <c r="J44" s="74"/>
      <c r="K44" s="74"/>
      <c r="L44" s="79" t="s">
        <v>66</v>
      </c>
      <c r="M44" s="78">
        <f>'Tabel 1.1'!B42</f>
        <v>3083447.26988</v>
      </c>
      <c r="N44" s="78">
        <f>'Tabel 1.1'!C42</f>
        <v>3056093.7786399997</v>
      </c>
      <c r="O44" s="74"/>
    </row>
    <row r="45" spans="1:15" x14ac:dyDescent="0.3">
      <c r="A45" s="74"/>
      <c r="B45" s="74"/>
      <c r="C45" s="74"/>
      <c r="D45" s="74"/>
      <c r="E45" s="74"/>
      <c r="F45" s="74"/>
      <c r="G45" s="74"/>
      <c r="H45" s="74"/>
      <c r="I45" s="74"/>
      <c r="J45" s="74"/>
      <c r="K45" s="74"/>
      <c r="L45" s="79" t="s">
        <v>72</v>
      </c>
      <c r="M45" s="78">
        <f>'Tabel 1.1'!B43</f>
        <v>38700.716099999998</v>
      </c>
      <c r="N45" s="78">
        <f>'Tabel 1.1'!C43</f>
        <v>40693.550899999995</v>
      </c>
      <c r="O45" s="74"/>
    </row>
    <row r="46" spans="1:15" x14ac:dyDescent="0.3">
      <c r="A46" s="74"/>
      <c r="B46" s="74"/>
      <c r="C46" s="74"/>
      <c r="D46" s="74"/>
      <c r="E46" s="74"/>
      <c r="F46" s="74"/>
      <c r="G46" s="74"/>
      <c r="H46" s="74"/>
      <c r="I46" s="74"/>
      <c r="J46" s="74"/>
      <c r="K46" s="74"/>
      <c r="L46" s="79" t="s">
        <v>68</v>
      </c>
      <c r="M46" s="78">
        <f>'Tabel 1.1'!B44</f>
        <v>1073722.1763800001</v>
      </c>
      <c r="N46" s="78">
        <f>'Tabel 1.1'!C44</f>
        <v>1184786.1743300001</v>
      </c>
      <c r="O46" s="74"/>
    </row>
    <row r="47" spans="1:15" x14ac:dyDescent="0.3">
      <c r="A47" s="74"/>
      <c r="B47" s="74"/>
      <c r="C47" s="74"/>
      <c r="D47" s="74"/>
      <c r="E47" s="74"/>
      <c r="F47" s="74"/>
      <c r="G47" s="74"/>
      <c r="H47" s="74"/>
      <c r="I47" s="74"/>
      <c r="J47" s="74"/>
      <c r="K47" s="74"/>
      <c r="L47" s="79" t="s">
        <v>73</v>
      </c>
      <c r="M47" s="78">
        <f>'Tabel 1.1'!B45</f>
        <v>2762007.8890000004</v>
      </c>
      <c r="N47" s="78">
        <f>'Tabel 1.1'!C45</f>
        <v>3276242.0279999999</v>
      </c>
      <c r="O47" s="74"/>
    </row>
    <row r="48" spans="1:15" x14ac:dyDescent="0.3">
      <c r="A48" s="74"/>
      <c r="B48" s="74"/>
      <c r="C48" s="74"/>
      <c r="D48" s="74"/>
      <c r="E48" s="74"/>
      <c r="F48" s="74"/>
      <c r="G48" s="74"/>
      <c r="H48" s="74"/>
      <c r="I48" s="74"/>
      <c r="J48" s="74"/>
      <c r="K48" s="74"/>
      <c r="O48" s="74"/>
    </row>
    <row r="49" spans="1:15" x14ac:dyDescent="0.3">
      <c r="A49" s="74"/>
      <c r="B49" s="74"/>
      <c r="C49" s="74"/>
      <c r="D49" s="74"/>
      <c r="E49" s="74"/>
      <c r="F49" s="74"/>
      <c r="G49" s="74"/>
      <c r="H49" s="74"/>
      <c r="I49" s="74"/>
      <c r="J49" s="74"/>
      <c r="K49" s="74"/>
      <c r="L49" s="79"/>
      <c r="M49" s="78"/>
      <c r="N49" s="78"/>
      <c r="O49" s="74"/>
    </row>
    <row r="50" spans="1:15" x14ac:dyDescent="0.3">
      <c r="A50" s="74"/>
      <c r="B50" s="74"/>
      <c r="C50" s="74"/>
      <c r="D50" s="74"/>
      <c r="E50" s="74"/>
      <c r="F50" s="74"/>
      <c r="G50" s="74"/>
      <c r="H50" s="74"/>
      <c r="I50" s="74"/>
      <c r="J50" s="74"/>
      <c r="K50" s="74"/>
      <c r="M50" s="77"/>
      <c r="N50" s="77"/>
      <c r="O50" s="74"/>
    </row>
    <row r="51" spans="1:15" x14ac:dyDescent="0.3">
      <c r="A51" s="74"/>
      <c r="B51" s="74"/>
      <c r="C51" s="74"/>
      <c r="D51" s="74"/>
      <c r="E51" s="74"/>
      <c r="F51" s="74"/>
      <c r="G51" s="74"/>
      <c r="H51" s="74"/>
      <c r="I51" s="74"/>
      <c r="J51" s="74"/>
      <c r="K51" s="74"/>
      <c r="M51" s="77"/>
      <c r="N51" s="77"/>
      <c r="O51" s="74"/>
    </row>
    <row r="52" spans="1:15" x14ac:dyDescent="0.3">
      <c r="A52" s="74"/>
      <c r="B52" s="74"/>
      <c r="C52" s="74"/>
      <c r="D52" s="74"/>
      <c r="E52" s="74"/>
      <c r="F52" s="74"/>
      <c r="G52" s="74"/>
      <c r="H52" s="74"/>
      <c r="I52" s="74"/>
      <c r="J52" s="74"/>
      <c r="K52" s="74"/>
      <c r="M52" s="77"/>
      <c r="N52" s="77"/>
      <c r="O52" s="74"/>
    </row>
    <row r="53" spans="1:15" x14ac:dyDescent="0.3">
      <c r="A53" s="74"/>
      <c r="B53" s="74"/>
      <c r="C53" s="74"/>
      <c r="D53" s="74"/>
      <c r="E53" s="74"/>
      <c r="F53" s="74"/>
      <c r="G53" s="74"/>
      <c r="H53" s="74"/>
      <c r="I53" s="74"/>
      <c r="J53" s="74"/>
      <c r="K53" s="74"/>
      <c r="M53" s="77"/>
      <c r="N53" s="77"/>
      <c r="O53" s="74"/>
    </row>
    <row r="54" spans="1:15" x14ac:dyDescent="0.3">
      <c r="A54" s="74"/>
      <c r="B54" s="74"/>
      <c r="C54" s="74"/>
      <c r="D54" s="74"/>
      <c r="E54" s="74"/>
      <c r="F54" s="74"/>
      <c r="G54" s="74"/>
      <c r="H54" s="74"/>
      <c r="I54" s="74"/>
      <c r="J54" s="74"/>
      <c r="K54" s="74"/>
      <c r="O54" s="74"/>
    </row>
    <row r="55" spans="1:15" x14ac:dyDescent="0.3">
      <c r="A55" s="74"/>
      <c r="B55" s="74"/>
      <c r="C55" s="74"/>
      <c r="D55" s="74"/>
      <c r="E55" s="74"/>
      <c r="F55" s="74"/>
      <c r="G55" s="74"/>
      <c r="H55" s="74"/>
      <c r="I55" s="74"/>
      <c r="J55" s="74"/>
      <c r="K55" s="74"/>
      <c r="O55" s="74"/>
    </row>
    <row r="56" spans="1:15" x14ac:dyDescent="0.3">
      <c r="A56" s="75" t="s">
        <v>418</v>
      </c>
      <c r="B56" s="74"/>
      <c r="C56" s="74"/>
      <c r="D56" s="74"/>
      <c r="E56" s="74"/>
      <c r="F56" s="74"/>
      <c r="G56" s="74"/>
      <c r="H56" s="74"/>
      <c r="I56" s="79"/>
      <c r="J56" s="74"/>
      <c r="K56" s="74"/>
      <c r="L56" s="79" t="s">
        <v>74</v>
      </c>
      <c r="O56" s="74"/>
    </row>
    <row r="57" spans="1:15" x14ac:dyDescent="0.3">
      <c r="A57" s="74"/>
      <c r="B57" s="74"/>
      <c r="C57" s="74"/>
      <c r="D57" s="74"/>
      <c r="E57" s="74"/>
      <c r="F57" s="74"/>
      <c r="G57" s="74"/>
      <c r="H57" s="74"/>
      <c r="I57" s="74"/>
      <c r="J57" s="74"/>
      <c r="K57" s="74"/>
      <c r="L57" s="74" t="s">
        <v>0</v>
      </c>
      <c r="O57" s="74"/>
    </row>
    <row r="58" spans="1:15" x14ac:dyDescent="0.3">
      <c r="A58" s="74"/>
      <c r="B58" s="74"/>
      <c r="C58" s="74"/>
      <c r="D58" s="74"/>
      <c r="E58" s="74"/>
      <c r="F58" s="74"/>
      <c r="G58" s="74"/>
      <c r="H58" s="74"/>
      <c r="I58" s="74"/>
      <c r="J58" s="74"/>
      <c r="K58" s="74"/>
      <c r="M58" s="74">
        <v>2019</v>
      </c>
      <c r="N58" s="74">
        <v>2020</v>
      </c>
      <c r="O58" s="74"/>
    </row>
    <row r="59" spans="1:15" x14ac:dyDescent="0.3">
      <c r="A59" s="74"/>
      <c r="B59" s="74"/>
      <c r="C59" s="74"/>
      <c r="D59" s="74"/>
      <c r="E59" s="74"/>
      <c r="F59" s="74"/>
      <c r="G59" s="74"/>
      <c r="H59" s="74"/>
      <c r="I59" s="74"/>
      <c r="J59" s="74"/>
      <c r="K59" s="74"/>
      <c r="L59" s="74" t="s">
        <v>54</v>
      </c>
      <c r="M59" s="77">
        <f>'Tabel 1.1'!G10</f>
        <v>1186547.58</v>
      </c>
      <c r="N59" s="77">
        <f>'Tabel 1.1'!H10</f>
        <v>1183791.0419999999</v>
      </c>
      <c r="O59" s="74"/>
    </row>
    <row r="60" spans="1:15" x14ac:dyDescent="0.3">
      <c r="A60" s="74"/>
      <c r="B60" s="74"/>
      <c r="C60" s="74"/>
      <c r="D60" s="74"/>
      <c r="E60" s="74"/>
      <c r="F60" s="74"/>
      <c r="G60" s="74"/>
      <c r="H60" s="74"/>
      <c r="I60" s="74"/>
      <c r="J60" s="74"/>
      <c r="K60" s="74"/>
      <c r="L60" s="74" t="s">
        <v>55</v>
      </c>
      <c r="M60" s="77">
        <f>'Tabel 1.1'!G11</f>
        <v>200343540.27200001</v>
      </c>
      <c r="N60" s="77">
        <f>'Tabel 1.1'!H11</f>
        <v>197164195.84099999</v>
      </c>
      <c r="O60" s="74"/>
    </row>
    <row r="61" spans="1:15" x14ac:dyDescent="0.3">
      <c r="A61" s="74"/>
      <c r="B61" s="74"/>
      <c r="C61" s="74"/>
      <c r="D61" s="74"/>
      <c r="E61" s="74"/>
      <c r="F61" s="74"/>
      <c r="G61" s="74"/>
      <c r="H61" s="74"/>
      <c r="I61" s="74"/>
      <c r="J61" s="74"/>
      <c r="K61" s="74"/>
      <c r="L61" s="74" t="s">
        <v>56</v>
      </c>
      <c r="M61" s="77">
        <f>'Tabel 1.1'!G12</f>
        <v>0</v>
      </c>
      <c r="N61" s="77">
        <f>'Tabel 1.1'!H12</f>
        <v>0</v>
      </c>
      <c r="O61" s="74"/>
    </row>
    <row r="62" spans="1:15" x14ac:dyDescent="0.3">
      <c r="A62" s="74"/>
      <c r="B62" s="74"/>
      <c r="C62" s="74"/>
      <c r="D62" s="74"/>
      <c r="E62" s="74"/>
      <c r="F62" s="74"/>
      <c r="G62" s="74"/>
      <c r="H62" s="74"/>
      <c r="I62" s="74"/>
      <c r="J62" s="74"/>
      <c r="K62" s="74"/>
      <c r="L62" s="79" t="s">
        <v>407</v>
      </c>
      <c r="M62" s="77">
        <f>'Tabel 1.1'!G13</f>
        <v>0</v>
      </c>
      <c r="N62" s="77">
        <f>'Tabel 1.1'!H13</f>
        <v>0</v>
      </c>
      <c r="O62" s="74"/>
    </row>
    <row r="63" spans="1:15" x14ac:dyDescent="0.3">
      <c r="A63" s="74"/>
      <c r="B63" s="74"/>
      <c r="C63" s="74"/>
      <c r="D63" s="74"/>
      <c r="E63" s="74"/>
      <c r="F63" s="74"/>
      <c r="G63" s="74"/>
      <c r="H63" s="74"/>
      <c r="I63" s="74"/>
      <c r="J63" s="74"/>
      <c r="K63" s="74"/>
      <c r="L63" s="74" t="s">
        <v>57</v>
      </c>
      <c r="M63" s="77">
        <f>'Tabel 1.1'!G14</f>
        <v>1154102.79</v>
      </c>
      <c r="N63" s="77">
        <f>'Tabel 1.1'!H14</f>
        <v>1243833</v>
      </c>
      <c r="O63" s="74"/>
    </row>
    <row r="64" spans="1:15" x14ac:dyDescent="0.3">
      <c r="A64" s="74"/>
      <c r="B64" s="74"/>
      <c r="C64" s="74"/>
      <c r="D64" s="74"/>
      <c r="E64" s="74"/>
      <c r="F64" s="74"/>
      <c r="G64" s="74"/>
      <c r="H64" s="74"/>
      <c r="I64" s="74"/>
      <c r="J64" s="74"/>
      <c r="K64" s="74"/>
      <c r="L64" s="74" t="s">
        <v>430</v>
      </c>
      <c r="M64" s="77">
        <f>'Tabel 1.1'!G15</f>
        <v>0</v>
      </c>
      <c r="N64" s="77">
        <f>'Tabel 1.1'!H15</f>
        <v>0</v>
      </c>
      <c r="O64" s="74"/>
    </row>
    <row r="65" spans="1:15" x14ac:dyDescent="0.3">
      <c r="A65" s="74"/>
      <c r="B65" s="74"/>
      <c r="C65" s="74"/>
      <c r="D65" s="74"/>
      <c r="E65" s="74"/>
      <c r="F65" s="74"/>
      <c r="G65" s="74"/>
      <c r="H65" s="74"/>
      <c r="I65" s="74"/>
      <c r="J65" s="74"/>
      <c r="K65" s="74"/>
      <c r="L65" s="74" t="s">
        <v>59</v>
      </c>
      <c r="M65" s="77">
        <f>'Tabel 1.1'!G15</f>
        <v>0</v>
      </c>
      <c r="N65" s="77">
        <f>'Tabel 1.1'!H15</f>
        <v>0</v>
      </c>
      <c r="O65" s="74"/>
    </row>
    <row r="66" spans="1:15" x14ac:dyDescent="0.3">
      <c r="A66" s="74"/>
      <c r="B66" s="74"/>
      <c r="C66" s="74"/>
      <c r="D66" s="74"/>
      <c r="E66" s="74"/>
      <c r="F66" s="74"/>
      <c r="G66" s="74"/>
      <c r="H66" s="74"/>
      <c r="I66" s="74"/>
      <c r="J66" s="74"/>
      <c r="K66" s="74"/>
      <c r="L66" s="74" t="s">
        <v>60</v>
      </c>
      <c r="M66" s="77">
        <f>'Tabel 1.1'!G17</f>
        <v>6798454</v>
      </c>
      <c r="N66" s="77">
        <f>'Tabel 1.1'!H17</f>
        <v>7256412</v>
      </c>
      <c r="O66" s="74"/>
    </row>
    <row r="67" spans="1:15" x14ac:dyDescent="0.3">
      <c r="A67" s="74"/>
      <c r="B67" s="74"/>
      <c r="C67" s="74"/>
      <c r="D67" s="74"/>
      <c r="E67" s="74"/>
      <c r="F67" s="74"/>
      <c r="G67" s="74"/>
      <c r="H67" s="74"/>
      <c r="I67" s="74"/>
      <c r="J67" s="74"/>
      <c r="K67" s="74"/>
      <c r="L67" s="74" t="s">
        <v>61</v>
      </c>
      <c r="M67" s="77">
        <f>'Tabel 1.1'!G18</f>
        <v>24156.061791620199</v>
      </c>
      <c r="N67" s="77">
        <f>'Tabel 1.1'!H18</f>
        <v>27018.357819261299</v>
      </c>
      <c r="O67" s="74"/>
    </row>
    <row r="68" spans="1:15" x14ac:dyDescent="0.3">
      <c r="A68" s="74"/>
      <c r="B68" s="74"/>
      <c r="C68" s="74"/>
      <c r="D68" s="74"/>
      <c r="E68" s="74"/>
      <c r="F68" s="74"/>
      <c r="G68" s="74"/>
      <c r="H68" s="74"/>
      <c r="I68" s="74"/>
      <c r="J68" s="74"/>
      <c r="K68" s="74"/>
      <c r="L68" s="74" t="s">
        <v>62</v>
      </c>
      <c r="M68" s="77">
        <f>'Tabel 1.1'!G19</f>
        <v>0</v>
      </c>
      <c r="N68" s="77">
        <f>'Tabel 1.1'!H19</f>
        <v>0</v>
      </c>
      <c r="O68" s="74"/>
    </row>
    <row r="69" spans="1:15" x14ac:dyDescent="0.3">
      <c r="A69" s="74"/>
      <c r="B69" s="74"/>
      <c r="C69" s="74"/>
      <c r="D69" s="74"/>
      <c r="E69" s="74"/>
      <c r="F69" s="74"/>
      <c r="G69" s="74"/>
      <c r="H69" s="74"/>
      <c r="I69" s="74"/>
      <c r="J69" s="74"/>
      <c r="K69" s="74"/>
      <c r="L69" s="74" t="s">
        <v>409</v>
      </c>
      <c r="M69" s="77">
        <f>'Tabel 1.1'!G20</f>
        <v>2618.067</v>
      </c>
      <c r="N69" s="77">
        <f>'Tabel 1.1'!H20</f>
        <v>0</v>
      </c>
      <c r="O69" s="74"/>
    </row>
    <row r="70" spans="1:15" x14ac:dyDescent="0.3">
      <c r="A70" s="74"/>
      <c r="B70" s="74"/>
      <c r="C70" s="74"/>
      <c r="D70" s="74"/>
      <c r="E70" s="74"/>
      <c r="F70" s="74"/>
      <c r="G70" s="74"/>
      <c r="H70" s="74"/>
      <c r="I70" s="74"/>
      <c r="J70" s="74"/>
      <c r="K70" s="74"/>
      <c r="L70" s="74" t="s">
        <v>63</v>
      </c>
      <c r="M70" s="77">
        <f>'Tabel 1.1'!G21</f>
        <v>477264053.30385</v>
      </c>
      <c r="N70" s="77">
        <f>'Tabel 1.1'!H21</f>
        <v>508505466.93022001</v>
      </c>
      <c r="O70" s="74"/>
    </row>
    <row r="71" spans="1:15" x14ac:dyDescent="0.3">
      <c r="A71" s="74"/>
      <c r="B71" s="74"/>
      <c r="C71" s="74"/>
      <c r="D71" s="74"/>
      <c r="E71" s="74"/>
      <c r="F71" s="74"/>
      <c r="G71" s="74"/>
      <c r="H71" s="74"/>
      <c r="I71" s="74"/>
      <c r="J71" s="74"/>
      <c r="K71" s="74"/>
      <c r="L71" s="74" t="s">
        <v>64</v>
      </c>
      <c r="M71" s="77">
        <f>'Tabel 1.1'!G22</f>
        <v>1573553</v>
      </c>
      <c r="N71" s="77">
        <f>'Tabel 1.1'!H22</f>
        <v>1780872</v>
      </c>
      <c r="O71" s="74"/>
    </row>
    <row r="72" spans="1:15" x14ac:dyDescent="0.3">
      <c r="A72" s="74"/>
      <c r="B72" s="74"/>
      <c r="C72" s="74"/>
      <c r="D72" s="74"/>
      <c r="E72" s="74"/>
      <c r="F72" s="74"/>
      <c r="G72" s="74"/>
      <c r="H72" s="74"/>
      <c r="I72" s="74"/>
      <c r="J72" s="74"/>
      <c r="K72" s="74"/>
      <c r="L72" s="74" t="s">
        <v>65</v>
      </c>
      <c r="M72" s="77">
        <f>'Tabel 1.1'!G23</f>
        <v>23088</v>
      </c>
      <c r="N72" s="77">
        <f>'Tabel 1.1'!H23</f>
        <v>39904.18694</v>
      </c>
      <c r="O72" s="74"/>
    </row>
    <row r="73" spans="1:15" x14ac:dyDescent="0.3">
      <c r="A73" s="74"/>
      <c r="B73" s="74"/>
      <c r="C73" s="74"/>
      <c r="D73" s="74"/>
      <c r="E73" s="74"/>
      <c r="F73" s="74"/>
      <c r="G73" s="74"/>
      <c r="H73" s="74"/>
      <c r="I73" s="74"/>
      <c r="J73" s="74"/>
      <c r="K73" s="74"/>
      <c r="L73" s="74" t="s">
        <v>431</v>
      </c>
      <c r="M73" s="77">
        <f>'Tabel 1.1'!G24</f>
        <v>0</v>
      </c>
      <c r="N73" s="77">
        <f>'Tabel 1.1'!H24</f>
        <v>0</v>
      </c>
      <c r="O73" s="74"/>
    </row>
    <row r="74" spans="1:15" x14ac:dyDescent="0.3">
      <c r="A74" s="74"/>
      <c r="B74" s="74"/>
      <c r="C74" s="74"/>
      <c r="D74" s="74"/>
      <c r="E74" s="74"/>
      <c r="F74" s="74"/>
      <c r="G74" s="74"/>
      <c r="H74" s="74"/>
      <c r="I74" s="74"/>
      <c r="J74" s="74"/>
      <c r="K74" s="74"/>
      <c r="L74" s="74" t="s">
        <v>66</v>
      </c>
      <c r="M74" s="77">
        <f>'Tabel 1.1'!G25</f>
        <v>50874850.312231541</v>
      </c>
      <c r="N74" s="77">
        <f>'Tabel 1.1'!H25</f>
        <v>51184490.000153631</v>
      </c>
      <c r="O74" s="74"/>
    </row>
    <row r="75" spans="1:15" x14ac:dyDescent="0.3">
      <c r="A75" s="74"/>
      <c r="B75" s="74"/>
      <c r="C75" s="74"/>
      <c r="D75" s="74"/>
      <c r="E75" s="74"/>
      <c r="F75" s="74"/>
      <c r="G75" s="74"/>
      <c r="H75" s="74"/>
      <c r="I75" s="74"/>
      <c r="J75" s="74"/>
      <c r="K75" s="74"/>
      <c r="L75" s="74" t="s">
        <v>67</v>
      </c>
      <c r="M75" s="77">
        <f>'Tabel 1.1'!G26</f>
        <v>75420758.385900304</v>
      </c>
      <c r="N75" s="77">
        <f>'Tabel 1.1'!H26</f>
        <v>78512396.264768496</v>
      </c>
      <c r="O75" s="74"/>
    </row>
    <row r="76" spans="1:15" x14ac:dyDescent="0.3">
      <c r="A76" s="74"/>
      <c r="B76" s="74"/>
      <c r="C76" s="74"/>
      <c r="D76" s="74"/>
      <c r="E76" s="74"/>
      <c r="F76" s="74"/>
      <c r="G76" s="74"/>
      <c r="H76" s="74"/>
      <c r="I76" s="74"/>
      <c r="J76" s="74"/>
      <c r="K76" s="74"/>
      <c r="L76" s="74" t="s">
        <v>399</v>
      </c>
      <c r="M76" s="77">
        <f>'Tabel 1.1'!G27</f>
        <v>0</v>
      </c>
      <c r="N76" s="77">
        <f>'Tabel 1.1'!H27</f>
        <v>0</v>
      </c>
      <c r="O76" s="74"/>
    </row>
    <row r="77" spans="1:15" x14ac:dyDescent="0.3">
      <c r="A77" s="74"/>
      <c r="B77" s="74"/>
      <c r="C77" s="74"/>
      <c r="D77" s="74"/>
      <c r="E77" s="74"/>
      <c r="F77" s="74"/>
      <c r="G77" s="74"/>
      <c r="H77" s="74"/>
      <c r="I77" s="74"/>
      <c r="J77" s="74"/>
      <c r="K77" s="74"/>
      <c r="L77" s="74" t="s">
        <v>68</v>
      </c>
      <c r="M77" s="77">
        <f>'Tabel 1.1'!G28</f>
        <v>20077494.383109998</v>
      </c>
      <c r="N77" s="77">
        <f>'Tabel 1.1'!H28</f>
        <v>19224127.527090002</v>
      </c>
      <c r="O77" s="74"/>
    </row>
    <row r="78" spans="1:15" x14ac:dyDescent="0.3">
      <c r="A78" s="74"/>
      <c r="B78" s="74"/>
      <c r="C78" s="74"/>
      <c r="D78" s="74"/>
      <c r="E78" s="74"/>
      <c r="F78" s="74"/>
      <c r="G78" s="74"/>
      <c r="H78" s="74"/>
      <c r="I78" s="74"/>
      <c r="J78" s="74"/>
      <c r="K78" s="74"/>
      <c r="L78" s="74" t="s">
        <v>69</v>
      </c>
      <c r="M78" s="77">
        <f>'Tabel 1.1'!G29</f>
        <v>181276652.00800002</v>
      </c>
      <c r="N78" s="77">
        <f>'Tabel 1.1'!H29</f>
        <v>182275775.57800004</v>
      </c>
      <c r="O78" s="74"/>
    </row>
    <row r="79" spans="1:15" x14ac:dyDescent="0.3">
      <c r="A79" s="74"/>
      <c r="B79" s="74"/>
      <c r="C79" s="74"/>
      <c r="D79" s="74"/>
      <c r="E79" s="74"/>
      <c r="F79" s="74"/>
      <c r="G79" s="74"/>
      <c r="H79" s="74"/>
      <c r="I79" s="74"/>
      <c r="J79" s="74"/>
      <c r="K79" s="74"/>
      <c r="L79" s="74" t="s">
        <v>98</v>
      </c>
      <c r="M79" s="77">
        <f>'Tabel 1.1'!G30</f>
        <v>0</v>
      </c>
      <c r="N79" s="77">
        <f>'Tabel 1.1'!H30</f>
        <v>0</v>
      </c>
      <c r="O79" s="74"/>
    </row>
    <row r="80" spans="1:15" x14ac:dyDescent="0.3">
      <c r="A80" s="75" t="s">
        <v>419</v>
      </c>
      <c r="B80" s="74"/>
      <c r="C80" s="74"/>
      <c r="D80" s="74"/>
      <c r="E80" s="74"/>
      <c r="F80" s="74"/>
      <c r="G80" s="74"/>
      <c r="H80" s="74"/>
      <c r="I80" s="79"/>
      <c r="J80" s="74"/>
      <c r="K80" s="74"/>
      <c r="L80" s="74" t="s">
        <v>432</v>
      </c>
      <c r="M80" s="77">
        <f>'Tabel 1.1'!G31</f>
        <v>0</v>
      </c>
      <c r="N80" s="77">
        <f>'Tabel 1.1'!H31</f>
        <v>0</v>
      </c>
      <c r="O80" s="74"/>
    </row>
    <row r="81" spans="1:15" x14ac:dyDescent="0.3">
      <c r="B81" s="74"/>
      <c r="C81" s="74"/>
      <c r="D81" s="74"/>
      <c r="E81" s="74"/>
      <c r="F81" s="74"/>
      <c r="G81" s="74"/>
      <c r="H81" s="74"/>
      <c r="I81" s="74"/>
      <c r="J81" s="74"/>
      <c r="K81" s="74"/>
      <c r="L81" s="74" t="s">
        <v>426</v>
      </c>
      <c r="M81" s="77">
        <f>'Tabel 1.1'!G32</f>
        <v>0</v>
      </c>
      <c r="N81" s="77">
        <f>'Tabel 1.1'!H32</f>
        <v>0</v>
      </c>
      <c r="O81" s="74"/>
    </row>
    <row r="82" spans="1:15" x14ac:dyDescent="0.3">
      <c r="A82" s="74"/>
      <c r="B82" s="74"/>
      <c r="C82" s="74"/>
      <c r="D82" s="74"/>
      <c r="E82" s="74"/>
      <c r="F82" s="74"/>
      <c r="G82" s="74"/>
      <c r="H82" s="74"/>
      <c r="I82" s="74"/>
      <c r="J82" s="74"/>
      <c r="K82" s="74"/>
      <c r="O82" s="74"/>
    </row>
    <row r="83" spans="1:15" x14ac:dyDescent="0.3">
      <c r="A83" s="74"/>
      <c r="B83" s="74"/>
      <c r="C83" s="74"/>
      <c r="D83" s="74"/>
      <c r="E83" s="74"/>
      <c r="F83" s="74"/>
      <c r="G83" s="74"/>
      <c r="H83" s="74"/>
      <c r="I83" s="74"/>
      <c r="J83" s="74"/>
      <c r="K83" s="74"/>
      <c r="O83" s="74"/>
    </row>
    <row r="84" spans="1:15" x14ac:dyDescent="0.3">
      <c r="A84" s="74"/>
      <c r="B84" s="74"/>
      <c r="C84" s="74"/>
      <c r="D84" s="74"/>
      <c r="E84" s="74"/>
      <c r="F84" s="74"/>
      <c r="G84" s="74"/>
      <c r="H84" s="74"/>
      <c r="I84" s="74"/>
      <c r="J84" s="74"/>
      <c r="K84" s="74"/>
      <c r="O84" s="74"/>
    </row>
    <row r="85" spans="1:15" x14ac:dyDescent="0.3">
      <c r="B85" s="74"/>
      <c r="C85" s="74"/>
      <c r="D85" s="74"/>
      <c r="E85" s="74"/>
      <c r="F85" s="74"/>
      <c r="G85" s="74"/>
      <c r="H85" s="74"/>
      <c r="I85" s="74"/>
      <c r="J85" s="74"/>
      <c r="K85" s="74"/>
      <c r="L85" s="74" t="s">
        <v>74</v>
      </c>
      <c r="O85" s="74"/>
    </row>
    <row r="86" spans="1:15" x14ac:dyDescent="0.3">
      <c r="B86" s="74"/>
      <c r="C86" s="74"/>
      <c r="D86" s="74"/>
      <c r="E86" s="74"/>
      <c r="F86" s="74"/>
      <c r="G86" s="74"/>
      <c r="H86" s="74"/>
      <c r="I86" s="74"/>
      <c r="J86" s="74"/>
      <c r="K86" s="74"/>
      <c r="L86" s="74" t="s">
        <v>1</v>
      </c>
      <c r="O86" s="74"/>
    </row>
    <row r="87" spans="1:15" x14ac:dyDescent="0.3">
      <c r="B87" s="74"/>
      <c r="C87" s="74"/>
      <c r="D87" s="74"/>
      <c r="E87" s="74"/>
      <c r="F87" s="74"/>
      <c r="G87" s="74"/>
      <c r="H87" s="74"/>
      <c r="I87" s="74"/>
      <c r="J87" s="74"/>
      <c r="K87" s="74"/>
      <c r="M87" s="74">
        <v>2019</v>
      </c>
      <c r="N87" s="74">
        <v>2020</v>
      </c>
      <c r="O87" s="74"/>
    </row>
    <row r="88" spans="1:15" x14ac:dyDescent="0.3">
      <c r="B88" s="74"/>
      <c r="C88" s="74"/>
      <c r="D88" s="74"/>
      <c r="E88" s="74"/>
      <c r="F88" s="74"/>
      <c r="G88" s="74"/>
      <c r="H88" s="74"/>
      <c r="I88" s="74"/>
      <c r="J88" s="74"/>
      <c r="K88" s="74"/>
      <c r="L88" s="74" t="s">
        <v>54</v>
      </c>
      <c r="M88" s="77">
        <f>'Tabel 1.1'!G36</f>
        <v>18231058.762000002</v>
      </c>
      <c r="N88" s="77">
        <f>'Tabel 1.1'!H36</f>
        <v>18526269.5</v>
      </c>
      <c r="O88" s="74"/>
    </row>
    <row r="89" spans="1:15" x14ac:dyDescent="0.3">
      <c r="B89" s="74"/>
      <c r="C89" s="74"/>
      <c r="D89" s="74"/>
      <c r="E89" s="74"/>
      <c r="F89" s="74"/>
      <c r="G89" s="74"/>
      <c r="H89" s="74"/>
      <c r="I89" s="74"/>
      <c r="J89" s="74"/>
      <c r="K89" s="74"/>
      <c r="L89" s="74" t="s">
        <v>55</v>
      </c>
      <c r="M89" s="77">
        <f>'Tabel 1.1'!G37</f>
        <v>85192428.625</v>
      </c>
      <c r="N89" s="77">
        <f>'Tabel 1.1'!H37</f>
        <v>84790630.706</v>
      </c>
      <c r="O89" s="74"/>
    </row>
    <row r="90" spans="1:15" x14ac:dyDescent="0.3">
      <c r="B90" s="74"/>
      <c r="C90" s="74"/>
      <c r="D90" s="74"/>
      <c r="E90" s="74"/>
      <c r="F90" s="74"/>
      <c r="G90" s="74"/>
      <c r="H90" s="74"/>
      <c r="I90" s="74"/>
      <c r="J90" s="74"/>
      <c r="K90" s="74"/>
      <c r="L90" s="74" t="s">
        <v>57</v>
      </c>
      <c r="M90" s="77">
        <f>'Tabel 1.1'!G38</f>
        <v>3631130</v>
      </c>
      <c r="N90" s="77">
        <f>'Tabel 1.1'!H38</f>
        <v>3863942</v>
      </c>
      <c r="O90" s="74"/>
    </row>
    <row r="91" spans="1:15" x14ac:dyDescent="0.3">
      <c r="A91" s="74"/>
      <c r="B91" s="74"/>
      <c r="C91" s="74"/>
      <c r="D91" s="74"/>
      <c r="E91" s="74"/>
      <c r="F91" s="74"/>
      <c r="G91" s="74"/>
      <c r="H91" s="74"/>
      <c r="I91" s="74"/>
      <c r="J91" s="74"/>
      <c r="K91" s="74"/>
      <c r="L91" s="79" t="s">
        <v>60</v>
      </c>
      <c r="M91" s="77">
        <f>'Tabel 1.1'!G39</f>
        <v>26882141</v>
      </c>
      <c r="N91" s="77">
        <f>'Tabel 1.1'!H39</f>
        <v>26207073</v>
      </c>
      <c r="O91" s="74"/>
    </row>
    <row r="92" spans="1:15" ht="18.75" customHeight="1" x14ac:dyDescent="0.3">
      <c r="A92" s="74"/>
      <c r="B92" s="74"/>
      <c r="C92" s="74"/>
      <c r="D92" s="74"/>
      <c r="E92" s="74"/>
      <c r="F92" s="74"/>
      <c r="G92" s="74"/>
      <c r="H92" s="74"/>
      <c r="I92" s="74"/>
      <c r="J92" s="74"/>
      <c r="K92" s="74"/>
      <c r="L92" s="74" t="s">
        <v>63</v>
      </c>
      <c r="M92" s="77">
        <f>'Tabel 1.1'!G40</f>
        <v>2497218.77415</v>
      </c>
      <c r="N92" s="77">
        <f>'Tabel 1.1'!H40</f>
        <v>2151789.0251500001</v>
      </c>
      <c r="O92" s="74"/>
    </row>
    <row r="93" spans="1:15" ht="18.75" customHeight="1" x14ac:dyDescent="0.3">
      <c r="A93" s="74"/>
      <c r="B93" s="74"/>
      <c r="C93" s="74"/>
      <c r="D93" s="74"/>
      <c r="E93" s="74"/>
      <c r="F93" s="74"/>
      <c r="G93" s="74"/>
      <c r="H93" s="74"/>
      <c r="I93" s="74"/>
      <c r="J93" s="74"/>
      <c r="K93" s="74"/>
      <c r="L93" s="74" t="s">
        <v>64</v>
      </c>
      <c r="M93" s="77">
        <f>'Tabel 1.1'!G41</f>
        <v>3934107</v>
      </c>
      <c r="N93" s="77">
        <f>'Tabel 1.1'!H41</f>
        <v>4535748</v>
      </c>
      <c r="O93" s="74"/>
    </row>
    <row r="94" spans="1:15" ht="18.75" customHeight="1" x14ac:dyDescent="0.3">
      <c r="A94" s="74"/>
      <c r="B94" s="74"/>
      <c r="C94" s="74"/>
      <c r="D94" s="74"/>
      <c r="E94" s="74"/>
      <c r="F94" s="74"/>
      <c r="G94" s="74"/>
      <c r="H94" s="74"/>
      <c r="I94" s="74"/>
      <c r="J94" s="74"/>
      <c r="K94" s="74"/>
      <c r="L94" s="74" t="s">
        <v>66</v>
      </c>
      <c r="M94" s="77">
        <f>'Tabel 1.1'!G42</f>
        <v>64970069.999999896</v>
      </c>
      <c r="N94" s="77">
        <f>'Tabel 1.1'!H42</f>
        <v>70145270</v>
      </c>
      <c r="O94" s="74"/>
    </row>
    <row r="95" spans="1:15" ht="18.75" customHeight="1" x14ac:dyDescent="0.3">
      <c r="A95" s="74"/>
      <c r="B95" s="74"/>
      <c r="C95" s="74"/>
      <c r="D95" s="74"/>
      <c r="E95" s="74"/>
      <c r="F95" s="74"/>
      <c r="G95" s="74"/>
      <c r="H95" s="74"/>
      <c r="I95" s="74"/>
      <c r="J95" s="74"/>
      <c r="K95" s="74"/>
      <c r="L95" s="74" t="s">
        <v>72</v>
      </c>
      <c r="M95" s="77">
        <f>'Tabel 1.1'!G43</f>
        <v>2236863.3610899998</v>
      </c>
      <c r="N95" s="77">
        <f>'Tabel 1.1'!H43</f>
        <v>2269628.5062499996</v>
      </c>
      <c r="O95" s="74"/>
    </row>
    <row r="96" spans="1:15" ht="18.75" customHeight="1" x14ac:dyDescent="0.3">
      <c r="A96" s="74"/>
      <c r="B96" s="74"/>
      <c r="C96" s="74"/>
      <c r="D96" s="74"/>
      <c r="E96" s="74"/>
      <c r="F96" s="74"/>
      <c r="G96" s="74"/>
      <c r="H96" s="74"/>
      <c r="I96" s="74"/>
      <c r="J96" s="74"/>
      <c r="K96" s="74"/>
      <c r="L96" s="74" t="s">
        <v>68</v>
      </c>
      <c r="M96" s="77">
        <f>'Tabel 1.1'!G44</f>
        <v>30793410.668050002</v>
      </c>
      <c r="N96" s="77">
        <f>'Tabel 1.1'!H44</f>
        <v>31469716.431260001</v>
      </c>
      <c r="O96" s="74"/>
    </row>
    <row r="97" spans="1:17" ht="18.75" customHeight="1" x14ac:dyDescent="0.3">
      <c r="A97" s="74"/>
      <c r="B97" s="74"/>
      <c r="C97" s="74"/>
      <c r="D97" s="74"/>
      <c r="E97" s="74"/>
      <c r="F97" s="74"/>
      <c r="G97" s="74"/>
      <c r="H97" s="74"/>
      <c r="I97" s="74"/>
      <c r="J97" s="74"/>
      <c r="K97" s="74"/>
      <c r="L97" s="74" t="s">
        <v>73</v>
      </c>
      <c r="M97" s="77">
        <f>'Tabel 1.1'!G45</f>
        <v>99882666.639999986</v>
      </c>
      <c r="N97" s="77">
        <f>'Tabel 1.1'!H45</f>
        <v>105148557.005</v>
      </c>
      <c r="O97" s="74"/>
      <c r="Q97" s="74"/>
    </row>
    <row r="98" spans="1:17" ht="18.75" customHeight="1" x14ac:dyDescent="0.3">
      <c r="A98" s="74"/>
      <c r="B98" s="74"/>
      <c r="C98" s="74"/>
      <c r="D98" s="74"/>
      <c r="E98" s="74"/>
      <c r="F98" s="74"/>
      <c r="G98" s="74"/>
      <c r="H98" s="74"/>
      <c r="I98" s="74"/>
      <c r="J98" s="74"/>
      <c r="K98" s="74"/>
      <c r="O98" s="74"/>
      <c r="Q98" s="74"/>
    </row>
    <row r="99" spans="1:17" ht="18.75" customHeight="1" x14ac:dyDescent="0.3">
      <c r="A99" s="74"/>
      <c r="B99" s="74"/>
      <c r="C99" s="74"/>
      <c r="D99" s="74"/>
      <c r="E99" s="74"/>
      <c r="F99" s="74"/>
      <c r="G99" s="74"/>
      <c r="H99" s="74"/>
      <c r="I99" s="74"/>
      <c r="J99" s="74"/>
      <c r="K99" s="74"/>
      <c r="M99" s="77"/>
      <c r="O99" s="74"/>
      <c r="Q99" s="74"/>
    </row>
    <row r="100" spans="1:17" ht="18.75" customHeight="1" x14ac:dyDescent="0.3">
      <c r="A100" s="74"/>
      <c r="B100" s="74"/>
      <c r="C100" s="74"/>
      <c r="D100" s="74"/>
      <c r="E100" s="74"/>
      <c r="F100" s="74"/>
      <c r="G100" s="74"/>
      <c r="H100" s="74"/>
      <c r="I100" s="74"/>
      <c r="J100" s="74"/>
      <c r="K100" s="74"/>
      <c r="O100" s="74"/>
      <c r="Q100" s="74"/>
    </row>
    <row r="101" spans="1:17" ht="18.75" customHeight="1" x14ac:dyDescent="0.3">
      <c r="A101" s="74"/>
      <c r="B101" s="74"/>
      <c r="C101" s="74"/>
      <c r="D101" s="74"/>
      <c r="E101" s="74"/>
      <c r="F101" s="74"/>
      <c r="G101" s="74"/>
      <c r="H101" s="74"/>
      <c r="I101" s="74"/>
      <c r="J101" s="74"/>
      <c r="K101" s="74"/>
      <c r="O101" s="74"/>
      <c r="Q101" s="74"/>
    </row>
    <row r="102" spans="1:17" ht="18.75" customHeight="1" x14ac:dyDescent="0.3">
      <c r="A102" s="74"/>
      <c r="B102" s="74"/>
      <c r="C102" s="74"/>
      <c r="D102" s="74"/>
      <c r="E102" s="74"/>
      <c r="F102" s="74"/>
      <c r="G102" s="74"/>
      <c r="H102" s="74"/>
      <c r="I102" s="74"/>
      <c r="J102" s="74"/>
      <c r="K102" s="74"/>
      <c r="O102" s="74"/>
      <c r="Q102" s="74"/>
    </row>
    <row r="103" spans="1:17" ht="18.75" customHeight="1" x14ac:dyDescent="0.3">
      <c r="A103" s="74"/>
      <c r="B103" s="74"/>
      <c r="C103" s="74"/>
      <c r="D103" s="74"/>
      <c r="E103" s="74"/>
      <c r="F103" s="74"/>
      <c r="G103" s="74"/>
      <c r="H103" s="74"/>
      <c r="I103" s="74"/>
      <c r="J103" s="74"/>
      <c r="K103" s="74"/>
      <c r="O103" s="74"/>
      <c r="Q103" s="74"/>
    </row>
    <row r="104" spans="1:17" ht="18.75" customHeight="1" x14ac:dyDescent="0.3">
      <c r="A104" s="74"/>
      <c r="B104" s="74"/>
      <c r="C104" s="74"/>
      <c r="D104" s="74"/>
      <c r="E104" s="74"/>
      <c r="F104" s="74"/>
      <c r="G104" s="74"/>
      <c r="H104" s="74"/>
      <c r="I104" s="74"/>
      <c r="J104" s="74"/>
      <c r="K104" s="74"/>
      <c r="O104" s="74"/>
      <c r="Q104" s="74"/>
    </row>
    <row r="105" spans="1:17" ht="18.75" customHeight="1" x14ac:dyDescent="0.3">
      <c r="A105" s="74"/>
      <c r="B105" s="74"/>
      <c r="C105" s="74"/>
      <c r="D105" s="74"/>
      <c r="E105" s="74"/>
      <c r="F105" s="74"/>
      <c r="G105" s="74"/>
      <c r="H105" s="74"/>
      <c r="I105" s="74"/>
      <c r="J105" s="74"/>
      <c r="K105" s="74"/>
      <c r="O105" s="74"/>
      <c r="Q105" s="74"/>
    </row>
    <row r="106" spans="1:17" ht="18.75" customHeight="1" x14ac:dyDescent="0.3">
      <c r="A106" s="75" t="s">
        <v>420</v>
      </c>
      <c r="B106" s="74"/>
      <c r="C106" s="74"/>
      <c r="D106" s="74"/>
      <c r="E106" s="74"/>
      <c r="F106" s="74"/>
      <c r="G106" s="74"/>
      <c r="H106" s="79"/>
      <c r="I106" s="74"/>
      <c r="J106" s="74"/>
      <c r="K106" s="74"/>
      <c r="O106" s="74"/>
      <c r="Q106" s="74"/>
    </row>
    <row r="107" spans="1:17" ht="18.75" customHeight="1" x14ac:dyDescent="0.3">
      <c r="A107" s="74"/>
      <c r="B107" s="74"/>
      <c r="C107" s="74"/>
      <c r="D107" s="74"/>
      <c r="E107" s="74"/>
      <c r="F107" s="74"/>
      <c r="G107" s="74"/>
      <c r="H107" s="74"/>
      <c r="I107" s="74"/>
      <c r="J107" s="74"/>
      <c r="K107" s="74"/>
      <c r="O107" s="74"/>
      <c r="Q107" s="74"/>
    </row>
    <row r="108" spans="1:17" ht="18.75" customHeight="1" x14ac:dyDescent="0.3">
      <c r="A108" s="74"/>
      <c r="B108" s="74"/>
      <c r="C108" s="74"/>
      <c r="D108" s="74"/>
      <c r="E108" s="74"/>
      <c r="F108" s="74"/>
      <c r="G108" s="74"/>
      <c r="H108" s="74"/>
      <c r="I108" s="74"/>
      <c r="J108" s="74"/>
      <c r="K108" s="74"/>
      <c r="L108" s="79" t="s">
        <v>75</v>
      </c>
      <c r="O108" s="74"/>
      <c r="Q108" s="74"/>
    </row>
    <row r="109" spans="1:17" ht="18.75" customHeight="1" x14ac:dyDescent="0.3">
      <c r="A109" s="74"/>
      <c r="B109" s="74"/>
      <c r="C109" s="74"/>
      <c r="D109" s="74"/>
      <c r="E109" s="74"/>
      <c r="F109" s="74"/>
      <c r="G109" s="74"/>
      <c r="H109" s="74"/>
      <c r="I109" s="74"/>
      <c r="J109" s="74"/>
      <c r="K109" s="74"/>
      <c r="L109" s="74" t="s">
        <v>0</v>
      </c>
      <c r="O109" s="74"/>
      <c r="Q109" s="74"/>
    </row>
    <row r="110" spans="1:17" ht="18.75" customHeight="1" x14ac:dyDescent="0.3">
      <c r="A110" s="74"/>
      <c r="B110" s="74"/>
      <c r="C110" s="74"/>
      <c r="D110" s="74"/>
      <c r="E110" s="74"/>
      <c r="F110" s="74"/>
      <c r="G110" s="74"/>
      <c r="H110" s="74"/>
      <c r="I110" s="74"/>
      <c r="J110" s="74"/>
      <c r="K110" s="74"/>
      <c r="M110" s="74">
        <v>2019</v>
      </c>
      <c r="N110" s="74">
        <v>2020</v>
      </c>
      <c r="O110" s="74"/>
      <c r="Q110" s="74"/>
    </row>
    <row r="111" spans="1:17" ht="18.75" customHeight="1" x14ac:dyDescent="0.3">
      <c r="A111" s="74"/>
      <c r="B111" s="74"/>
      <c r="C111" s="74"/>
      <c r="D111" s="74"/>
      <c r="E111" s="74"/>
      <c r="F111" s="74"/>
      <c r="G111" s="74"/>
      <c r="H111" s="74"/>
      <c r="I111" s="74"/>
      <c r="J111" s="74"/>
      <c r="K111" s="74"/>
      <c r="L111" s="74" t="s">
        <v>54</v>
      </c>
      <c r="M111" s="77">
        <f>'Danica Pensjonsforsikring'!B11-'Danica Pensjonsforsikring'!B12+'Danica Pensjonsforsikring'!B34-'Danica Pensjonsforsikring'!B35+'Danica Pensjonsforsikring'!B38-'Danica Pensjonsforsikring'!B39+'Danica Pensjonsforsikring'!B111-'Danica Pensjonsforsikring'!B119+'Danica Pensjonsforsikring'!B136-'Danica Pensjonsforsikring'!B137</f>
        <v>-1576.8909999999996</v>
      </c>
      <c r="N111" s="77">
        <f>'Danica Pensjonsforsikring'!C11-'Danica Pensjonsforsikring'!C12+'Danica Pensjonsforsikring'!C34-'Danica Pensjonsforsikring'!C35+'Danica Pensjonsforsikring'!C38-'Danica Pensjonsforsikring'!C39+'Danica Pensjonsforsikring'!C111-'Danica Pensjonsforsikring'!C119+'Danica Pensjonsforsikring'!C136-'Danica Pensjonsforsikring'!C137</f>
        <v>12646.075999999999</v>
      </c>
      <c r="O111" s="74"/>
      <c r="Q111" s="74"/>
    </row>
    <row r="112" spans="1:17" ht="18.75" customHeight="1" x14ac:dyDescent="0.3">
      <c r="A112" s="74"/>
      <c r="B112" s="74"/>
      <c r="C112" s="74"/>
      <c r="D112" s="74"/>
      <c r="E112" s="74"/>
      <c r="F112" s="74"/>
      <c r="G112" s="74"/>
      <c r="H112" s="74"/>
      <c r="I112" s="74"/>
      <c r="J112" s="74"/>
      <c r="K112" s="74"/>
      <c r="L112" s="74" t="s">
        <v>55</v>
      </c>
      <c r="M112" s="77">
        <f>'DNB Livsforsikring'!B11-'DNB Livsforsikring'!B12+'DNB Livsforsikring'!B34-'DNB Livsforsikring'!B35+'DNB Livsforsikring'!B38-'DNB Livsforsikring'!B39+'DNB Livsforsikring'!B111-'DNB Livsforsikring'!B119+'DNB Livsforsikring'!B136-'DNB Livsforsikring'!B137</f>
        <v>33779</v>
      </c>
      <c r="N112" s="77">
        <f>'DNB Livsforsikring'!C11-'DNB Livsforsikring'!C12+'DNB Livsforsikring'!C34-'DNB Livsforsikring'!C35+'DNB Livsforsikring'!C38-'DNB Livsforsikring'!C39+'DNB Livsforsikring'!C111-'DNB Livsforsikring'!C119+'DNB Livsforsikring'!C136-'DNB Livsforsikring'!C137</f>
        <v>-237818</v>
      </c>
      <c r="O112" s="74"/>
      <c r="Q112" s="74"/>
    </row>
    <row r="113" spans="1:17" ht="18.75" customHeight="1" x14ac:dyDescent="0.3">
      <c r="A113" s="74"/>
      <c r="B113" s="74"/>
      <c r="C113" s="74"/>
      <c r="D113" s="74"/>
      <c r="E113" s="74"/>
      <c r="F113" s="74"/>
      <c r="G113" s="74"/>
      <c r="H113" s="74"/>
      <c r="I113" s="74"/>
      <c r="J113" s="74"/>
      <c r="K113" s="74"/>
      <c r="L113" s="79" t="s">
        <v>60</v>
      </c>
      <c r="M113" s="77">
        <f>'Gjensidige Pensjon'!B11-'Gjensidige Pensjon'!B12+'Gjensidige Pensjon'!B34-'Gjensidige Pensjon'!B35+'Gjensidige Pensjon'!B38-'Gjensidige Pensjon'!B39+'Gjensidige Pensjon'!B111-'Gjensidige Pensjon'!B119+'Gjensidige Pensjon'!B136-'Gjensidige Pensjon'!B137</f>
        <v>20554</v>
      </c>
      <c r="N113" s="77">
        <f>'Gjensidige Pensjon'!C11-'Gjensidige Pensjon'!C12+'Gjensidige Pensjon'!C34-'Gjensidige Pensjon'!C35+'Gjensidige Pensjon'!C38-'Gjensidige Pensjon'!C39+'Gjensidige Pensjon'!C111-'Gjensidige Pensjon'!C119+'Gjensidige Pensjon'!C136-'Gjensidige Pensjon'!C137</f>
        <v>-54730</v>
      </c>
      <c r="O113" s="74"/>
      <c r="Q113" s="74"/>
    </row>
    <row r="114" spans="1:17" ht="18.75" customHeight="1" x14ac:dyDescent="0.3">
      <c r="A114" s="74"/>
      <c r="B114" s="74"/>
      <c r="C114" s="74"/>
      <c r="D114" s="74"/>
      <c r="E114" s="74"/>
      <c r="F114" s="74"/>
      <c r="G114" s="74"/>
      <c r="H114" s="74"/>
      <c r="I114" s="74"/>
      <c r="J114" s="74"/>
      <c r="K114" s="74"/>
      <c r="L114" s="79" t="s">
        <v>63</v>
      </c>
      <c r="M114" s="77">
        <f>KLP!B11-KLP!B12+KLP!B34-KLP!B35+KLP!B38-KLP!B39+KLP!B111-KLP!B119+KLP!B136-KLP!B137</f>
        <v>-248299.76699999999</v>
      </c>
      <c r="N114" s="77">
        <f>KLP!C11-KLP!C12+KLP!C34-KLP!C35+KLP!C38-KLP!C39+KLP!C111-KLP!C119+KLP!C136-KLP!C137</f>
        <v>-3411565.2769999998</v>
      </c>
      <c r="O114" s="74"/>
      <c r="Q114" s="74"/>
    </row>
    <row r="115" spans="1:17" ht="18.75" customHeight="1" x14ac:dyDescent="0.3">
      <c r="A115" s="74"/>
      <c r="B115" s="74"/>
      <c r="C115" s="74"/>
      <c r="D115" s="74"/>
      <c r="E115" s="74"/>
      <c r="F115" s="74"/>
      <c r="G115" s="74"/>
      <c r="H115" s="74"/>
      <c r="I115" s="74"/>
      <c r="J115" s="74"/>
      <c r="K115" s="74"/>
      <c r="L115" s="79" t="s">
        <v>64</v>
      </c>
      <c r="M115" s="77">
        <f>'KLP Bedriftspensjon AS'!B11-'KLP Bedriftspensjon AS'!B12+'KLP Bedriftspensjon AS'!B34-'KLP Bedriftspensjon AS'!B35+'KLP Bedriftspensjon AS'!B38-'KLP Bedriftspensjon AS'!B39+'KLP Bedriftspensjon AS'!B111-'KLP Bedriftspensjon AS'!B119+'KLP Bedriftspensjon AS'!B136-'KLP Bedriftspensjon AS'!B137</f>
        <v>-14</v>
      </c>
      <c r="N115" s="77">
        <f>'KLP Bedriftspensjon AS'!C11-'KLP Bedriftspensjon AS'!C12+'KLP Bedriftspensjon AS'!C34-'KLP Bedriftspensjon AS'!C35+'KLP Bedriftspensjon AS'!C38-'KLP Bedriftspensjon AS'!C39+'KLP Bedriftspensjon AS'!C111-'KLP Bedriftspensjon AS'!C119+'KLP Bedriftspensjon AS'!C136-'KLP Bedriftspensjon AS'!C137</f>
        <v>3182</v>
      </c>
      <c r="O115" s="74"/>
      <c r="Q115" s="74"/>
    </row>
    <row r="116" spans="1:17" ht="18.75" customHeight="1" x14ac:dyDescent="0.3">
      <c r="A116" s="74"/>
      <c r="B116" s="74"/>
      <c r="C116" s="74"/>
      <c r="D116" s="74"/>
      <c r="E116" s="74"/>
      <c r="F116" s="74"/>
      <c r="G116" s="74"/>
      <c r="H116" s="74"/>
      <c r="I116" s="74"/>
      <c r="J116" s="74"/>
      <c r="K116" s="74"/>
      <c r="L116" s="74" t="s">
        <v>66</v>
      </c>
      <c r="M116" s="77">
        <f>'Nordea Liv '!B11-'Nordea Liv '!B12+'Nordea Liv '!B34-'Nordea Liv '!B35+'Nordea Liv '!B38-'Nordea Liv '!B39+'Nordea Liv '!B111-'Nordea Liv '!B119+'Nordea Liv '!B136-'Nordea Liv '!B137</f>
        <v>-22302.415059999901</v>
      </c>
      <c r="N116" s="77">
        <f>'Nordea Liv '!C11-'Nordea Liv '!C12+'Nordea Liv '!C34-'Nordea Liv '!C35+'Nordea Liv '!C38-'Nordea Liv '!C39+'Nordea Liv '!C111-'Nordea Liv '!C119+'Nordea Liv '!C136-'Nordea Liv '!C137</f>
        <v>-3278</v>
      </c>
      <c r="O116" s="74"/>
      <c r="Q116" s="74"/>
    </row>
    <row r="117" spans="1:17" ht="18.75" customHeight="1" x14ac:dyDescent="0.3">
      <c r="A117" s="74"/>
      <c r="B117" s="74"/>
      <c r="C117" s="74"/>
      <c r="D117" s="74"/>
      <c r="E117" s="74"/>
      <c r="F117" s="74"/>
      <c r="G117" s="74"/>
      <c r="H117" s="74"/>
      <c r="I117" s="74"/>
      <c r="J117" s="74"/>
      <c r="K117" s="74"/>
      <c r="L117" s="74" t="s">
        <v>68</v>
      </c>
      <c r="M117" s="77">
        <f>'Sparebank 1'!B11-'Sparebank 1'!B12+'Sparebank 1'!B34-'Sparebank 1'!B35+'Sparebank 1'!B38-'Sparebank 1'!B39+'Sparebank 1'!B111-'Sparebank 1'!B119+'Sparebank 1'!B136-'Sparebank 1'!B137</f>
        <v>-5187.3273599999993</v>
      </c>
      <c r="N117" s="77">
        <f>'Sparebank 1'!C11-'Sparebank 1'!C12+'Sparebank 1'!C34-'Sparebank 1'!C35+'Sparebank 1'!C38-'Sparebank 1'!C39+'Sparebank 1'!C111-'Sparebank 1'!C119+'Sparebank 1'!C136-'Sparebank 1'!C137</f>
        <v>3146.3897800000004</v>
      </c>
      <c r="O117" s="74"/>
    </row>
    <row r="118" spans="1:17" ht="18.75" customHeight="1" x14ac:dyDescent="0.3">
      <c r="A118" s="74"/>
      <c r="B118" s="74"/>
      <c r="C118" s="74"/>
      <c r="D118" s="74"/>
      <c r="E118" s="74"/>
      <c r="F118" s="74"/>
      <c r="G118" s="74"/>
      <c r="H118" s="74"/>
      <c r="I118" s="74"/>
      <c r="J118" s="74"/>
      <c r="K118" s="74"/>
      <c r="L118" s="74" t="s">
        <v>69</v>
      </c>
      <c r="M118" s="77">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-72397.951000000001</v>
      </c>
      <c r="N118" s="77">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260683.62500000003</v>
      </c>
      <c r="O118" s="74"/>
    </row>
    <row r="119" spans="1:17" ht="18.75" customHeight="1" x14ac:dyDescent="0.3">
      <c r="A119" s="74"/>
      <c r="B119" s="74"/>
      <c r="C119" s="74"/>
      <c r="D119" s="74"/>
      <c r="E119" s="74"/>
      <c r="F119" s="74"/>
      <c r="G119" s="74"/>
      <c r="H119" s="74"/>
      <c r="I119" s="74"/>
      <c r="J119" s="74"/>
      <c r="K119" s="74"/>
      <c r="O119" s="74"/>
    </row>
    <row r="120" spans="1:17" ht="18.75" customHeight="1" x14ac:dyDescent="0.3">
      <c r="A120" s="74"/>
      <c r="B120" s="74"/>
      <c r="C120" s="74"/>
      <c r="D120" s="74"/>
      <c r="E120" s="74"/>
      <c r="F120" s="74"/>
      <c r="G120" s="74"/>
      <c r="H120" s="74"/>
      <c r="I120" s="74"/>
      <c r="J120" s="74"/>
      <c r="K120" s="74"/>
      <c r="O120" s="74"/>
    </row>
    <row r="121" spans="1:17" ht="18.75" customHeight="1" x14ac:dyDescent="0.3">
      <c r="A121" s="74"/>
      <c r="B121" s="74"/>
      <c r="C121" s="74"/>
      <c r="D121" s="74"/>
      <c r="E121" s="74"/>
      <c r="F121" s="74"/>
      <c r="G121" s="74"/>
      <c r="H121" s="74"/>
      <c r="I121" s="74"/>
      <c r="J121" s="74"/>
      <c r="K121" s="74"/>
      <c r="O121" s="74"/>
    </row>
    <row r="122" spans="1:17" ht="18.75" customHeight="1" x14ac:dyDescent="0.3">
      <c r="A122" s="74"/>
      <c r="B122" s="74"/>
      <c r="C122" s="74"/>
      <c r="D122" s="74"/>
      <c r="E122" s="74"/>
      <c r="F122" s="74"/>
      <c r="G122" s="74"/>
      <c r="H122" s="74"/>
      <c r="I122" s="74"/>
      <c r="J122" s="74"/>
      <c r="K122" s="74"/>
      <c r="O122" s="74"/>
    </row>
    <row r="123" spans="1:17" x14ac:dyDescent="0.3">
      <c r="A123" s="74"/>
      <c r="B123" s="74"/>
      <c r="C123" s="74"/>
      <c r="D123" s="74"/>
      <c r="E123" s="74"/>
      <c r="F123" s="74"/>
      <c r="G123" s="74"/>
      <c r="H123" s="74"/>
      <c r="I123" s="74"/>
      <c r="J123" s="74"/>
      <c r="K123" s="74"/>
      <c r="M123" s="77"/>
      <c r="N123" s="77"/>
      <c r="O123" s="74"/>
    </row>
    <row r="124" spans="1:17" x14ac:dyDescent="0.3">
      <c r="A124" s="74"/>
      <c r="B124" s="74"/>
      <c r="C124" s="74"/>
      <c r="D124" s="74"/>
      <c r="E124" s="74"/>
      <c r="F124" s="74"/>
      <c r="G124" s="74"/>
      <c r="H124" s="74"/>
      <c r="I124" s="74"/>
      <c r="J124" s="74"/>
      <c r="K124" s="74"/>
      <c r="M124" s="77"/>
      <c r="N124" s="77"/>
      <c r="O124" s="74"/>
    </row>
    <row r="125" spans="1:17" x14ac:dyDescent="0.3">
      <c r="A125" s="74"/>
      <c r="B125" s="74"/>
      <c r="C125" s="74"/>
      <c r="D125" s="74"/>
      <c r="E125" s="74"/>
      <c r="F125" s="74"/>
      <c r="G125" s="74"/>
      <c r="H125" s="74"/>
      <c r="I125" s="74"/>
      <c r="J125" s="74"/>
      <c r="K125" s="74"/>
      <c r="M125" s="77"/>
      <c r="N125" s="77"/>
      <c r="O125" s="74"/>
    </row>
    <row r="126" spans="1:17" x14ac:dyDescent="0.3">
      <c r="A126" s="74"/>
      <c r="B126" s="74"/>
      <c r="C126" s="74"/>
      <c r="D126" s="74"/>
      <c r="E126" s="74"/>
      <c r="F126" s="74"/>
      <c r="G126" s="74"/>
      <c r="H126" s="74"/>
      <c r="I126" s="74"/>
      <c r="J126" s="74"/>
      <c r="K126" s="74"/>
      <c r="M126" s="77"/>
      <c r="N126" s="77"/>
      <c r="O126" s="74"/>
    </row>
    <row r="127" spans="1:17" x14ac:dyDescent="0.3">
      <c r="A127" s="74"/>
      <c r="B127" s="74"/>
      <c r="C127" s="74"/>
      <c r="D127" s="74"/>
      <c r="E127" s="74"/>
      <c r="F127" s="74"/>
      <c r="G127" s="74"/>
      <c r="H127" s="74"/>
      <c r="I127" s="74"/>
      <c r="J127" s="74"/>
      <c r="K127" s="74"/>
      <c r="M127" s="77"/>
      <c r="N127" s="77"/>
      <c r="O127" s="74"/>
    </row>
    <row r="128" spans="1:17" x14ac:dyDescent="0.3">
      <c r="A128" s="74"/>
      <c r="B128" s="74"/>
      <c r="C128" s="74"/>
      <c r="D128" s="74"/>
      <c r="E128" s="74"/>
      <c r="F128" s="74"/>
      <c r="G128" s="74"/>
      <c r="H128" s="74"/>
      <c r="I128" s="74"/>
      <c r="J128" s="74"/>
      <c r="K128" s="74"/>
      <c r="M128" s="77"/>
      <c r="N128" s="77"/>
      <c r="O128" s="74"/>
    </row>
    <row r="129" spans="1:15" x14ac:dyDescent="0.3">
      <c r="A129" s="74"/>
      <c r="B129" s="74"/>
      <c r="C129" s="74"/>
      <c r="D129" s="74"/>
      <c r="E129" s="74"/>
      <c r="F129" s="74"/>
      <c r="G129" s="74"/>
      <c r="H129" s="74"/>
      <c r="I129" s="74"/>
      <c r="J129" s="74"/>
      <c r="K129" s="74"/>
      <c r="M129" s="77"/>
      <c r="N129" s="77"/>
      <c r="O129" s="74"/>
    </row>
    <row r="130" spans="1:15" x14ac:dyDescent="0.3">
      <c r="A130" s="75" t="s">
        <v>421</v>
      </c>
      <c r="B130" s="74"/>
      <c r="C130" s="74"/>
      <c r="D130" s="74"/>
      <c r="E130" s="74"/>
      <c r="F130" s="74"/>
      <c r="G130" s="74"/>
      <c r="H130" s="79"/>
      <c r="I130" s="74"/>
      <c r="J130" s="74"/>
      <c r="K130" s="74"/>
      <c r="M130" s="77"/>
      <c r="N130" s="77"/>
      <c r="O130" s="74"/>
    </row>
    <row r="131" spans="1:15" x14ac:dyDescent="0.3">
      <c r="B131" s="74"/>
      <c r="C131" s="74"/>
      <c r="D131" s="74"/>
      <c r="E131" s="74"/>
      <c r="F131" s="74"/>
      <c r="G131" s="74"/>
      <c r="H131" s="74"/>
      <c r="I131" s="74"/>
      <c r="J131" s="74"/>
      <c r="K131" s="74"/>
      <c r="O131" s="74"/>
    </row>
    <row r="132" spans="1:15" x14ac:dyDescent="0.3">
      <c r="A132" s="74"/>
      <c r="B132" s="74"/>
      <c r="C132" s="74"/>
      <c r="D132" s="74"/>
      <c r="E132" s="74"/>
      <c r="F132" s="74"/>
      <c r="G132" s="74"/>
      <c r="H132" s="74"/>
      <c r="I132" s="74"/>
      <c r="J132" s="74"/>
      <c r="K132" s="74"/>
      <c r="L132" s="79" t="s">
        <v>76</v>
      </c>
      <c r="O132" s="74"/>
    </row>
    <row r="133" spans="1:15" x14ac:dyDescent="0.3">
      <c r="A133" s="74"/>
      <c r="B133" s="74"/>
      <c r="C133" s="74"/>
      <c r="D133" s="74"/>
      <c r="E133" s="74"/>
      <c r="F133" s="74"/>
      <c r="G133" s="74"/>
      <c r="H133" s="74"/>
      <c r="I133" s="74"/>
      <c r="J133" s="74"/>
      <c r="K133" s="74"/>
      <c r="L133" s="74" t="s">
        <v>1</v>
      </c>
      <c r="O133" s="74"/>
    </row>
    <row r="134" spans="1:15" x14ac:dyDescent="0.3">
      <c r="A134" s="74"/>
      <c r="B134" s="74"/>
      <c r="C134" s="74"/>
      <c r="D134" s="74"/>
      <c r="E134" s="74"/>
      <c r="F134" s="74"/>
      <c r="G134" s="74"/>
      <c r="H134" s="74"/>
      <c r="I134" s="74"/>
      <c r="J134" s="74"/>
      <c r="K134" s="74"/>
      <c r="M134" s="74">
        <v>2019</v>
      </c>
      <c r="N134" s="74">
        <v>2020</v>
      </c>
      <c r="O134" s="74"/>
    </row>
    <row r="135" spans="1:15" x14ac:dyDescent="0.3">
      <c r="A135" s="74"/>
      <c r="B135" s="74"/>
      <c r="C135" s="74"/>
      <c r="D135" s="74"/>
      <c r="E135" s="74"/>
      <c r="F135" s="74"/>
      <c r="G135" s="74"/>
      <c r="H135" s="74"/>
      <c r="I135" s="74"/>
      <c r="J135" s="74"/>
      <c r="K135" s="74"/>
      <c r="L135" s="74" t="s">
        <v>54</v>
      </c>
      <c r="M135" s="77">
        <f>'Danica Pensjonsforsikring'!F11-'Danica Pensjonsforsikring'!F12+'Danica Pensjonsforsikring'!F34-'Danica Pensjonsforsikring'!F35+'Danica Pensjonsforsikring'!F38-'Danica Pensjonsforsikring'!F39+'Danica Pensjonsforsikring'!F111-'Danica Pensjonsforsikring'!F119+'Danica Pensjonsforsikring'!F136-'Danica Pensjonsforsikring'!F137</f>
        <v>-16045.73000000001</v>
      </c>
      <c r="N135" s="77">
        <f>'Danica Pensjonsforsikring'!G11-'Danica Pensjonsforsikring'!G12+'Danica Pensjonsforsikring'!G34-'Danica Pensjonsforsikring'!G35+'Danica Pensjonsforsikring'!G38-'Danica Pensjonsforsikring'!G39+'Danica Pensjonsforsikring'!G111-'Danica Pensjonsforsikring'!G119+'Danica Pensjonsforsikring'!G136-'Danica Pensjonsforsikring'!G137</f>
        <v>19242.993000000017</v>
      </c>
      <c r="O135" s="74"/>
    </row>
    <row r="136" spans="1:15" x14ac:dyDescent="0.3">
      <c r="A136" s="74"/>
      <c r="B136" s="74"/>
      <c r="C136" s="74"/>
      <c r="D136" s="74"/>
      <c r="E136" s="74"/>
      <c r="F136" s="74"/>
      <c r="G136" s="74"/>
      <c r="H136" s="74"/>
      <c r="I136" s="74"/>
      <c r="J136" s="74"/>
      <c r="K136" s="74"/>
      <c r="L136" s="74" t="s">
        <v>55</v>
      </c>
      <c r="M136" s="77">
        <f>'DNB Livsforsikring'!F11-'DNB Livsforsikring'!F12+'DNB Livsforsikring'!F34-'DNB Livsforsikring'!F35+'DNB Livsforsikring'!F38-'DNB Livsforsikring'!F39+'DNB Livsforsikring'!F111-'DNB Livsforsikring'!F119+'DNB Livsforsikring'!F136-'DNB Livsforsikring'!F137</f>
        <v>510695</v>
      </c>
      <c r="N136" s="77">
        <f>'DNB Livsforsikring'!G11-'DNB Livsforsikring'!G12+'DNB Livsforsikring'!G34-'DNB Livsforsikring'!G35+'DNB Livsforsikring'!G38-'DNB Livsforsikring'!G39+'DNB Livsforsikring'!G111-'DNB Livsforsikring'!G119+'DNB Livsforsikring'!G136-'DNB Livsforsikring'!G137</f>
        <v>-3215694</v>
      </c>
      <c r="O136" s="74"/>
    </row>
    <row r="137" spans="1:15" x14ac:dyDescent="0.3">
      <c r="A137" s="74"/>
      <c r="B137" s="74"/>
      <c r="C137" s="74"/>
      <c r="D137" s="74"/>
      <c r="E137" s="74"/>
      <c r="F137" s="74"/>
      <c r="G137" s="74"/>
      <c r="H137" s="74"/>
      <c r="I137" s="74"/>
      <c r="J137" s="74"/>
      <c r="K137" s="74"/>
      <c r="L137" s="74" t="s">
        <v>57</v>
      </c>
      <c r="M137" s="77">
        <f>'Frende Livsforsikring'!F11-'Frende Livsforsikring'!F12+'Frende Livsforsikring'!F34-'Frende Livsforsikring'!F35+'Frende Livsforsikring'!F38-'Frende Livsforsikring'!F39+'Frende Livsforsikring'!F111-'Frende Livsforsikring'!F119+'Frende Livsforsikring'!F136-'Frende Livsforsikring'!F137</f>
        <v>13609.839</v>
      </c>
      <c r="N137" s="77">
        <f>'Frende Livsforsikring'!G11-'Frende Livsforsikring'!G12+'Frende Livsforsikring'!G34-'Frende Livsforsikring'!G35+'Frende Livsforsikring'!G38-'Frende Livsforsikring'!G39+'Frende Livsforsikring'!G111-'Frende Livsforsikring'!G119+'Frende Livsforsikring'!G136-'Frende Livsforsikring'!G137</f>
        <v>-20540</v>
      </c>
      <c r="O137" s="74"/>
    </row>
    <row r="138" spans="1:15" x14ac:dyDescent="0.3">
      <c r="A138" s="74"/>
      <c r="B138" s="74"/>
      <c r="C138" s="74"/>
      <c r="D138" s="74"/>
      <c r="E138" s="74"/>
      <c r="F138" s="74"/>
      <c r="G138" s="74"/>
      <c r="H138" s="74"/>
      <c r="I138" s="74"/>
      <c r="J138" s="74"/>
      <c r="K138" s="74"/>
      <c r="L138" s="79" t="s">
        <v>60</v>
      </c>
      <c r="M138" s="77">
        <f>'Gjensidige Pensjon'!F11-'Gjensidige Pensjon'!F12+'Gjensidige Pensjon'!F34-'Gjensidige Pensjon'!F35+'Gjensidige Pensjon'!F38-'Gjensidige Pensjon'!F39+'Gjensidige Pensjon'!F111-'Gjensidige Pensjon'!F119+'Gjensidige Pensjon'!F136-'Gjensidige Pensjon'!F137</f>
        <v>445335</v>
      </c>
      <c r="N138" s="77">
        <f>'Gjensidige Pensjon'!G11-'Gjensidige Pensjon'!G12+'Gjensidige Pensjon'!G34-'Gjensidige Pensjon'!G35+'Gjensidige Pensjon'!G38-'Gjensidige Pensjon'!G39+'Gjensidige Pensjon'!G111-'Gjensidige Pensjon'!G119+'Gjensidige Pensjon'!G136-'Gjensidige Pensjon'!G137</f>
        <v>-946156</v>
      </c>
      <c r="O138" s="74"/>
    </row>
    <row r="139" spans="1:15" x14ac:dyDescent="0.3">
      <c r="A139" s="74"/>
      <c r="B139" s="74"/>
      <c r="C139" s="74"/>
      <c r="D139" s="74"/>
      <c r="E139" s="74"/>
      <c r="F139" s="74"/>
      <c r="G139" s="74"/>
      <c r="H139" s="74"/>
      <c r="I139" s="74"/>
      <c r="J139" s="74"/>
      <c r="K139" s="74"/>
      <c r="L139" s="74" t="s">
        <v>64</v>
      </c>
      <c r="M139" s="77">
        <f>'KLP Bedriftspensjon AS'!F11-'KLP Bedriftspensjon AS'!F12+'KLP Bedriftspensjon AS'!F34-'KLP Bedriftspensjon AS'!F35+'KLP Bedriftspensjon AS'!F38-'KLP Bedriftspensjon AS'!F39+'KLP Bedriftspensjon AS'!F111-'KLP Bedriftspensjon AS'!F119+'KLP Bedriftspensjon AS'!F136-'KLP Bedriftspensjon AS'!F137</f>
        <v>173001</v>
      </c>
      <c r="N139" s="77">
        <f>'KLP Bedriftspensjon AS'!G11-'KLP Bedriftspensjon AS'!G12+'KLP Bedriftspensjon AS'!G34-'KLP Bedriftspensjon AS'!G35+'KLP Bedriftspensjon AS'!G38-'KLP Bedriftspensjon AS'!G39+'KLP Bedriftspensjon AS'!G111-'KLP Bedriftspensjon AS'!G119+'KLP Bedriftspensjon AS'!G136-'KLP Bedriftspensjon AS'!G137</f>
        <v>109462</v>
      </c>
      <c r="O139" s="74"/>
    </row>
    <row r="140" spans="1:15" x14ac:dyDescent="0.3">
      <c r="A140" s="74"/>
      <c r="B140" s="74"/>
      <c r="C140" s="74"/>
      <c r="D140" s="74"/>
      <c r="E140" s="74"/>
      <c r="F140" s="74"/>
      <c r="G140" s="74"/>
      <c r="H140" s="74"/>
      <c r="I140" s="74"/>
      <c r="J140" s="74"/>
      <c r="K140" s="74"/>
      <c r="L140" s="74" t="s">
        <v>66</v>
      </c>
      <c r="M140" s="77">
        <f>'Nordea Liv '!F11-'Nordea Liv '!F12+'Nordea Liv '!F34-'Nordea Liv '!F35+'Nordea Liv '!F38-'Nordea Liv '!F39+'Nordea Liv '!F111-'Nordea Liv '!F119+'Nordea Liv '!F136-'Nordea Liv '!F137</f>
        <v>7302.415059999912</v>
      </c>
      <c r="N140" s="77">
        <f>'Nordea Liv '!G11-'Nordea Liv '!G12+'Nordea Liv '!G34-'Nordea Liv '!G35+'Nordea Liv '!G38-'Nordea Liv '!G39+'Nordea Liv '!G111-'Nordea Liv '!G119+'Nordea Liv '!G136-'Nordea Liv '!G137</f>
        <v>1409300.00403</v>
      </c>
      <c r="O140" s="74"/>
    </row>
    <row r="141" spans="1:15" x14ac:dyDescent="0.3">
      <c r="A141" s="74"/>
      <c r="B141" s="74"/>
      <c r="C141" s="74"/>
      <c r="D141" s="74"/>
      <c r="E141" s="74"/>
      <c r="F141" s="74"/>
      <c r="G141" s="74"/>
      <c r="H141" s="74"/>
      <c r="I141" s="74"/>
      <c r="J141" s="74"/>
      <c r="K141" s="74"/>
      <c r="L141" s="74" t="s">
        <v>72</v>
      </c>
      <c r="M141" s="77">
        <f>'SHB Liv'!F11-'SHB Liv'!F12+'SHB Liv'!F34-'SHB Liv'!F35+'SHB Liv'!F38-'SHB Liv'!F39+'SHB Liv'!F111-'SHB Liv'!F119+'SHB Liv'!F136-'SHB Liv'!F137</f>
        <v>18484.602370000001</v>
      </c>
      <c r="N141" s="77">
        <f>'SHB Liv'!G11-'SHB Liv'!G12+'SHB Liv'!G34-'SHB Liv'!G35+'SHB Liv'!G38-'SHB Liv'!G39+'SHB Liv'!G111-'SHB Liv'!G119+'SHB Liv'!G136-'SHB Liv'!G137</f>
        <v>34179.303329999995</v>
      </c>
      <c r="O141" s="74"/>
    </row>
    <row r="142" spans="1:15" x14ac:dyDescent="0.3">
      <c r="A142" s="74"/>
      <c r="B142" s="74"/>
      <c r="C142" s="74"/>
      <c r="D142" s="74"/>
      <c r="E142" s="74"/>
      <c r="F142" s="74"/>
      <c r="G142" s="74"/>
      <c r="H142" s="74"/>
      <c r="I142" s="74"/>
      <c r="J142" s="74"/>
      <c r="K142" s="74"/>
      <c r="L142" s="74" t="s">
        <v>68</v>
      </c>
      <c r="M142" s="77">
        <f>'Sparebank 1'!F11-'Sparebank 1'!F12+'Sparebank 1'!F34-'Sparebank 1'!F35+'Sparebank 1'!F38-'Sparebank 1'!F39+'Sparebank 1'!F111-'Sparebank 1'!F119+'Sparebank 1'!F136-'Sparebank 1'!F137</f>
        <v>160465.41979000001</v>
      </c>
      <c r="N142" s="77">
        <f>'Sparebank 1'!G11-'Sparebank 1'!G12+'Sparebank 1'!G34-'Sparebank 1'!G35+'Sparebank 1'!G38-'Sparebank 1'!G39+'Sparebank 1'!G111-'Sparebank 1'!G119+'Sparebank 1'!G136-'Sparebank 1'!G137</f>
        <v>200254.90122</v>
      </c>
      <c r="O142" s="74"/>
    </row>
    <row r="143" spans="1:15" x14ac:dyDescent="0.3">
      <c r="A143" s="74"/>
      <c r="B143" s="74"/>
      <c r="C143" s="74"/>
      <c r="D143" s="74"/>
      <c r="E143" s="74"/>
      <c r="F143" s="74"/>
      <c r="G143" s="74"/>
      <c r="H143" s="74"/>
      <c r="I143" s="74"/>
      <c r="J143" s="74"/>
      <c r="K143" s="74"/>
      <c r="L143" s="74" t="s">
        <v>73</v>
      </c>
      <c r="M143" s="77">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-1365161.726</v>
      </c>
      <c r="N143" s="77">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2686212.682</v>
      </c>
      <c r="O143" s="74"/>
    </row>
    <row r="144" spans="1:15" x14ac:dyDescent="0.3">
      <c r="A144" s="74"/>
      <c r="B144" s="74"/>
      <c r="C144" s="74"/>
      <c r="D144" s="74"/>
      <c r="E144" s="74"/>
      <c r="F144" s="74"/>
      <c r="G144" s="74"/>
      <c r="H144" s="74"/>
      <c r="I144" s="74"/>
      <c r="J144" s="74"/>
      <c r="K144" s="74"/>
      <c r="O144" s="74"/>
    </row>
    <row r="145" spans="1:15" x14ac:dyDescent="0.3">
      <c r="A145" s="74"/>
      <c r="B145" s="74"/>
      <c r="C145" s="74"/>
      <c r="D145" s="74"/>
      <c r="E145" s="74"/>
      <c r="F145" s="74"/>
      <c r="G145" s="74"/>
      <c r="H145" s="74"/>
      <c r="I145" s="74"/>
      <c r="J145" s="74"/>
      <c r="K145" s="74"/>
      <c r="O145" s="74"/>
    </row>
    <row r="146" spans="1:15" x14ac:dyDescent="0.3">
      <c r="A146" s="74"/>
      <c r="B146" s="74"/>
      <c r="C146" s="74"/>
      <c r="D146" s="74"/>
      <c r="E146" s="74"/>
      <c r="F146" s="74"/>
      <c r="G146" s="74"/>
      <c r="H146" s="74"/>
      <c r="I146" s="74"/>
      <c r="J146" s="74"/>
      <c r="K146" s="74"/>
      <c r="O146" s="74"/>
    </row>
    <row r="147" spans="1:15" x14ac:dyDescent="0.3">
      <c r="A147" s="74"/>
      <c r="B147" s="74"/>
      <c r="C147" s="74"/>
      <c r="D147" s="74"/>
      <c r="E147" s="74"/>
      <c r="F147" s="74"/>
      <c r="G147" s="74"/>
      <c r="H147" s="74"/>
      <c r="I147" s="74"/>
      <c r="J147" s="74"/>
      <c r="K147" s="74"/>
      <c r="O147" s="74"/>
    </row>
    <row r="148" spans="1:15" x14ac:dyDescent="0.3">
      <c r="A148" s="74"/>
      <c r="B148" s="74"/>
      <c r="C148" s="74"/>
      <c r="D148" s="74"/>
      <c r="E148" s="74"/>
      <c r="F148" s="74"/>
      <c r="G148" s="74"/>
      <c r="H148" s="74"/>
      <c r="I148" s="74"/>
      <c r="J148" s="74"/>
      <c r="K148" s="74"/>
      <c r="O148" s="74"/>
    </row>
    <row r="149" spans="1:15" x14ac:dyDescent="0.3">
      <c r="A149" s="74"/>
      <c r="B149" s="74"/>
      <c r="C149" s="74"/>
      <c r="D149" s="74"/>
      <c r="E149" s="74"/>
      <c r="F149" s="74"/>
      <c r="G149" s="74"/>
      <c r="H149" s="74"/>
      <c r="I149" s="74"/>
      <c r="J149" s="74"/>
      <c r="K149" s="74"/>
      <c r="O149" s="74"/>
    </row>
    <row r="150" spans="1:15" x14ac:dyDescent="0.3">
      <c r="A150" s="74"/>
      <c r="B150" s="74"/>
      <c r="C150" s="74"/>
      <c r="D150" s="74"/>
      <c r="E150" s="74"/>
      <c r="F150" s="74"/>
      <c r="G150" s="74"/>
      <c r="H150" s="74"/>
      <c r="I150" s="74"/>
      <c r="J150" s="74"/>
      <c r="K150" s="74"/>
      <c r="O150" s="74"/>
    </row>
    <row r="151" spans="1:15" x14ac:dyDescent="0.3">
      <c r="A151" s="74"/>
      <c r="B151" s="74"/>
      <c r="C151" s="74"/>
      <c r="D151" s="74"/>
      <c r="E151" s="74"/>
      <c r="F151" s="74"/>
      <c r="G151" s="74"/>
      <c r="H151" s="74"/>
      <c r="I151" s="74"/>
      <c r="J151" s="74"/>
      <c r="K151" s="74"/>
      <c r="O151" s="74"/>
    </row>
    <row r="152" spans="1:15" x14ac:dyDescent="0.3">
      <c r="A152" s="74"/>
      <c r="B152" s="74"/>
      <c r="C152" s="74"/>
      <c r="D152" s="74"/>
      <c r="E152" s="74"/>
      <c r="F152" s="74"/>
      <c r="G152" s="74"/>
      <c r="H152" s="74"/>
      <c r="I152" s="74"/>
      <c r="J152" s="74"/>
      <c r="K152" s="74"/>
      <c r="O152" s="74"/>
    </row>
    <row r="153" spans="1:15" x14ac:dyDescent="0.3">
      <c r="A153" s="74"/>
      <c r="B153" s="74"/>
      <c r="C153" s="74"/>
      <c r="D153" s="74"/>
      <c r="E153" s="74"/>
      <c r="F153" s="74"/>
      <c r="G153" s="74"/>
      <c r="H153" s="74"/>
      <c r="I153" s="74"/>
      <c r="J153" s="74"/>
      <c r="K153" s="74"/>
      <c r="O153" s="74"/>
    </row>
    <row r="154" spans="1:15" x14ac:dyDescent="0.3">
      <c r="O154" s="74"/>
    </row>
    <row r="155" spans="1:15" x14ac:dyDescent="0.3">
      <c r="O155" s="74"/>
    </row>
    <row r="156" spans="1:15" x14ac:dyDescent="0.3">
      <c r="O156" s="74"/>
    </row>
    <row r="157" spans="1:15" x14ac:dyDescent="0.3">
      <c r="O157" s="74"/>
    </row>
    <row r="158" spans="1:15" x14ac:dyDescent="0.3">
      <c r="O158" s="74"/>
    </row>
    <row r="159" spans="1:15" x14ac:dyDescent="0.3">
      <c r="O159" s="74"/>
    </row>
    <row r="160" spans="1:15" x14ac:dyDescent="0.3">
      <c r="O160" s="74"/>
    </row>
    <row r="161" spans="1:15" x14ac:dyDescent="0.3">
      <c r="O161" s="74"/>
    </row>
    <row r="162" spans="1:15" x14ac:dyDescent="0.3">
      <c r="O162" s="74"/>
    </row>
    <row r="163" spans="1:15" x14ac:dyDescent="0.3">
      <c r="O163" s="74"/>
    </row>
    <row r="164" spans="1:15" x14ac:dyDescent="0.3">
      <c r="O164" s="74"/>
    </row>
    <row r="165" spans="1:15" x14ac:dyDescent="0.3">
      <c r="O165" s="74"/>
    </row>
    <row r="166" spans="1:15" x14ac:dyDescent="0.3">
      <c r="O166" s="74"/>
    </row>
    <row r="167" spans="1:15" x14ac:dyDescent="0.3">
      <c r="O167" s="74"/>
    </row>
    <row r="168" spans="1:15" x14ac:dyDescent="0.3">
      <c r="O168" s="74"/>
    </row>
    <row r="169" spans="1:15" x14ac:dyDescent="0.3">
      <c r="O169" s="74"/>
    </row>
    <row r="170" spans="1:15" x14ac:dyDescent="0.3">
      <c r="A170" s="74"/>
      <c r="B170" s="74"/>
      <c r="C170" s="74"/>
      <c r="D170" s="74"/>
      <c r="E170" s="74"/>
      <c r="F170" s="74"/>
      <c r="G170" s="74"/>
      <c r="H170" s="74"/>
      <c r="I170" s="74"/>
      <c r="J170" s="74"/>
      <c r="K170" s="74"/>
      <c r="O170" s="74"/>
    </row>
    <row r="171" spans="1:15" x14ac:dyDescent="0.3">
      <c r="A171" s="74"/>
      <c r="B171" s="74"/>
      <c r="C171" s="74"/>
      <c r="D171" s="74"/>
      <c r="E171" s="74"/>
      <c r="F171" s="74"/>
      <c r="G171" s="74"/>
      <c r="H171" s="74"/>
      <c r="I171" s="74"/>
      <c r="J171" s="74"/>
      <c r="K171" s="74"/>
      <c r="O171" s="74"/>
    </row>
    <row r="172" spans="1:15" x14ac:dyDescent="0.3">
      <c r="A172" s="74"/>
      <c r="B172" s="74"/>
      <c r="C172" s="74"/>
      <c r="D172" s="74"/>
      <c r="E172" s="74"/>
      <c r="F172" s="74"/>
      <c r="G172" s="74"/>
      <c r="H172" s="74"/>
      <c r="I172" s="74"/>
      <c r="J172" s="74"/>
      <c r="K172" s="74"/>
      <c r="O172" s="74"/>
    </row>
    <row r="173" spans="1:15" x14ac:dyDescent="0.3">
      <c r="A173" s="74"/>
      <c r="B173" s="74"/>
      <c r="C173" s="74"/>
      <c r="D173" s="74"/>
      <c r="E173" s="74"/>
      <c r="F173" s="74"/>
      <c r="G173" s="74"/>
      <c r="H173" s="74"/>
      <c r="I173" s="74"/>
      <c r="J173" s="74"/>
      <c r="K173" s="74"/>
      <c r="O173" s="74"/>
    </row>
    <row r="174" spans="1:15" x14ac:dyDescent="0.3">
      <c r="A174" s="74"/>
      <c r="B174" s="74"/>
      <c r="C174" s="74"/>
      <c r="D174" s="74"/>
      <c r="E174" s="74"/>
      <c r="F174" s="74"/>
      <c r="G174" s="74"/>
      <c r="H174" s="74"/>
      <c r="I174" s="74"/>
      <c r="J174" s="74"/>
      <c r="K174" s="74"/>
      <c r="O174" s="74"/>
    </row>
    <row r="175" spans="1:15" x14ac:dyDescent="0.3">
      <c r="A175" s="74"/>
      <c r="B175" s="74"/>
      <c r="C175" s="74"/>
      <c r="D175" s="74"/>
      <c r="E175" s="74"/>
      <c r="F175" s="74"/>
      <c r="G175" s="74"/>
      <c r="H175" s="74"/>
      <c r="I175" s="74"/>
      <c r="J175" s="74"/>
      <c r="K175" s="74"/>
      <c r="O175" s="74"/>
    </row>
    <row r="176" spans="1:15" x14ac:dyDescent="0.3">
      <c r="A176" s="74"/>
      <c r="B176" s="74"/>
      <c r="C176" s="74"/>
      <c r="D176" s="74"/>
      <c r="E176" s="74"/>
      <c r="F176" s="74"/>
      <c r="G176" s="74"/>
      <c r="H176" s="74"/>
      <c r="I176" s="74"/>
      <c r="J176" s="74"/>
      <c r="K176" s="74"/>
      <c r="O176" s="74"/>
    </row>
  </sheetData>
  <hyperlinks>
    <hyperlink ref="A1" location="Innhold!A1" display="Tilbake" xr:uid="{00000000-0004-0000-0200-000000000000}"/>
  </hyperlinks>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N144"/>
  <sheetViews>
    <sheetView showGridLines="0" zoomScaleNormal="100" workbookViewId="0"/>
  </sheetViews>
  <sheetFormatPr baseColWidth="10" defaultColWidth="11.42578125" defaultRowHeight="12.75" x14ac:dyDescent="0.2"/>
  <cols>
    <col min="1" max="1" width="43"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99</v>
      </c>
      <c r="D1" s="26"/>
      <c r="E1" s="26"/>
      <c r="F1" s="26"/>
      <c r="G1" s="26"/>
      <c r="H1" s="26"/>
      <c r="I1" s="26"/>
      <c r="J1" s="26"/>
      <c r="K1" s="26"/>
      <c r="L1" s="26"/>
      <c r="M1" s="26"/>
    </row>
    <row r="2" spans="1:14" ht="15.75" x14ac:dyDescent="0.25">
      <c r="A2" s="165" t="s">
        <v>28</v>
      </c>
      <c r="B2" s="726"/>
      <c r="C2" s="726"/>
      <c r="D2" s="726"/>
      <c r="E2" s="299"/>
      <c r="F2" s="726"/>
      <c r="G2" s="726"/>
      <c r="H2" s="726"/>
      <c r="I2" s="299"/>
      <c r="J2" s="726"/>
      <c r="K2" s="726"/>
      <c r="L2" s="726"/>
      <c r="M2" s="299"/>
    </row>
    <row r="3" spans="1:14" ht="15.75" x14ac:dyDescent="0.25">
      <c r="A3" s="163"/>
      <c r="B3" s="299"/>
      <c r="C3" s="299"/>
      <c r="D3" s="299"/>
      <c r="E3" s="299"/>
      <c r="F3" s="299"/>
      <c r="G3" s="299"/>
      <c r="H3" s="299"/>
      <c r="I3" s="299"/>
      <c r="J3" s="299"/>
      <c r="K3" s="299"/>
      <c r="L3" s="299"/>
      <c r="M3" s="299"/>
    </row>
    <row r="4" spans="1:14" x14ac:dyDescent="0.2">
      <c r="A4" s="144"/>
      <c r="B4" s="727" t="s">
        <v>0</v>
      </c>
      <c r="C4" s="728"/>
      <c r="D4" s="728"/>
      <c r="E4" s="301"/>
      <c r="F4" s="727" t="s">
        <v>1</v>
      </c>
      <c r="G4" s="728"/>
      <c r="H4" s="728"/>
      <c r="I4" s="304"/>
      <c r="J4" s="727" t="s">
        <v>2</v>
      </c>
      <c r="K4" s="728"/>
      <c r="L4" s="728"/>
      <c r="M4" s="304"/>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c r="D7" s="350"/>
      <c r="E7" s="11"/>
      <c r="F7" s="306"/>
      <c r="G7" s="307"/>
      <c r="H7" s="350"/>
      <c r="I7" s="160"/>
      <c r="J7" s="308"/>
      <c r="K7" s="309"/>
      <c r="L7" s="427"/>
      <c r="M7" s="11"/>
    </row>
    <row r="8" spans="1:14" ht="15.75" x14ac:dyDescent="0.2">
      <c r="A8" s="21" t="s">
        <v>25</v>
      </c>
      <c r="B8" s="281"/>
      <c r="C8" s="282"/>
      <c r="D8" s="166"/>
      <c r="E8" s="27"/>
      <c r="F8" s="285"/>
      <c r="G8" s="286"/>
      <c r="H8" s="166"/>
      <c r="I8" s="175"/>
      <c r="J8" s="234"/>
      <c r="K8" s="287"/>
      <c r="L8" s="254"/>
      <c r="M8" s="27"/>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432"/>
      <c r="E38" s="24"/>
      <c r="F38" s="319"/>
      <c r="G38" s="320"/>
      <c r="H38" s="171"/>
      <c r="I38" s="434"/>
      <c r="J38" s="236"/>
      <c r="K38" s="236"/>
      <c r="L38" s="428"/>
      <c r="M38" s="24"/>
    </row>
    <row r="39" spans="1:14" ht="15.75" x14ac:dyDescent="0.2">
      <c r="A39" s="18" t="s">
        <v>378</v>
      </c>
      <c r="B39" s="276"/>
      <c r="C39" s="315"/>
      <c r="D39" s="433"/>
      <c r="E39" s="36"/>
      <c r="F39" s="322"/>
      <c r="G39" s="323"/>
      <c r="H39" s="169"/>
      <c r="I39" s="36"/>
      <c r="J39" s="236"/>
      <c r="K39" s="236"/>
      <c r="L39" s="429"/>
      <c r="M39" s="36"/>
    </row>
    <row r="40" spans="1:14" ht="15.75" x14ac:dyDescent="0.25">
      <c r="A40" s="47"/>
      <c r="B40" s="253"/>
      <c r="C40" s="253"/>
      <c r="D40" s="730"/>
      <c r="E40" s="731"/>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497838</v>
      </c>
      <c r="C47" s="311">
        <v>510830.81199999998</v>
      </c>
      <c r="D47" s="427">
        <f t="shared" ref="D47:D57" si="0">IF(B47=0, "    ---- ", IF(ABS(ROUND(100/B47*C47-100,1))&lt;999,ROUND(100/B47*C47-100,1),IF(ROUND(100/B47*C47-100,1)&gt;999,999,-999)))</f>
        <v>2.6</v>
      </c>
      <c r="E47" s="11">
        <f>IFERROR(100/'Skjema total MA'!C47*C47,0)</f>
        <v>17.702719531372448</v>
      </c>
      <c r="F47" s="145"/>
      <c r="G47" s="33"/>
      <c r="H47" s="159"/>
      <c r="I47" s="159"/>
      <c r="J47" s="37"/>
      <c r="K47" s="37"/>
      <c r="L47" s="159"/>
      <c r="M47" s="159"/>
      <c r="N47" s="148"/>
    </row>
    <row r="48" spans="1:14" s="3" customFormat="1" ht="15.75" x14ac:dyDescent="0.2">
      <c r="A48" s="38" t="s">
        <v>379</v>
      </c>
      <c r="B48" s="281">
        <v>136071</v>
      </c>
      <c r="C48" s="282">
        <v>108982.70299999999</v>
      </c>
      <c r="D48" s="254">
        <f t="shared" si="0"/>
        <v>-19.899999999999999</v>
      </c>
      <c r="E48" s="27">
        <f>IFERROR(100/'Skjema total MA'!C48*C48,0)</f>
        <v>6.9497094642402626</v>
      </c>
      <c r="F48" s="145"/>
      <c r="G48" s="33"/>
      <c r="H48" s="145"/>
      <c r="I48" s="145"/>
      <c r="J48" s="33"/>
      <c r="K48" s="33"/>
      <c r="L48" s="159"/>
      <c r="M48" s="159"/>
      <c r="N48" s="148"/>
    </row>
    <row r="49" spans="1:14" s="3" customFormat="1" ht="15.75" x14ac:dyDescent="0.2">
      <c r="A49" s="38" t="s">
        <v>380</v>
      </c>
      <c r="B49" s="44">
        <v>361767</v>
      </c>
      <c r="C49" s="287">
        <v>401848.109</v>
      </c>
      <c r="D49" s="254">
        <f>IF(B49=0, "    ---- ", IF(ABS(ROUND(100/B49*C49-100,1))&lt;999,ROUND(100/B49*C49-100,1),IF(ROUND(100/B49*C49-100,1)&gt;999,999,-999)))</f>
        <v>11.1</v>
      </c>
      <c r="E49" s="27">
        <f>IFERROR(100/'Skjema total MA'!C49*C49,0)</f>
        <v>30.502091930955253</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88294.008000000002</v>
      </c>
      <c r="C53" s="311">
        <v>2473.4879999999998</v>
      </c>
      <c r="D53" s="428">
        <f t="shared" si="0"/>
        <v>-97.2</v>
      </c>
      <c r="E53" s="11">
        <f>IFERROR(100/'Skjema total MA'!C53*C53,0)</f>
        <v>2.4200884104118838</v>
      </c>
      <c r="F53" s="145"/>
      <c r="G53" s="33"/>
      <c r="H53" s="145"/>
      <c r="I53" s="145"/>
      <c r="J53" s="33"/>
      <c r="K53" s="33"/>
      <c r="L53" s="159"/>
      <c r="M53" s="159"/>
      <c r="N53" s="148"/>
    </row>
    <row r="54" spans="1:14" s="3" customFormat="1" ht="15.75" x14ac:dyDescent="0.2">
      <c r="A54" s="38" t="s">
        <v>379</v>
      </c>
      <c r="B54" s="281">
        <v>2525.5010000000002</v>
      </c>
      <c r="C54" s="282">
        <v>2473.4879999999998</v>
      </c>
      <c r="D54" s="254">
        <f t="shared" si="0"/>
        <v>-2.1</v>
      </c>
      <c r="E54" s="27">
        <f>IFERROR(100/'Skjema total MA'!C54*C54,0)</f>
        <v>2.4200884104118838</v>
      </c>
      <c r="F54" s="145"/>
      <c r="G54" s="33"/>
      <c r="H54" s="145"/>
      <c r="I54" s="145"/>
      <c r="J54" s="33"/>
      <c r="K54" s="33"/>
      <c r="L54" s="159"/>
      <c r="M54" s="159"/>
      <c r="N54" s="148"/>
    </row>
    <row r="55" spans="1:14" s="3" customFormat="1" ht="15.75" x14ac:dyDescent="0.2">
      <c r="A55" s="38" t="s">
        <v>380</v>
      </c>
      <c r="B55" s="281">
        <v>85768.506999999998</v>
      </c>
      <c r="C55" s="282">
        <v>0</v>
      </c>
      <c r="D55" s="254">
        <f t="shared" si="0"/>
        <v>-100</v>
      </c>
      <c r="E55" s="27">
        <f>IFERROR(100/'Skjema total MA'!C55*C55,0)</f>
        <v>0</v>
      </c>
      <c r="F55" s="145"/>
      <c r="G55" s="33"/>
      <c r="H55" s="145"/>
      <c r="I55" s="145"/>
      <c r="J55" s="33"/>
      <c r="K55" s="33"/>
      <c r="L55" s="159"/>
      <c r="M55" s="159"/>
      <c r="N55" s="148"/>
    </row>
    <row r="56" spans="1:14" s="3" customFormat="1" ht="15.75" x14ac:dyDescent="0.2">
      <c r="A56" s="39" t="s">
        <v>382</v>
      </c>
      <c r="B56" s="310">
        <v>21200.225999999999</v>
      </c>
      <c r="C56" s="311">
        <v>56510.533000000003</v>
      </c>
      <c r="D56" s="428">
        <f t="shared" si="0"/>
        <v>166.6</v>
      </c>
      <c r="E56" s="11">
        <f>IFERROR(100/'Skjema total MA'!C56*C56,0)</f>
        <v>59.832969861969467</v>
      </c>
      <c r="F56" s="145"/>
      <c r="G56" s="33"/>
      <c r="H56" s="145"/>
      <c r="I56" s="145"/>
      <c r="J56" s="33"/>
      <c r="K56" s="33"/>
      <c r="L56" s="159"/>
      <c r="M56" s="159"/>
      <c r="N56" s="148"/>
    </row>
    <row r="57" spans="1:14" s="3" customFormat="1" ht="15.75" x14ac:dyDescent="0.2">
      <c r="A57" s="38" t="s">
        <v>379</v>
      </c>
      <c r="B57" s="281">
        <v>21200.225999999999</v>
      </c>
      <c r="C57" s="282">
        <v>56510.533000000003</v>
      </c>
      <c r="D57" s="254">
        <f t="shared" si="0"/>
        <v>166.6</v>
      </c>
      <c r="E57" s="27">
        <f>IFERROR(100/'Skjema total MA'!C57*C57,0)</f>
        <v>59.832969861969467</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251" priority="117">
      <formula>kvartal &lt; 4</formula>
    </cfRule>
  </conditionalFormatting>
  <conditionalFormatting sqref="B115">
    <cfRule type="expression" dxfId="250" priority="61">
      <formula>kvartal &lt; 4</formula>
    </cfRule>
  </conditionalFormatting>
  <conditionalFormatting sqref="C115">
    <cfRule type="expression" dxfId="249" priority="60">
      <formula>kvartal &lt; 4</formula>
    </cfRule>
  </conditionalFormatting>
  <conditionalFormatting sqref="B123">
    <cfRule type="expression" dxfId="248" priority="59">
      <formula>kvartal &lt; 4</formula>
    </cfRule>
  </conditionalFormatting>
  <conditionalFormatting sqref="C123">
    <cfRule type="expression" dxfId="247" priority="58">
      <formula>kvartal &lt; 4</formula>
    </cfRule>
  </conditionalFormatting>
  <conditionalFormatting sqref="F115">
    <cfRule type="expression" dxfId="246" priority="43">
      <formula>kvartal &lt; 4</formula>
    </cfRule>
  </conditionalFormatting>
  <conditionalFormatting sqref="G115">
    <cfRule type="expression" dxfId="245" priority="42">
      <formula>kvartal &lt; 4</formula>
    </cfRule>
  </conditionalFormatting>
  <conditionalFormatting sqref="F123:G123">
    <cfRule type="expression" dxfId="244" priority="41">
      <formula>kvartal &lt; 4</formula>
    </cfRule>
  </conditionalFormatting>
  <conditionalFormatting sqref="J115:K115">
    <cfRule type="expression" dxfId="243" priority="17">
      <formula>kvartal &lt; 4</formula>
    </cfRule>
  </conditionalFormatting>
  <conditionalFormatting sqref="J123:K123">
    <cfRule type="expression" dxfId="242" priority="16">
      <formula>kvartal &lt; 4</formula>
    </cfRule>
  </conditionalFormatting>
  <conditionalFormatting sqref="A50:A52">
    <cfRule type="expression" dxfId="241" priority="12">
      <formula>kvartal &lt; 4</formula>
    </cfRule>
  </conditionalFormatting>
  <conditionalFormatting sqref="A69:A74">
    <cfRule type="expression" dxfId="240" priority="10">
      <formula>kvartal &lt; 4</formula>
    </cfRule>
  </conditionalFormatting>
  <conditionalFormatting sqref="A80:A85">
    <cfRule type="expression" dxfId="239" priority="9">
      <formula>kvartal &lt; 4</formula>
    </cfRule>
  </conditionalFormatting>
  <conditionalFormatting sqref="A90:A95">
    <cfRule type="expression" dxfId="238" priority="6">
      <formula>kvartal &lt; 4</formula>
    </cfRule>
  </conditionalFormatting>
  <conditionalFormatting sqref="A101:A106">
    <cfRule type="expression" dxfId="237" priority="5">
      <formula>kvartal &lt; 4</formula>
    </cfRule>
  </conditionalFormatting>
  <conditionalFormatting sqref="A115">
    <cfRule type="expression" dxfId="236" priority="4">
      <formula>kvartal &lt; 4</formula>
    </cfRule>
  </conditionalFormatting>
  <conditionalFormatting sqref="A123">
    <cfRule type="expression" dxfId="235" priority="3">
      <formula>kvartal &lt; 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dimension ref="A1:N144"/>
  <sheetViews>
    <sheetView showGridLines="0" workbookViewId="0">
      <selection activeCell="A3" sqref="A3"/>
    </sheetView>
  </sheetViews>
  <sheetFormatPr baseColWidth="10" defaultColWidth="11.42578125" defaultRowHeight="12.75" x14ac:dyDescent="0.2"/>
  <cols>
    <col min="1" max="1" width="43"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426</v>
      </c>
      <c r="D1" s="26"/>
      <c r="E1" s="26"/>
      <c r="F1" s="26"/>
      <c r="G1" s="26"/>
      <c r="H1" s="26"/>
      <c r="I1" s="26"/>
      <c r="J1" s="26"/>
      <c r="K1" s="26"/>
      <c r="L1" s="26"/>
      <c r="M1" s="26"/>
    </row>
    <row r="2" spans="1:14" ht="15.75" x14ac:dyDescent="0.25">
      <c r="A2" s="165" t="s">
        <v>28</v>
      </c>
      <c r="B2" s="726"/>
      <c r="C2" s="726"/>
      <c r="D2" s="726"/>
      <c r="E2" s="612"/>
      <c r="F2" s="726"/>
      <c r="G2" s="726"/>
      <c r="H2" s="726"/>
      <c r="I2" s="612"/>
      <c r="J2" s="726"/>
      <c r="K2" s="726"/>
      <c r="L2" s="726"/>
      <c r="M2" s="612"/>
    </row>
    <row r="3" spans="1:14" ht="15.75" x14ac:dyDescent="0.25">
      <c r="A3" s="163"/>
      <c r="B3" s="612"/>
      <c r="C3" s="612"/>
      <c r="D3" s="612"/>
      <c r="E3" s="612"/>
      <c r="F3" s="612"/>
      <c r="G3" s="612"/>
      <c r="H3" s="612"/>
      <c r="I3" s="612"/>
      <c r="J3" s="612"/>
      <c r="K3" s="612"/>
      <c r="L3" s="612"/>
      <c r="M3" s="612"/>
    </row>
    <row r="4" spans="1:14" x14ac:dyDescent="0.2">
      <c r="A4" s="144"/>
      <c r="B4" s="727" t="s">
        <v>0</v>
      </c>
      <c r="C4" s="728"/>
      <c r="D4" s="728"/>
      <c r="E4" s="609"/>
      <c r="F4" s="727" t="s">
        <v>1</v>
      </c>
      <c r="G4" s="728"/>
      <c r="H4" s="728"/>
      <c r="I4" s="610"/>
      <c r="J4" s="727" t="s">
        <v>2</v>
      </c>
      <c r="K4" s="728"/>
      <c r="L4" s="728"/>
      <c r="M4" s="610"/>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c r="C7" s="307">
        <v>335</v>
      </c>
      <c r="D7" s="350" t="str">
        <f>IF(B7=0, "    ---- ", IF(ABS(ROUND(100/B7*C7-100,1))&lt;999,ROUND(100/B7*C7-100,1),IF(ROUND(100/B7*C7-100,1)&gt;999,999,-999)))</f>
        <v xml:space="preserve">    ---- </v>
      </c>
      <c r="E7" s="11">
        <f>IFERROR(100/'Skjema total MA'!C7*C7,0)</f>
        <v>2.1550130913629392E-2</v>
      </c>
      <c r="F7" s="306"/>
      <c r="G7" s="307"/>
      <c r="H7" s="350"/>
      <c r="I7" s="160"/>
      <c r="J7" s="308"/>
      <c r="K7" s="309">
        <f t="shared" ref="K7:K8" si="0">SUM(C7,G7)</f>
        <v>335</v>
      </c>
      <c r="L7" s="427" t="str">
        <f>IF(J7=0, "    ---- ", IF(ABS(ROUND(100/J7*K7-100,1))&lt;999,ROUND(100/J7*K7-100,1),IF(ROUND(100/J7*K7-100,1)&gt;999,999,-999)))</f>
        <v xml:space="preserve">    ---- </v>
      </c>
      <c r="M7" s="11">
        <f>IFERROR(100/'Skjema total MA'!I7*K7,0)</f>
        <v>8.1966229063147114E-3</v>
      </c>
    </row>
    <row r="8" spans="1:14" ht="15.75" x14ac:dyDescent="0.2">
      <c r="A8" s="21" t="s">
        <v>25</v>
      </c>
      <c r="B8" s="281"/>
      <c r="C8" s="282">
        <v>335</v>
      </c>
      <c r="D8" s="166" t="str">
        <f t="shared" ref="D8" si="1">IF(B8=0, "    ---- ", IF(ABS(ROUND(100/B8*C8-100,1))&lt;999,ROUND(100/B8*C8-100,1),IF(ROUND(100/B8*C8-100,1)&gt;999,999,-999)))</f>
        <v xml:space="preserve">    ---- </v>
      </c>
      <c r="E8" s="27">
        <f>IFERROR(100/'Skjema total MA'!C8*C8,0)</f>
        <v>3.2296834292113233E-2</v>
      </c>
      <c r="F8" s="285"/>
      <c r="G8" s="286"/>
      <c r="H8" s="166"/>
      <c r="I8" s="175"/>
      <c r="J8" s="234"/>
      <c r="K8" s="287">
        <f t="shared" si="0"/>
        <v>335</v>
      </c>
      <c r="L8" s="254"/>
      <c r="M8" s="27">
        <f>IFERROR(100/'Skjema total MA'!I8*K8,0)</f>
        <v>3.2296834292113233E-2</v>
      </c>
    </row>
    <row r="9" spans="1:14" ht="15.75" x14ac:dyDescent="0.2">
      <c r="A9" s="21" t="s">
        <v>24</v>
      </c>
      <c r="B9" s="281"/>
      <c r="C9" s="282"/>
      <c r="D9" s="166"/>
      <c r="E9" s="27"/>
      <c r="F9" s="285"/>
      <c r="G9" s="286"/>
      <c r="H9" s="166"/>
      <c r="I9" s="175"/>
      <c r="J9" s="234"/>
      <c r="K9" s="287"/>
      <c r="L9" s="254"/>
      <c r="M9" s="27"/>
    </row>
    <row r="10" spans="1:14" ht="15.75" x14ac:dyDescent="0.2">
      <c r="A10" s="13" t="s">
        <v>368</v>
      </c>
      <c r="B10" s="310"/>
      <c r="C10" s="311"/>
      <c r="D10" s="171"/>
      <c r="E10" s="11"/>
      <c r="F10" s="310"/>
      <c r="G10" s="311"/>
      <c r="H10" s="171"/>
      <c r="I10" s="160"/>
      <c r="J10" s="308"/>
      <c r="K10" s="309"/>
      <c r="L10" s="428"/>
      <c r="M10" s="11"/>
    </row>
    <row r="11" spans="1:14" s="43" customFormat="1" ht="15.75" x14ac:dyDescent="0.2">
      <c r="A11" s="13" t="s">
        <v>369</v>
      </c>
      <c r="B11" s="310"/>
      <c r="C11" s="311"/>
      <c r="D11" s="171"/>
      <c r="E11" s="11"/>
      <c r="F11" s="310"/>
      <c r="G11" s="311"/>
      <c r="H11" s="171"/>
      <c r="I11" s="160"/>
      <c r="J11" s="308"/>
      <c r="K11" s="309"/>
      <c r="L11" s="428"/>
      <c r="M11" s="11"/>
      <c r="N11" s="143"/>
    </row>
    <row r="12" spans="1:14" s="43" customFormat="1" ht="15.75" x14ac:dyDescent="0.2">
      <c r="A12" s="41" t="s">
        <v>370</v>
      </c>
      <c r="B12" s="312"/>
      <c r="C12" s="313"/>
      <c r="D12" s="169"/>
      <c r="E12" s="36"/>
      <c r="F12" s="312"/>
      <c r="G12" s="313"/>
      <c r="H12" s="169"/>
      <c r="I12" s="169"/>
      <c r="J12" s="314"/>
      <c r="K12" s="315"/>
      <c r="L12" s="429"/>
      <c r="M12" s="36"/>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612"/>
      <c r="F18" s="729"/>
      <c r="G18" s="729"/>
      <c r="H18" s="729"/>
      <c r="I18" s="612"/>
      <c r="J18" s="729"/>
      <c r="K18" s="729"/>
      <c r="L18" s="729"/>
      <c r="M18" s="612"/>
    </row>
    <row r="19" spans="1:14" x14ac:dyDescent="0.2">
      <c r="A19" s="144"/>
      <c r="B19" s="727" t="s">
        <v>0</v>
      </c>
      <c r="C19" s="728"/>
      <c r="D19" s="728"/>
      <c r="E19" s="609"/>
      <c r="F19" s="727" t="s">
        <v>1</v>
      </c>
      <c r="G19" s="728"/>
      <c r="H19" s="728"/>
      <c r="I19" s="610"/>
      <c r="J19" s="727" t="s">
        <v>2</v>
      </c>
      <c r="K19" s="728"/>
      <c r="L19" s="728"/>
      <c r="M19" s="610"/>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c r="C22" s="310"/>
      <c r="D22" s="350"/>
      <c r="E22" s="11"/>
      <c r="F22" s="318"/>
      <c r="G22" s="318"/>
      <c r="H22" s="350"/>
      <c r="I22" s="11"/>
      <c r="J22" s="316"/>
      <c r="K22" s="316"/>
      <c r="L22" s="427"/>
      <c r="M22" s="24"/>
    </row>
    <row r="23" spans="1:14" ht="15.75" x14ac:dyDescent="0.2">
      <c r="A23" s="583" t="s">
        <v>371</v>
      </c>
      <c r="B23" s="281"/>
      <c r="C23" s="281"/>
      <c r="D23" s="166"/>
      <c r="E23" s="11"/>
      <c r="F23" s="290"/>
      <c r="G23" s="290"/>
      <c r="H23" s="166"/>
      <c r="I23" s="417"/>
      <c r="J23" s="290"/>
      <c r="K23" s="290"/>
      <c r="L23" s="166"/>
      <c r="M23" s="23"/>
    </row>
    <row r="24" spans="1:14" ht="15.75" x14ac:dyDescent="0.2">
      <c r="A24" s="583" t="s">
        <v>372</v>
      </c>
      <c r="B24" s="281"/>
      <c r="C24" s="281"/>
      <c r="D24" s="166"/>
      <c r="E24" s="11"/>
      <c r="F24" s="290"/>
      <c r="G24" s="290"/>
      <c r="H24" s="166"/>
      <c r="I24" s="417"/>
      <c r="J24" s="290"/>
      <c r="K24" s="290"/>
      <c r="L24" s="166"/>
      <c r="M24" s="23"/>
    </row>
    <row r="25" spans="1:14" ht="15.75" x14ac:dyDescent="0.2">
      <c r="A25" s="583" t="s">
        <v>373</v>
      </c>
      <c r="B25" s="281"/>
      <c r="C25" s="281"/>
      <c r="D25" s="166"/>
      <c r="E25" s="11"/>
      <c r="F25" s="290"/>
      <c r="G25" s="290"/>
      <c r="H25" s="166"/>
      <c r="I25" s="417"/>
      <c r="J25" s="290"/>
      <c r="K25" s="290"/>
      <c r="L25" s="166"/>
      <c r="M25" s="23"/>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c r="C28" s="287"/>
      <c r="D28" s="166"/>
      <c r="E28" s="11"/>
      <c r="F28" s="234"/>
      <c r="G28" s="287"/>
      <c r="H28" s="166"/>
      <c r="I28" s="27"/>
      <c r="J28" s="44"/>
      <c r="K28" s="44"/>
      <c r="L28" s="254"/>
      <c r="M28" s="23"/>
    </row>
    <row r="29" spans="1:14" s="3" customFormat="1" ht="15.75" x14ac:dyDescent="0.2">
      <c r="A29" s="13" t="s">
        <v>368</v>
      </c>
      <c r="B29" s="236"/>
      <c r="C29" s="236"/>
      <c r="D29" s="171"/>
      <c r="E29" s="11"/>
      <c r="F29" s="308"/>
      <c r="G29" s="308"/>
      <c r="H29" s="171"/>
      <c r="I29" s="11"/>
      <c r="J29" s="236"/>
      <c r="K29" s="236"/>
      <c r="L29" s="428"/>
      <c r="M29" s="24"/>
      <c r="N29" s="148"/>
    </row>
    <row r="30" spans="1:14" s="3" customFormat="1" ht="15.75" x14ac:dyDescent="0.2">
      <c r="A30" s="583" t="s">
        <v>371</v>
      </c>
      <c r="B30" s="281"/>
      <c r="C30" s="281"/>
      <c r="D30" s="166"/>
      <c r="E30" s="11"/>
      <c r="F30" s="290"/>
      <c r="G30" s="290"/>
      <c r="H30" s="166"/>
      <c r="I30" s="417"/>
      <c r="J30" s="290"/>
      <c r="K30" s="290"/>
      <c r="L30" s="166"/>
      <c r="M30" s="23"/>
      <c r="N30" s="148"/>
    </row>
    <row r="31" spans="1:14" s="3" customFormat="1" ht="15.75" x14ac:dyDescent="0.2">
      <c r="A31" s="583" t="s">
        <v>372</v>
      </c>
      <c r="B31" s="281"/>
      <c r="C31" s="281"/>
      <c r="D31" s="166"/>
      <c r="E31" s="11"/>
      <c r="F31" s="290"/>
      <c r="G31" s="290"/>
      <c r="H31" s="166"/>
      <c r="I31" s="417"/>
      <c r="J31" s="290"/>
      <c r="K31" s="290"/>
      <c r="L31" s="166"/>
      <c r="M31" s="23"/>
      <c r="N31" s="148"/>
    </row>
    <row r="32" spans="1:14" ht="15.75" x14ac:dyDescent="0.2">
      <c r="A32" s="583" t="s">
        <v>373</v>
      </c>
      <c r="B32" s="281"/>
      <c r="C32" s="281"/>
      <c r="D32" s="166"/>
      <c r="E32" s="11"/>
      <c r="F32" s="290"/>
      <c r="G32" s="290"/>
      <c r="H32" s="166"/>
      <c r="I32" s="417"/>
      <c r="J32" s="290"/>
      <c r="K32" s="290"/>
      <c r="L32" s="166"/>
      <c r="M32" s="23"/>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c r="C34" s="309"/>
      <c r="D34" s="171"/>
      <c r="E34" s="11"/>
      <c r="F34" s="308"/>
      <c r="G34" s="309"/>
      <c r="H34" s="171"/>
      <c r="I34" s="11"/>
      <c r="J34" s="236"/>
      <c r="K34" s="236"/>
      <c r="L34" s="428"/>
      <c r="M34" s="24"/>
    </row>
    <row r="35" spans="1:14" ht="15.75" x14ac:dyDescent="0.2">
      <c r="A35" s="13" t="s">
        <v>370</v>
      </c>
      <c r="B35" s="236"/>
      <c r="C35" s="309"/>
      <c r="D35" s="171"/>
      <c r="E35" s="11"/>
      <c r="F35" s="308"/>
      <c r="G35" s="309"/>
      <c r="H35" s="171"/>
      <c r="I35" s="11"/>
      <c r="J35" s="236"/>
      <c r="K35" s="236"/>
      <c r="L35" s="428"/>
      <c r="M35" s="24"/>
    </row>
    <row r="36" spans="1:14" ht="15.75" x14ac:dyDescent="0.2">
      <c r="A36" s="12" t="s">
        <v>287</v>
      </c>
      <c r="B36" s="236"/>
      <c r="C36" s="309"/>
      <c r="D36" s="171"/>
      <c r="E36" s="11"/>
      <c r="F36" s="319"/>
      <c r="G36" s="320"/>
      <c r="H36" s="171"/>
      <c r="I36" s="434"/>
      <c r="J36" s="236"/>
      <c r="K36" s="236"/>
      <c r="L36" s="428"/>
      <c r="M36" s="24"/>
    </row>
    <row r="37" spans="1:14" ht="15.75" x14ac:dyDescent="0.2">
      <c r="A37" s="12" t="s">
        <v>376</v>
      </c>
      <c r="B37" s="236"/>
      <c r="C37" s="309"/>
      <c r="D37" s="171"/>
      <c r="E37" s="11"/>
      <c r="F37" s="319"/>
      <c r="G37" s="321"/>
      <c r="H37" s="171"/>
      <c r="I37" s="434"/>
      <c r="J37" s="236"/>
      <c r="K37" s="236"/>
      <c r="L37" s="428"/>
      <c r="M37" s="24"/>
    </row>
    <row r="38" spans="1:14" ht="15.75" x14ac:dyDescent="0.2">
      <c r="A38" s="12" t="s">
        <v>377</v>
      </c>
      <c r="B38" s="236"/>
      <c r="C38" s="309"/>
      <c r="D38" s="432"/>
      <c r="E38" s="24"/>
      <c r="F38" s="319"/>
      <c r="G38" s="320"/>
      <c r="H38" s="171"/>
      <c r="I38" s="434"/>
      <c r="J38" s="236"/>
      <c r="K38" s="236"/>
      <c r="L38" s="428"/>
      <c r="M38" s="24"/>
    </row>
    <row r="39" spans="1:14" ht="15.75" x14ac:dyDescent="0.2">
      <c r="A39" s="18" t="s">
        <v>378</v>
      </c>
      <c r="B39" s="276"/>
      <c r="C39" s="315"/>
      <c r="D39" s="433"/>
      <c r="E39" s="36"/>
      <c r="F39" s="322"/>
      <c r="G39" s="323"/>
      <c r="H39" s="169"/>
      <c r="I39" s="36"/>
      <c r="J39" s="236"/>
      <c r="K39" s="236"/>
      <c r="L39" s="429"/>
      <c r="M39" s="36"/>
    </row>
    <row r="40" spans="1:14" ht="15.75" x14ac:dyDescent="0.25">
      <c r="A40" s="47"/>
      <c r="B40" s="253"/>
      <c r="C40" s="253"/>
      <c r="D40" s="730"/>
      <c r="E40" s="731"/>
      <c r="F40" s="730"/>
      <c r="G40" s="730"/>
      <c r="H40" s="730"/>
      <c r="I40" s="730"/>
      <c r="J40" s="730"/>
      <c r="K40" s="730"/>
      <c r="L40" s="730"/>
      <c r="M40" s="613"/>
    </row>
    <row r="41" spans="1:14" x14ac:dyDescent="0.2">
      <c r="A41" s="155"/>
    </row>
    <row r="42" spans="1:14" ht="15.75" x14ac:dyDescent="0.25">
      <c r="A42" s="147" t="s">
        <v>276</v>
      </c>
      <c r="B42" s="726"/>
      <c r="C42" s="726"/>
      <c r="D42" s="726"/>
      <c r="E42" s="612"/>
      <c r="F42" s="731"/>
      <c r="G42" s="731"/>
      <c r="H42" s="731"/>
      <c r="I42" s="613"/>
      <c r="J42" s="731"/>
      <c r="K42" s="731"/>
      <c r="L42" s="731"/>
      <c r="M42" s="613"/>
    </row>
    <row r="43" spans="1:14" ht="15.75" x14ac:dyDescent="0.25">
      <c r="A43" s="163"/>
      <c r="B43" s="611"/>
      <c r="C43" s="611"/>
      <c r="D43" s="611"/>
      <c r="E43" s="611"/>
      <c r="F43" s="613"/>
      <c r="G43" s="613"/>
      <c r="H43" s="613"/>
      <c r="I43" s="613"/>
      <c r="J43" s="613"/>
      <c r="K43" s="613"/>
      <c r="L43" s="613"/>
      <c r="M43" s="613"/>
    </row>
    <row r="44" spans="1:14" ht="15.75" x14ac:dyDescent="0.25">
      <c r="A44" s="247"/>
      <c r="B44" s="727" t="s">
        <v>0</v>
      </c>
      <c r="C44" s="728"/>
      <c r="D44" s="728"/>
      <c r="E44" s="243"/>
      <c r="F44" s="613"/>
      <c r="G44" s="613"/>
      <c r="H44" s="613"/>
      <c r="I44" s="613"/>
      <c r="J44" s="613"/>
      <c r="K44" s="613"/>
      <c r="L44" s="613"/>
      <c r="M44" s="613"/>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c r="C47" s="311">
        <v>715</v>
      </c>
      <c r="D47" s="427" t="str">
        <f t="shared" ref="D47:D48" si="2">IF(B47=0, "    ---- ", IF(ABS(ROUND(100/B47*C47-100,1))&lt;999,ROUND(100/B47*C47-100,1),IF(ROUND(100/B47*C47-100,1)&gt;999,999,-999)))</f>
        <v xml:space="preserve">    ---- </v>
      </c>
      <c r="E47" s="11">
        <f>IFERROR(100/'Skjema total MA'!C47*C47,0)</f>
        <v>2.4778153877161389E-2</v>
      </c>
      <c r="F47" s="145"/>
      <c r="G47" s="33"/>
      <c r="H47" s="159"/>
      <c r="I47" s="159"/>
      <c r="J47" s="37"/>
      <c r="K47" s="37"/>
      <c r="L47" s="159"/>
      <c r="M47" s="159"/>
      <c r="N47" s="148"/>
    </row>
    <row r="48" spans="1:14" s="3" customFormat="1" ht="15.75" x14ac:dyDescent="0.2">
      <c r="A48" s="38" t="s">
        <v>379</v>
      </c>
      <c r="B48" s="281"/>
      <c r="C48" s="282">
        <v>715</v>
      </c>
      <c r="D48" s="254" t="str">
        <f t="shared" si="2"/>
        <v xml:space="preserve">    ---- </v>
      </c>
      <c r="E48" s="27">
        <f>IFERROR(100/'Skjema total MA'!C48*C48,0)</f>
        <v>4.5594779080968366E-2</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612"/>
      <c r="F62" s="729"/>
      <c r="G62" s="729"/>
      <c r="H62" s="729"/>
      <c r="I62" s="612"/>
      <c r="J62" s="729"/>
      <c r="K62" s="729"/>
      <c r="L62" s="729"/>
      <c r="M62" s="612"/>
    </row>
    <row r="63" spans="1:14" x14ac:dyDescent="0.2">
      <c r="A63" s="144"/>
      <c r="B63" s="727" t="s">
        <v>0</v>
      </c>
      <c r="C63" s="728"/>
      <c r="D63" s="732"/>
      <c r="E63" s="608"/>
      <c r="F63" s="728" t="s">
        <v>1</v>
      </c>
      <c r="G63" s="728"/>
      <c r="H63" s="728"/>
      <c r="I63" s="610"/>
      <c r="J63" s="727" t="s">
        <v>2</v>
      </c>
      <c r="K63" s="728"/>
      <c r="L63" s="728"/>
      <c r="M63" s="610"/>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c r="C66" s="353"/>
      <c r="D66" s="350"/>
      <c r="E66" s="11"/>
      <c r="F66" s="352"/>
      <c r="G66" s="352"/>
      <c r="H66" s="350"/>
      <c r="I66" s="11"/>
      <c r="J66" s="309"/>
      <c r="K66" s="316"/>
      <c r="L66" s="428"/>
      <c r="M66" s="11"/>
    </row>
    <row r="67" spans="1:14" x14ac:dyDescent="0.2">
      <c r="A67" s="419" t="s">
        <v>9</v>
      </c>
      <c r="B67" s="44"/>
      <c r="C67" s="145"/>
      <c r="D67" s="166"/>
      <c r="E67" s="27"/>
      <c r="F67" s="234"/>
      <c r="G67" s="145"/>
      <c r="H67" s="166"/>
      <c r="I67" s="27"/>
      <c r="J67" s="287"/>
      <c r="K67" s="44"/>
      <c r="L67" s="254"/>
      <c r="M67" s="27"/>
    </row>
    <row r="68" spans="1:14" x14ac:dyDescent="0.2">
      <c r="A68" s="21" t="s">
        <v>10</v>
      </c>
      <c r="B68" s="292"/>
      <c r="C68" s="293"/>
      <c r="D68" s="166"/>
      <c r="E68" s="27"/>
      <c r="F68" s="292"/>
      <c r="G68" s="293"/>
      <c r="H68" s="166"/>
      <c r="I68" s="27"/>
      <c r="J68" s="287"/>
      <c r="K68" s="44"/>
      <c r="L68" s="254"/>
      <c r="M68" s="27"/>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c r="C77" s="234"/>
      <c r="D77" s="166"/>
      <c r="E77" s="27"/>
      <c r="F77" s="234"/>
      <c r="G77" s="145"/>
      <c r="H77" s="166"/>
      <c r="I77" s="27"/>
      <c r="J77" s="287"/>
      <c r="K77" s="44"/>
      <c r="L77" s="254"/>
      <c r="M77" s="27"/>
    </row>
    <row r="78" spans="1:14" x14ac:dyDescent="0.2">
      <c r="A78" s="21" t="s">
        <v>9</v>
      </c>
      <c r="B78" s="234"/>
      <c r="C78" s="145"/>
      <c r="D78" s="166"/>
      <c r="E78" s="27"/>
      <c r="F78" s="234"/>
      <c r="G78" s="145"/>
      <c r="H78" s="166"/>
      <c r="I78" s="27"/>
      <c r="J78" s="287"/>
      <c r="K78" s="44"/>
      <c r="L78" s="254"/>
      <c r="M78" s="27"/>
    </row>
    <row r="79" spans="1:14" x14ac:dyDescent="0.2">
      <c r="A79" s="21" t="s">
        <v>10</v>
      </c>
      <c r="B79" s="292"/>
      <c r="C79" s="293"/>
      <c r="D79" s="166"/>
      <c r="E79" s="27"/>
      <c r="F79" s="292"/>
      <c r="G79" s="293"/>
      <c r="H79" s="166"/>
      <c r="I79" s="27"/>
      <c r="J79" s="287"/>
      <c r="K79" s="44"/>
      <c r="L79" s="254"/>
      <c r="M79" s="27"/>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c r="C87" s="353"/>
      <c r="D87" s="171"/>
      <c r="E87" s="11"/>
      <c r="F87" s="352"/>
      <c r="G87" s="352"/>
      <c r="H87" s="171"/>
      <c r="I87" s="11"/>
      <c r="J87" s="309"/>
      <c r="K87" s="236"/>
      <c r="L87" s="428"/>
      <c r="M87" s="11"/>
    </row>
    <row r="88" spans="1:13" x14ac:dyDescent="0.2">
      <c r="A88" s="21" t="s">
        <v>9</v>
      </c>
      <c r="B88" s="234"/>
      <c r="C88" s="145"/>
      <c r="D88" s="166"/>
      <c r="E88" s="27"/>
      <c r="F88" s="234"/>
      <c r="G88" s="145"/>
      <c r="H88" s="166"/>
      <c r="I88" s="27"/>
      <c r="J88" s="287"/>
      <c r="K88" s="44"/>
      <c r="L88" s="254"/>
      <c r="M88" s="27"/>
    </row>
    <row r="89" spans="1:13" x14ac:dyDescent="0.2">
      <c r="A89" s="21" t="s">
        <v>10</v>
      </c>
      <c r="B89" s="234"/>
      <c r="C89" s="145"/>
      <c r="D89" s="166"/>
      <c r="E89" s="27"/>
      <c r="F89" s="234"/>
      <c r="G89" s="145"/>
      <c r="H89" s="166"/>
      <c r="I89" s="27"/>
      <c r="J89" s="287"/>
      <c r="K89" s="44"/>
      <c r="L89" s="254"/>
      <c r="M89" s="27"/>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c r="C98" s="234"/>
      <c r="D98" s="166"/>
      <c r="E98" s="27"/>
      <c r="F98" s="292"/>
      <c r="G98" s="292"/>
      <c r="H98" s="166"/>
      <c r="I98" s="27"/>
      <c r="J98" s="287"/>
      <c r="K98" s="44"/>
      <c r="L98" s="254"/>
      <c r="M98" s="27"/>
    </row>
    <row r="99" spans="1:13" x14ac:dyDescent="0.2">
      <c r="A99" s="21" t="s">
        <v>9</v>
      </c>
      <c r="B99" s="292"/>
      <c r="C99" s="293"/>
      <c r="D99" s="166"/>
      <c r="E99" s="27"/>
      <c r="F99" s="234"/>
      <c r="G99" s="145"/>
      <c r="H99" s="166"/>
      <c r="I99" s="27"/>
      <c r="J99" s="287"/>
      <c r="K99" s="44"/>
      <c r="L99" s="254"/>
      <c r="M99" s="27"/>
    </row>
    <row r="100" spans="1:13" x14ac:dyDescent="0.2">
      <c r="A100" s="21" t="s">
        <v>10</v>
      </c>
      <c r="B100" s="292"/>
      <c r="C100" s="293"/>
      <c r="D100" s="166"/>
      <c r="E100" s="27"/>
      <c r="F100" s="234"/>
      <c r="G100" s="234"/>
      <c r="H100" s="166"/>
      <c r="I100" s="27"/>
      <c r="J100" s="287"/>
      <c r="K100" s="44"/>
      <c r="L100" s="254"/>
      <c r="M100" s="27"/>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c r="C108" s="234"/>
      <c r="D108" s="166"/>
      <c r="E108" s="27"/>
      <c r="F108" s="234"/>
      <c r="G108" s="234"/>
      <c r="H108" s="166"/>
      <c r="I108" s="27"/>
      <c r="J108" s="287"/>
      <c r="K108" s="44"/>
      <c r="L108" s="254"/>
      <c r="M108" s="27"/>
    </row>
    <row r="109" spans="1:13" ht="15.75" x14ac:dyDescent="0.2">
      <c r="A109" s="21" t="s">
        <v>388</v>
      </c>
      <c r="B109" s="234"/>
      <c r="C109" s="234"/>
      <c r="D109" s="166"/>
      <c r="E109" s="27"/>
      <c r="F109" s="234"/>
      <c r="G109" s="234"/>
      <c r="H109" s="166"/>
      <c r="I109" s="27"/>
      <c r="J109" s="287"/>
      <c r="K109" s="44"/>
      <c r="L109" s="254"/>
      <c r="M109" s="27"/>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c r="C111" s="159"/>
      <c r="D111" s="171"/>
      <c r="E111" s="11"/>
      <c r="F111" s="308"/>
      <c r="G111" s="159"/>
      <c r="H111" s="171"/>
      <c r="I111" s="11"/>
      <c r="J111" s="309"/>
      <c r="K111" s="236"/>
      <c r="L111" s="428"/>
      <c r="M111" s="11"/>
    </row>
    <row r="112" spans="1:13" x14ac:dyDescent="0.2">
      <c r="A112" s="21" t="s">
        <v>9</v>
      </c>
      <c r="B112" s="234"/>
      <c r="C112" s="145"/>
      <c r="D112" s="166"/>
      <c r="E112" s="27"/>
      <c r="F112" s="234"/>
      <c r="G112" s="145"/>
      <c r="H112" s="166"/>
      <c r="I112" s="27"/>
      <c r="J112" s="287"/>
      <c r="K112" s="44"/>
      <c r="L112" s="254"/>
      <c r="M112" s="27"/>
    </row>
    <row r="113" spans="1:14" x14ac:dyDescent="0.2">
      <c r="A113" s="21" t="s">
        <v>10</v>
      </c>
      <c r="B113" s="234"/>
      <c r="C113" s="145"/>
      <c r="D113" s="166"/>
      <c r="E113" s="27"/>
      <c r="F113" s="234"/>
      <c r="G113" s="145"/>
      <c r="H113" s="166"/>
      <c r="I113" s="27"/>
      <c r="J113" s="287"/>
      <c r="K113" s="44"/>
      <c r="L113" s="254"/>
      <c r="M113" s="27"/>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c r="C119" s="159"/>
      <c r="D119" s="171"/>
      <c r="E119" s="11"/>
      <c r="F119" s="308"/>
      <c r="G119" s="159"/>
      <c r="H119" s="171"/>
      <c r="I119" s="11"/>
      <c r="J119" s="309"/>
      <c r="K119" s="236"/>
      <c r="L119" s="428"/>
      <c r="M119" s="11"/>
    </row>
    <row r="120" spans="1:14" x14ac:dyDescent="0.2">
      <c r="A120" s="21" t="s">
        <v>9</v>
      </c>
      <c r="B120" s="234"/>
      <c r="C120" s="145"/>
      <c r="D120" s="166"/>
      <c r="E120" s="27"/>
      <c r="F120" s="234"/>
      <c r="G120" s="145"/>
      <c r="H120" s="166"/>
      <c r="I120" s="27"/>
      <c r="J120" s="287"/>
      <c r="K120" s="44"/>
      <c r="L120" s="254"/>
      <c r="M120" s="27"/>
    </row>
    <row r="121" spans="1:14" x14ac:dyDescent="0.2">
      <c r="A121" s="21" t="s">
        <v>10</v>
      </c>
      <c r="B121" s="234"/>
      <c r="C121" s="145"/>
      <c r="D121" s="166"/>
      <c r="E121" s="27"/>
      <c r="F121" s="234"/>
      <c r="G121" s="145"/>
      <c r="H121" s="166"/>
      <c r="I121" s="27"/>
      <c r="J121" s="287"/>
      <c r="K121" s="44"/>
      <c r="L121" s="254"/>
      <c r="M121" s="27"/>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c r="G124" s="234"/>
      <c r="H124" s="166"/>
      <c r="I124" s="27"/>
      <c r="J124" s="287"/>
      <c r="K124" s="44"/>
      <c r="L124" s="254"/>
      <c r="M124" s="27"/>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612"/>
      <c r="F130" s="729"/>
      <c r="G130" s="729"/>
      <c r="H130" s="729"/>
      <c r="I130" s="612"/>
      <c r="J130" s="729"/>
      <c r="K130" s="729"/>
      <c r="L130" s="729"/>
      <c r="M130" s="612"/>
    </row>
    <row r="131" spans="1:14" s="3" customFormat="1" x14ac:dyDescent="0.2">
      <c r="A131" s="144"/>
      <c r="B131" s="727" t="s">
        <v>0</v>
      </c>
      <c r="C131" s="728"/>
      <c r="D131" s="728"/>
      <c r="E131" s="609"/>
      <c r="F131" s="727" t="s">
        <v>1</v>
      </c>
      <c r="G131" s="728"/>
      <c r="H131" s="728"/>
      <c r="I131" s="610"/>
      <c r="J131" s="727" t="s">
        <v>2</v>
      </c>
      <c r="K131" s="728"/>
      <c r="L131" s="728"/>
      <c r="M131" s="610"/>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B50:C52">
    <cfRule type="expression" dxfId="234" priority="59">
      <formula>kvartal &lt; 4</formula>
    </cfRule>
  </conditionalFormatting>
  <conditionalFormatting sqref="B115">
    <cfRule type="expression" dxfId="233" priority="42">
      <formula>kvartal &lt; 4</formula>
    </cfRule>
  </conditionalFormatting>
  <conditionalFormatting sqref="C115">
    <cfRule type="expression" dxfId="232" priority="41">
      <formula>kvartal &lt; 4</formula>
    </cfRule>
  </conditionalFormatting>
  <conditionalFormatting sqref="B123">
    <cfRule type="expression" dxfId="231" priority="40">
      <formula>kvartal &lt; 4</formula>
    </cfRule>
  </conditionalFormatting>
  <conditionalFormatting sqref="C123">
    <cfRule type="expression" dxfId="230" priority="39">
      <formula>kvartal &lt; 4</formula>
    </cfRule>
  </conditionalFormatting>
  <conditionalFormatting sqref="F115">
    <cfRule type="expression" dxfId="229" priority="28">
      <formula>kvartal &lt; 4</formula>
    </cfRule>
  </conditionalFormatting>
  <conditionalFormatting sqref="G115">
    <cfRule type="expression" dxfId="228" priority="27">
      <formula>kvartal &lt; 4</formula>
    </cfRule>
  </conditionalFormatting>
  <conditionalFormatting sqref="F123:G123">
    <cfRule type="expression" dxfId="227" priority="26">
      <formula>kvartal &lt; 4</formula>
    </cfRule>
  </conditionalFormatting>
  <conditionalFormatting sqref="J115:K115">
    <cfRule type="expression" dxfId="226" priority="9">
      <formula>kvartal &lt; 4</formula>
    </cfRule>
  </conditionalFormatting>
  <conditionalFormatting sqref="J123:K123">
    <cfRule type="expression" dxfId="225" priority="8">
      <formula>kvartal &lt; 4</formula>
    </cfRule>
  </conditionalFormatting>
  <conditionalFormatting sqref="A50:A52">
    <cfRule type="expression" dxfId="224" priority="7">
      <formula>kvartal &lt; 4</formula>
    </cfRule>
  </conditionalFormatting>
  <conditionalFormatting sqref="A69:A74">
    <cfRule type="expression" dxfId="223" priority="6">
      <formula>kvartal &lt; 4</formula>
    </cfRule>
  </conditionalFormatting>
  <conditionalFormatting sqref="A80:A85">
    <cfRule type="expression" dxfId="222" priority="5">
      <formula>kvartal &lt; 4</formula>
    </cfRule>
  </conditionalFormatting>
  <conditionalFormatting sqref="A90:A95">
    <cfRule type="expression" dxfId="221" priority="4">
      <formula>kvartal &lt; 4</formula>
    </cfRule>
  </conditionalFormatting>
  <conditionalFormatting sqref="A101:A106">
    <cfRule type="expression" dxfId="220" priority="3">
      <formula>kvartal &lt; 4</formula>
    </cfRule>
  </conditionalFormatting>
  <conditionalFormatting sqref="A115">
    <cfRule type="expression" dxfId="219" priority="2">
      <formula>kvartal &lt; 4</formula>
    </cfRule>
  </conditionalFormatting>
  <conditionalFormatting sqref="A123">
    <cfRule type="expression" dxfId="218" priority="1">
      <formula>kvartal &lt; 4</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T61"/>
  <sheetViews>
    <sheetView showGridLines="0" zoomScale="60" zoomScaleNormal="60" workbookViewId="0">
      <pane xSplit="1" ySplit="8" topLeftCell="B9" activePane="bottomRight" state="frozen"/>
      <selection activeCell="AU39" sqref="AU39"/>
      <selection pane="topRight" activeCell="AU39" sqref="AU39"/>
      <selection pane="bottomLeft" activeCell="AU39" sqref="AU39"/>
      <selection pane="bottomRight" activeCell="A4" sqref="A4"/>
    </sheetView>
  </sheetViews>
  <sheetFormatPr baseColWidth="10" defaultColWidth="11.42578125" defaultRowHeight="12.75" x14ac:dyDescent="0.2"/>
  <cols>
    <col min="1" max="1" width="90" style="508" customWidth="1"/>
    <col min="2" max="46" width="11.7109375" style="508" customWidth="1"/>
    <col min="47" max="16384" width="11.42578125" style="508"/>
  </cols>
  <sheetData>
    <row r="1" spans="1:46" ht="20.25" x14ac:dyDescent="0.3">
      <c r="A1" s="506" t="s">
        <v>288</v>
      </c>
      <c r="B1" s="472" t="s">
        <v>52</v>
      </c>
      <c r="C1" s="507"/>
      <c r="D1" s="507"/>
      <c r="E1" s="507"/>
      <c r="F1" s="507"/>
      <c r="G1" s="507"/>
      <c r="H1" s="507"/>
      <c r="I1" s="507"/>
      <c r="J1" s="507"/>
      <c r="K1" s="507"/>
      <c r="L1" s="507"/>
      <c r="M1" s="507"/>
    </row>
    <row r="2" spans="1:46" ht="20.25" x14ac:dyDescent="0.3">
      <c r="A2" s="506" t="s">
        <v>259</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row>
    <row r="3" spans="1:46" ht="18.75" x14ac:dyDescent="0.3">
      <c r="A3" s="510" t="s">
        <v>289</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c r="AS3" s="511"/>
      <c r="AT3" s="511"/>
    </row>
    <row r="4" spans="1:46" ht="18.75" customHeight="1" x14ac:dyDescent="0.25">
      <c r="A4" s="478" t="s">
        <v>425</v>
      </c>
      <c r="B4" s="512"/>
      <c r="C4" s="512"/>
      <c r="D4" s="513"/>
      <c r="E4" s="514"/>
      <c r="F4" s="512"/>
      <c r="G4" s="513"/>
      <c r="H4" s="514"/>
      <c r="I4" s="512"/>
      <c r="J4" s="513"/>
      <c r="K4" s="514"/>
      <c r="L4" s="512"/>
      <c r="M4" s="513"/>
      <c r="N4" s="515"/>
      <c r="O4" s="515"/>
      <c r="P4" s="515"/>
      <c r="Q4" s="516"/>
      <c r="R4" s="515"/>
      <c r="S4" s="517"/>
      <c r="T4" s="516"/>
      <c r="U4" s="515"/>
      <c r="V4" s="517"/>
      <c r="W4" s="516"/>
      <c r="X4" s="515"/>
      <c r="Y4" s="517"/>
      <c r="Z4" s="516"/>
      <c r="AA4" s="515"/>
      <c r="AB4" s="517"/>
      <c r="AC4" s="516"/>
      <c r="AD4" s="515"/>
      <c r="AE4" s="517"/>
      <c r="AF4" s="516"/>
      <c r="AG4" s="515"/>
      <c r="AH4" s="517"/>
      <c r="AI4" s="516"/>
      <c r="AJ4" s="515"/>
      <c r="AK4" s="517"/>
      <c r="AL4" s="516"/>
      <c r="AM4" s="515"/>
      <c r="AN4" s="517"/>
      <c r="AO4" s="518"/>
      <c r="AP4" s="519"/>
      <c r="AQ4" s="520"/>
      <c r="AR4" s="516"/>
      <c r="AS4" s="515"/>
      <c r="AT4" s="521"/>
    </row>
    <row r="5" spans="1:46" ht="18.75" customHeight="1" x14ac:dyDescent="0.3">
      <c r="A5" s="522" t="s">
        <v>102</v>
      </c>
      <c r="B5" s="733" t="s">
        <v>177</v>
      </c>
      <c r="C5" s="734"/>
      <c r="D5" s="735"/>
      <c r="E5" s="733" t="s">
        <v>178</v>
      </c>
      <c r="F5" s="734"/>
      <c r="G5" s="735"/>
      <c r="H5" s="733" t="s">
        <v>406</v>
      </c>
      <c r="I5" s="734"/>
      <c r="J5" s="735"/>
      <c r="K5" s="733" t="s">
        <v>179</v>
      </c>
      <c r="L5" s="734"/>
      <c r="M5" s="735"/>
      <c r="N5" s="733" t="s">
        <v>180</v>
      </c>
      <c r="O5" s="734"/>
      <c r="P5" s="735"/>
      <c r="Q5" s="733" t="s">
        <v>181</v>
      </c>
      <c r="R5" s="734"/>
      <c r="S5" s="735"/>
      <c r="T5" s="733"/>
      <c r="U5" s="734"/>
      <c r="V5" s="735"/>
      <c r="W5" s="733" t="s">
        <v>63</v>
      </c>
      <c r="X5" s="734"/>
      <c r="Y5" s="735"/>
      <c r="Z5" s="662"/>
      <c r="AA5" s="663"/>
      <c r="AB5" s="664"/>
      <c r="AC5" s="733" t="s">
        <v>182</v>
      </c>
      <c r="AD5" s="734"/>
      <c r="AE5" s="735"/>
      <c r="AF5" s="690"/>
      <c r="AG5" s="691"/>
      <c r="AH5" s="692"/>
      <c r="AI5" s="733"/>
      <c r="AJ5" s="734"/>
      <c r="AK5" s="735"/>
      <c r="AL5" s="733" t="s">
        <v>73</v>
      </c>
      <c r="AM5" s="734"/>
      <c r="AN5" s="735"/>
      <c r="AO5" s="739" t="s">
        <v>2</v>
      </c>
      <c r="AP5" s="740"/>
      <c r="AQ5" s="741"/>
      <c r="AR5" s="733" t="s">
        <v>290</v>
      </c>
      <c r="AS5" s="734"/>
      <c r="AT5" s="735"/>
    </row>
    <row r="6" spans="1:46" ht="21" customHeight="1" x14ac:dyDescent="0.3">
      <c r="A6" s="523"/>
      <c r="B6" s="736" t="s">
        <v>183</v>
      </c>
      <c r="C6" s="737"/>
      <c r="D6" s="738"/>
      <c r="E6" s="736" t="s">
        <v>184</v>
      </c>
      <c r="F6" s="737"/>
      <c r="G6" s="738"/>
      <c r="H6" s="736" t="s">
        <v>184</v>
      </c>
      <c r="I6" s="737"/>
      <c r="J6" s="738"/>
      <c r="K6" s="736" t="s">
        <v>184</v>
      </c>
      <c r="L6" s="737"/>
      <c r="M6" s="738"/>
      <c r="N6" s="736" t="s">
        <v>185</v>
      </c>
      <c r="O6" s="737"/>
      <c r="P6" s="738"/>
      <c r="Q6" s="736" t="s">
        <v>91</v>
      </c>
      <c r="R6" s="737"/>
      <c r="S6" s="738"/>
      <c r="T6" s="736" t="s">
        <v>63</v>
      </c>
      <c r="U6" s="737"/>
      <c r="V6" s="738"/>
      <c r="W6" s="736" t="s">
        <v>186</v>
      </c>
      <c r="X6" s="737"/>
      <c r="Y6" s="738"/>
      <c r="Z6" s="736" t="s">
        <v>66</v>
      </c>
      <c r="AA6" s="737"/>
      <c r="AB6" s="738"/>
      <c r="AC6" s="736" t="s">
        <v>183</v>
      </c>
      <c r="AD6" s="737"/>
      <c r="AE6" s="738"/>
      <c r="AF6" s="736" t="s">
        <v>72</v>
      </c>
      <c r="AG6" s="737"/>
      <c r="AH6" s="738"/>
      <c r="AI6" s="736" t="s">
        <v>68</v>
      </c>
      <c r="AJ6" s="737"/>
      <c r="AK6" s="738"/>
      <c r="AL6" s="736" t="s">
        <v>184</v>
      </c>
      <c r="AM6" s="737"/>
      <c r="AN6" s="738"/>
      <c r="AO6" s="742" t="s">
        <v>291</v>
      </c>
      <c r="AP6" s="743"/>
      <c r="AQ6" s="744"/>
      <c r="AR6" s="736" t="s">
        <v>292</v>
      </c>
      <c r="AS6" s="737"/>
      <c r="AT6" s="738"/>
    </row>
    <row r="7" spans="1:46" ht="18.75" customHeight="1" x14ac:dyDescent="0.3">
      <c r="A7" s="523"/>
      <c r="B7" s="522"/>
      <c r="C7" s="522"/>
      <c r="D7" s="524" t="s">
        <v>81</v>
      </c>
      <c r="E7" s="522"/>
      <c r="F7" s="522"/>
      <c r="G7" s="524" t="s">
        <v>81</v>
      </c>
      <c r="H7" s="522"/>
      <c r="I7" s="522"/>
      <c r="J7" s="524" t="s">
        <v>81</v>
      </c>
      <c r="K7" s="522"/>
      <c r="L7" s="522"/>
      <c r="M7" s="524" t="s">
        <v>81</v>
      </c>
      <c r="N7" s="522"/>
      <c r="O7" s="522"/>
      <c r="P7" s="524" t="s">
        <v>81</v>
      </c>
      <c r="Q7" s="522"/>
      <c r="R7" s="522"/>
      <c r="S7" s="524" t="s">
        <v>81</v>
      </c>
      <c r="T7" s="522"/>
      <c r="U7" s="522"/>
      <c r="V7" s="524" t="s">
        <v>81</v>
      </c>
      <c r="W7" s="522"/>
      <c r="X7" s="522"/>
      <c r="Y7" s="524" t="s">
        <v>81</v>
      </c>
      <c r="Z7" s="522"/>
      <c r="AA7" s="522"/>
      <c r="AB7" s="524" t="s">
        <v>81</v>
      </c>
      <c r="AC7" s="522"/>
      <c r="AD7" s="522"/>
      <c r="AE7" s="524" t="s">
        <v>81</v>
      </c>
      <c r="AF7" s="522"/>
      <c r="AG7" s="522"/>
      <c r="AH7" s="524" t="s">
        <v>81</v>
      </c>
      <c r="AI7" s="522"/>
      <c r="AJ7" s="522"/>
      <c r="AK7" s="524" t="s">
        <v>81</v>
      </c>
      <c r="AL7" s="522"/>
      <c r="AM7" s="522"/>
      <c r="AN7" s="524" t="s">
        <v>81</v>
      </c>
      <c r="AO7" s="522"/>
      <c r="AP7" s="522"/>
      <c r="AQ7" s="524" t="s">
        <v>81</v>
      </c>
      <c r="AR7" s="522"/>
      <c r="AS7" s="522"/>
      <c r="AT7" s="524" t="s">
        <v>81</v>
      </c>
    </row>
    <row r="8" spans="1:46" ht="18.75" customHeight="1" x14ac:dyDescent="0.25">
      <c r="A8" s="525" t="s">
        <v>293</v>
      </c>
      <c r="B8" s="679">
        <v>2019</v>
      </c>
      <c r="C8" s="679">
        <v>2020</v>
      </c>
      <c r="D8" s="526" t="s">
        <v>83</v>
      </c>
      <c r="E8" s="679">
        <v>2019</v>
      </c>
      <c r="F8" s="679">
        <v>2020</v>
      </c>
      <c r="G8" s="526" t="s">
        <v>83</v>
      </c>
      <c r="H8" s="679">
        <v>2019</v>
      </c>
      <c r="I8" s="679">
        <v>2020</v>
      </c>
      <c r="J8" s="526" t="s">
        <v>83</v>
      </c>
      <c r="K8" s="679">
        <v>2019</v>
      </c>
      <c r="L8" s="679">
        <v>2020</v>
      </c>
      <c r="M8" s="526" t="s">
        <v>83</v>
      </c>
      <c r="N8" s="606">
        <v>2019</v>
      </c>
      <c r="O8" s="606">
        <v>2020</v>
      </c>
      <c r="P8" s="526" t="s">
        <v>83</v>
      </c>
      <c r="Q8" s="679">
        <v>2019</v>
      </c>
      <c r="R8" s="679">
        <v>2020</v>
      </c>
      <c r="S8" s="526" t="s">
        <v>83</v>
      </c>
      <c r="T8" s="679">
        <v>2019</v>
      </c>
      <c r="U8" s="679">
        <v>2020</v>
      </c>
      <c r="V8" s="526" t="s">
        <v>83</v>
      </c>
      <c r="W8" s="679">
        <v>2019</v>
      </c>
      <c r="X8" s="679">
        <v>2020</v>
      </c>
      <c r="Y8" s="526" t="s">
        <v>83</v>
      </c>
      <c r="Z8" s="679">
        <v>2019</v>
      </c>
      <c r="AA8" s="679">
        <v>2020</v>
      </c>
      <c r="AB8" s="526" t="s">
        <v>83</v>
      </c>
      <c r="AC8" s="679">
        <v>2019</v>
      </c>
      <c r="AD8" s="679">
        <v>2020</v>
      </c>
      <c r="AE8" s="526" t="s">
        <v>83</v>
      </c>
      <c r="AF8" s="679">
        <v>2019</v>
      </c>
      <c r="AG8" s="679">
        <v>2020</v>
      </c>
      <c r="AH8" s="526" t="s">
        <v>83</v>
      </c>
      <c r="AI8" s="606">
        <v>2019</v>
      </c>
      <c r="AJ8" s="606">
        <v>2020</v>
      </c>
      <c r="AK8" s="526" t="s">
        <v>83</v>
      </c>
      <c r="AL8" s="606">
        <v>2019</v>
      </c>
      <c r="AM8" s="606">
        <v>2020</v>
      </c>
      <c r="AN8" s="526" t="s">
        <v>83</v>
      </c>
      <c r="AO8" s="606">
        <v>2019</v>
      </c>
      <c r="AP8" s="606">
        <v>2020</v>
      </c>
      <c r="AQ8" s="526" t="s">
        <v>83</v>
      </c>
      <c r="AR8" s="606">
        <v>2019</v>
      </c>
      <c r="AS8" s="606">
        <v>2020</v>
      </c>
      <c r="AT8" s="526" t="s">
        <v>83</v>
      </c>
    </row>
    <row r="9" spans="1:46" ht="18.75" customHeight="1" x14ac:dyDescent="0.3">
      <c r="A9" s="523" t="s">
        <v>294</v>
      </c>
      <c r="B9" s="616"/>
      <c r="C9" s="590"/>
      <c r="D9" s="528"/>
      <c r="E9" s="616"/>
      <c r="F9" s="590"/>
      <c r="G9" s="528"/>
      <c r="H9" s="616"/>
      <c r="I9" s="590"/>
      <c r="J9" s="528"/>
      <c r="K9" s="616"/>
      <c r="L9" s="590"/>
      <c r="M9" s="528"/>
      <c r="N9" s="616"/>
      <c r="O9" s="590"/>
      <c r="P9" s="527"/>
      <c r="Q9" s="696"/>
      <c r="R9" s="529"/>
      <c r="S9" s="528"/>
      <c r="T9" s="686"/>
      <c r="U9" s="593"/>
      <c r="V9" s="528"/>
      <c r="W9" s="616"/>
      <c r="X9" s="590"/>
      <c r="Y9" s="528"/>
      <c r="Z9" s="616"/>
      <c r="AA9" s="590"/>
      <c r="AB9" s="528"/>
      <c r="AC9" s="686"/>
      <c r="AD9" s="593"/>
      <c r="AE9" s="528"/>
      <c r="AF9" s="616"/>
      <c r="AG9" s="590"/>
      <c r="AH9" s="528"/>
      <c r="AI9" s="616"/>
      <c r="AJ9" s="590"/>
      <c r="AK9" s="528"/>
      <c r="AL9" s="616"/>
      <c r="AM9" s="590"/>
      <c r="AN9" s="528"/>
      <c r="AO9" s="528"/>
      <c r="AP9" s="528"/>
      <c r="AQ9" s="528"/>
      <c r="AR9" s="530"/>
      <c r="AS9" s="530"/>
      <c r="AT9" s="530"/>
    </row>
    <row r="10" spans="1:46" s="509" customFormat="1" ht="18.75" customHeight="1" x14ac:dyDescent="0.3">
      <c r="A10" s="531" t="s">
        <v>295</v>
      </c>
      <c r="B10" s="617"/>
      <c r="C10" s="437"/>
      <c r="D10" s="533"/>
      <c r="E10" s="617"/>
      <c r="F10" s="437"/>
      <c r="G10" s="533"/>
      <c r="H10" s="437"/>
      <c r="I10" s="437"/>
      <c r="J10" s="533"/>
      <c r="K10" s="617"/>
      <c r="L10" s="437"/>
      <c r="M10" s="533"/>
      <c r="N10" s="617"/>
      <c r="O10" s="437"/>
      <c r="P10" s="532"/>
      <c r="Q10" s="620"/>
      <c r="R10" s="534"/>
      <c r="S10" s="533"/>
      <c r="T10" s="618"/>
      <c r="U10" s="338"/>
      <c r="V10" s="533"/>
      <c r="W10" s="617"/>
      <c r="X10" s="437"/>
      <c r="Y10" s="533"/>
      <c r="Z10" s="617"/>
      <c r="AA10" s="437"/>
      <c r="AB10" s="533"/>
      <c r="AC10" s="618"/>
      <c r="AD10" s="338"/>
      <c r="AE10" s="533"/>
      <c r="AF10" s="617"/>
      <c r="AG10" s="437"/>
      <c r="AH10" s="533"/>
      <c r="AI10" s="617"/>
      <c r="AJ10" s="437"/>
      <c r="AK10" s="533"/>
      <c r="AL10" s="617"/>
      <c r="AM10" s="437"/>
      <c r="AN10" s="533"/>
      <c r="AO10" s="533"/>
      <c r="AP10" s="533"/>
      <c r="AQ10" s="533"/>
      <c r="AR10" s="535"/>
      <c r="AS10" s="535"/>
      <c r="AT10" s="535"/>
    </row>
    <row r="11" spans="1:46" s="509" customFormat="1" ht="18.75" customHeight="1" x14ac:dyDescent="0.3">
      <c r="A11" s="531" t="s">
        <v>296</v>
      </c>
      <c r="B11" s="618">
        <v>612.87300000000005</v>
      </c>
      <c r="C11" s="338">
        <f>665.41+0.27</f>
        <v>665.68</v>
      </c>
      <c r="D11" s="533">
        <f t="shared" ref="D11:D16" si="0">IF(B11=0, "    ---- ", IF(ABS(ROUND(100/B11*C11-100,1))&lt;999,ROUND(100/B11*C11-100,1),IF(ROUND(100/B11*C11-100,1)&gt;999,999,-999)))</f>
        <v>8.6</v>
      </c>
      <c r="E11" s="618">
        <v>4444.2820000000002</v>
      </c>
      <c r="F11" s="338">
        <v>4282.2</v>
      </c>
      <c r="G11" s="533">
        <f t="shared" ref="G11:G17" si="1">IF(E11=0, "    ---- ", IF(ABS(ROUND(100/E11*F11-100,1))&lt;999,ROUND(100/E11*F11-100,1),IF(ROUND(100/E11*F11-100,1)&gt;999,999,-999)))</f>
        <v>-3.6</v>
      </c>
      <c r="H11" s="338"/>
      <c r="I11" s="338">
        <v>919.3587940299999</v>
      </c>
      <c r="J11" s="533" t="str">
        <f t="shared" ref="J11:J17" si="2">IF(H11=0, "    ---- ", IF(ABS(ROUND(100/H11*I11-100,1))&lt;999,ROUND(100/H11*I11-100,1),IF(ROUND(100/H11*I11-100,1)&gt;999,999,-999)))</f>
        <v xml:space="preserve">    ---- </v>
      </c>
      <c r="K11" s="618">
        <v>681.75199999999995</v>
      </c>
      <c r="L11" s="338">
        <v>711.65700000000004</v>
      </c>
      <c r="M11" s="533">
        <f t="shared" ref="M11:M17" si="3">IF(K11=0, "    ---- ", IF(ABS(ROUND(100/K11*L11-100,1))&lt;999,ROUND(100/K11*L11-100,1),IF(ROUND(100/K11*L11-100,1)&gt;999,999,-999)))</f>
        <v>4.4000000000000004</v>
      </c>
      <c r="N11" s="618">
        <v>983.1</v>
      </c>
      <c r="O11" s="338">
        <v>1036.3</v>
      </c>
      <c r="P11" s="533">
        <f t="shared" ref="P11:P16" si="4">IF(N11=0, "    ---- ", IF(ABS(ROUND(100/N11*O11-100,1))&lt;999,ROUND(100/N11*O11-100,1),IF(ROUND(100/N11*O11-100,1)&gt;999,999,-999)))</f>
        <v>5.4</v>
      </c>
      <c r="Q11" s="618">
        <v>9.1994593499999997</v>
      </c>
      <c r="R11" s="338">
        <v>8.9698688000000004</v>
      </c>
      <c r="S11" s="533">
        <f>IF(Q11=0, "    ---- ", IF(ABS(ROUND(100/Q11*R11-100,1))&lt;999,ROUND(100/Q11*R11-100,1),IF(ROUND(100/Q11*R11-100,1)&gt;999,999,-999)))</f>
        <v>-2.5</v>
      </c>
      <c r="T11" s="618">
        <v>6704.7773302200003</v>
      </c>
      <c r="U11" s="338">
        <v>7085.8173088100002</v>
      </c>
      <c r="V11" s="533">
        <f t="shared" ref="V11:V17" si="5">IF(T11=0, "    ---- ", IF(ABS(ROUND(100/T11*U11-100,1))&lt;999,ROUND(100/T11*U11-100,1),IF(ROUND(100/T11*U11-100,1)&gt;999,999,-999)))</f>
        <v>5.7</v>
      </c>
      <c r="W11" s="618">
        <v>159.30000000000001</v>
      </c>
      <c r="X11" s="338">
        <v>180.2</v>
      </c>
      <c r="Y11" s="533">
        <f t="shared" ref="Y11:Y31" si="6">IF(W11=0, "    ---- ", IF(ABS(ROUND(100/W11*X11-100,1))&lt;999,ROUND(100/W11*X11-100,1),IF(ROUND(100/W11*X11-100,1)&gt;999,999,-999)))</f>
        <v>13.1</v>
      </c>
      <c r="Z11" s="618">
        <v>3768</v>
      </c>
      <c r="AA11" s="338">
        <v>3734.64</v>
      </c>
      <c r="AB11" s="533">
        <f t="shared" ref="AB11:AB17" si="7">IF(Z11=0, "    ---- ", IF(ABS(ROUND(100/Z11*AA11-100,1))&lt;999,ROUND(100/Z11*AA11-100,1),IF(ROUND(100/Z11*AA11-100,1)&gt;999,999,-999)))</f>
        <v>-0.9</v>
      </c>
      <c r="AC11" s="618">
        <v>993</v>
      </c>
      <c r="AD11" s="338">
        <v>596</v>
      </c>
      <c r="AE11" s="533">
        <f t="shared" ref="AE11:AE17" si="8">IF(AC11=0, "    ---- ", IF(ABS(ROUND(100/AC11*AD11-100,1))&lt;999,ROUND(100/AC11*AD11-100,1),IF(ROUND(100/AC11*AD11-100,1)&gt;999,999,-999)))</f>
        <v>-40</v>
      </c>
      <c r="AF11" s="618">
        <v>38.700716100000001</v>
      </c>
      <c r="AG11" s="338">
        <v>40.693550899999998</v>
      </c>
      <c r="AH11" s="533">
        <f t="shared" ref="AH11:AH16" si="9">IF(AF11=0, "    ---- ", IF(ABS(ROUND(100/AF11*AG11-100,1))&lt;999,ROUND(100/AF11*AG11-100,1),IF(ROUND(100/AF11*AG11-100,1)&gt;999,999,-999)))</f>
        <v>5.0999999999999996</v>
      </c>
      <c r="AI11" s="618">
        <v>2055.4184447399998</v>
      </c>
      <c r="AJ11" s="338">
        <v>1435.1081610900003</v>
      </c>
      <c r="AK11" s="533">
        <f t="shared" ref="AK11:AK17" si="10">IF(AI11=0, "    ---- ", IF(ABS(ROUND(100/AI11*AJ11-100,1))&lt;999,ROUND(100/AI11*AJ11-100,1),IF(ROUND(100/AI11*AJ11-100,1)&gt;999,999,-999)))</f>
        <v>-30.2</v>
      </c>
      <c r="AL11" s="618">
        <v>5055</v>
      </c>
      <c r="AM11" s="338">
        <v>5966</v>
      </c>
      <c r="AN11" s="533">
        <f t="shared" ref="AN11:AN17" si="11">IF(AL11=0, "    ---- ", IF(ABS(ROUND(100/AL11*AM11-100,1))&lt;999,ROUND(100/AL11*AM11-100,1),IF(ROUND(100/AL11*AM11-100,1)&gt;999,999,-999)))</f>
        <v>18</v>
      </c>
      <c r="AO11" s="533">
        <f>B11+E11+H11+K11+N11+T11+W11+Z11+AC11+AI11+AL11</f>
        <v>25457.502774960001</v>
      </c>
      <c r="AP11" s="533">
        <f>C11+F11+I11+L11+O11+U11+X11+AA11+AD11+AJ11+AM11</f>
        <v>26612.961263929999</v>
      </c>
      <c r="AQ11" s="533">
        <f t="shared" ref="AQ11:AQ45" si="12">IF(AO11=0, "    ---- ", IF(ABS(ROUND(100/AO11*AP11-100,1))&lt;999,ROUND(100/AO11*AP11-100,1),IF(ROUND(100/AO11*AP11-100,1)&gt;999,999,-999)))</f>
        <v>4.5</v>
      </c>
      <c r="AR11" s="536">
        <f>+B11+E11+H11+K11+N11+Q11+T11+W11+Z11+AC11+AF11+AI11+AL11</f>
        <v>25505.40295041</v>
      </c>
      <c r="AS11" s="536">
        <f>+C11+F11+I11+L11+O11+R11+U11+X11+AA11+AD11+AG11+AJ11+AM11</f>
        <v>26662.624683630002</v>
      </c>
      <c r="AT11" s="533">
        <f t="shared" ref="AT11:AT17" si="13">IF(AR11=0, "    ---- ", IF(ABS(ROUND(100/AR11*AS11-100,1))&lt;999,ROUND(100/AR11*AS11-100,1),IF(ROUND(100/AR11*AS11-100,1)&gt;999,999,-999)))</f>
        <v>4.5</v>
      </c>
    </row>
    <row r="12" spans="1:46" s="509" customFormat="1" ht="18.75" customHeight="1" x14ac:dyDescent="0.3">
      <c r="A12" s="531" t="s">
        <v>297</v>
      </c>
      <c r="B12" s="618">
        <v>-26.122</v>
      </c>
      <c r="C12" s="338">
        <v>-29.346</v>
      </c>
      <c r="D12" s="533">
        <f t="shared" si="0"/>
        <v>12.3</v>
      </c>
      <c r="E12" s="618">
        <v>-103.92</v>
      </c>
      <c r="F12" s="338">
        <v>-103.36</v>
      </c>
      <c r="G12" s="533">
        <f t="shared" si="1"/>
        <v>-0.5</v>
      </c>
      <c r="H12" s="338"/>
      <c r="I12" s="338">
        <v>-46.094411450000003</v>
      </c>
      <c r="J12" s="533" t="str">
        <f t="shared" si="2"/>
        <v xml:space="preserve">    ---- </v>
      </c>
      <c r="K12" s="618">
        <v>-0.32300000000000001</v>
      </c>
      <c r="L12" s="338">
        <v>-0.34</v>
      </c>
      <c r="M12" s="533">
        <f t="shared" si="3"/>
        <v>5.3</v>
      </c>
      <c r="N12" s="618">
        <v>-18.2</v>
      </c>
      <c r="O12" s="338">
        <v>-25.7</v>
      </c>
      <c r="P12" s="533">
        <f t="shared" si="4"/>
        <v>41.2</v>
      </c>
      <c r="Q12" s="618"/>
      <c r="R12" s="338"/>
      <c r="S12" s="533"/>
      <c r="T12" s="618"/>
      <c r="U12" s="338"/>
      <c r="V12" s="533"/>
      <c r="W12" s="618"/>
      <c r="X12" s="338"/>
      <c r="Y12" s="533"/>
      <c r="Z12" s="618">
        <v>-21</v>
      </c>
      <c r="AA12" s="338">
        <v>-23</v>
      </c>
      <c r="AB12" s="533">
        <f t="shared" si="7"/>
        <v>9.5</v>
      </c>
      <c r="AC12" s="618"/>
      <c r="AD12" s="338"/>
      <c r="AE12" s="533"/>
      <c r="AF12" s="618"/>
      <c r="AG12" s="338"/>
      <c r="AH12" s="533"/>
      <c r="AI12" s="618">
        <v>-47.363999999999997</v>
      </c>
      <c r="AJ12" s="338">
        <v>-2.306</v>
      </c>
      <c r="AK12" s="533">
        <f t="shared" si="10"/>
        <v>-95.1</v>
      </c>
      <c r="AL12" s="618">
        <v>-5</v>
      </c>
      <c r="AM12" s="338">
        <v>-6</v>
      </c>
      <c r="AN12" s="533">
        <f t="shared" si="11"/>
        <v>20</v>
      </c>
      <c r="AO12" s="533">
        <f t="shared" ref="AO12:AP33" si="14">B12+E12+H12+K12+N12+T12+W12+Z12+AC12+AI12+AL12</f>
        <v>-221.929</v>
      </c>
      <c r="AP12" s="533">
        <f t="shared" si="14"/>
        <v>-236.14641144999999</v>
      </c>
      <c r="AQ12" s="533">
        <f t="shared" si="12"/>
        <v>6.4</v>
      </c>
      <c r="AR12" s="536">
        <f t="shared" ref="AR12:AS17" si="15">+B12+E12+H12+K12+N12+Q12+T12+W12+Z12+AC12+AF12+AI12+AL12</f>
        <v>-221.929</v>
      </c>
      <c r="AS12" s="536">
        <f t="shared" si="15"/>
        <v>-236.14641144999999</v>
      </c>
      <c r="AT12" s="533">
        <f t="shared" si="13"/>
        <v>6.4</v>
      </c>
    </row>
    <row r="13" spans="1:46" s="509" customFormat="1" ht="18.75" customHeight="1" x14ac:dyDescent="0.3">
      <c r="A13" s="531" t="s">
        <v>298</v>
      </c>
      <c r="B13" s="618">
        <v>135.733</v>
      </c>
      <c r="C13" s="338">
        <v>272.15699999999998</v>
      </c>
      <c r="D13" s="533">
        <f t="shared" si="0"/>
        <v>100.5</v>
      </c>
      <c r="E13" s="618">
        <v>1376.864</v>
      </c>
      <c r="F13" s="338">
        <v>1136.2860000000001</v>
      </c>
      <c r="G13" s="533">
        <f t="shared" si="1"/>
        <v>-17.5</v>
      </c>
      <c r="H13" s="338"/>
      <c r="I13" s="338"/>
      <c r="J13" s="533"/>
      <c r="K13" s="618">
        <v>30.405999999999999</v>
      </c>
      <c r="L13" s="338">
        <v>39.81</v>
      </c>
      <c r="M13" s="533">
        <f t="shared" si="3"/>
        <v>30.9</v>
      </c>
      <c r="N13" s="618">
        <v>928.3</v>
      </c>
      <c r="O13" s="338">
        <v>437</v>
      </c>
      <c r="P13" s="533">
        <f t="shared" si="4"/>
        <v>-52.9</v>
      </c>
      <c r="Q13" s="618"/>
      <c r="R13" s="338"/>
      <c r="S13" s="533"/>
      <c r="T13" s="618">
        <v>0</v>
      </c>
      <c r="U13" s="338">
        <v>2502.9346030000002</v>
      </c>
      <c r="V13" s="533" t="str">
        <f t="shared" si="5"/>
        <v xml:space="preserve">    ---- </v>
      </c>
      <c r="W13" s="618">
        <v>202.1</v>
      </c>
      <c r="X13" s="338">
        <v>133.19999999999999</v>
      </c>
      <c r="Y13" s="533">
        <f t="shared" si="6"/>
        <v>-34.1</v>
      </c>
      <c r="Z13" s="618">
        <v>703</v>
      </c>
      <c r="AA13" s="338">
        <v>2345</v>
      </c>
      <c r="AB13" s="533">
        <f t="shared" si="7"/>
        <v>233.6</v>
      </c>
      <c r="AC13" s="618">
        <v>106</v>
      </c>
      <c r="AD13" s="338">
        <v>0</v>
      </c>
      <c r="AE13" s="533">
        <f>IF(AC13=0, "    ---- ", IF(ABS(ROUND(100/AC13*AD13-100,1))&lt;999,ROUND(100/AC13*AD13-100,1),IF(ROUND(100/AC13*AD13-100,1)&gt;999,999,-999)))</f>
        <v>-100</v>
      </c>
      <c r="AF13" s="618">
        <v>24.283002</v>
      </c>
      <c r="AG13" s="338">
        <v>38.703149000000003</v>
      </c>
      <c r="AH13" s="533">
        <f t="shared" si="9"/>
        <v>59.4</v>
      </c>
      <c r="AI13" s="618">
        <v>483.99856396999996</v>
      </c>
      <c r="AJ13" s="338">
        <v>440.66673795000008</v>
      </c>
      <c r="AK13" s="533">
        <f t="shared" si="10"/>
        <v>-9</v>
      </c>
      <c r="AL13" s="618">
        <v>611</v>
      </c>
      <c r="AM13" s="338">
        <v>4638</v>
      </c>
      <c r="AN13" s="533">
        <f t="shared" si="11"/>
        <v>659.1</v>
      </c>
      <c r="AO13" s="533">
        <f t="shared" si="14"/>
        <v>4577.4015639699992</v>
      </c>
      <c r="AP13" s="533">
        <f t="shared" si="14"/>
        <v>11945.054340950001</v>
      </c>
      <c r="AQ13" s="533">
        <f t="shared" si="12"/>
        <v>161</v>
      </c>
      <c r="AR13" s="536">
        <f t="shared" si="15"/>
        <v>4601.6845659699993</v>
      </c>
      <c r="AS13" s="536">
        <f t="shared" si="15"/>
        <v>11983.75748995</v>
      </c>
      <c r="AT13" s="533">
        <f t="shared" si="13"/>
        <v>160.4</v>
      </c>
    </row>
    <row r="14" spans="1:46" s="509" customFormat="1" ht="18.75" customHeight="1" x14ac:dyDescent="0.3">
      <c r="A14" s="531" t="s">
        <v>299</v>
      </c>
      <c r="B14" s="682">
        <f>SUM(B11:B13)</f>
        <v>722.48400000000015</v>
      </c>
      <c r="C14" s="683">
        <f>SUM(C11:C13)</f>
        <v>908.49099999999999</v>
      </c>
      <c r="D14" s="533">
        <f t="shared" si="0"/>
        <v>25.7</v>
      </c>
      <c r="E14" s="617">
        <f>SUM(E11:E13)</f>
        <v>5717.2260000000006</v>
      </c>
      <c r="F14" s="437">
        <f>SUM(F11:F13)</f>
        <v>5315.1260000000002</v>
      </c>
      <c r="G14" s="533">
        <f t="shared" si="1"/>
        <v>-7</v>
      </c>
      <c r="H14" s="437"/>
      <c r="I14" s="437">
        <v>873.26438257999985</v>
      </c>
      <c r="J14" s="533" t="str">
        <f t="shared" si="2"/>
        <v xml:space="preserve">    ---- </v>
      </c>
      <c r="K14" s="617">
        <f>SUM(K11:K13)</f>
        <v>711.83499999999992</v>
      </c>
      <c r="L14" s="437">
        <f>SUM(L11:L13)</f>
        <v>751.12699999999995</v>
      </c>
      <c r="M14" s="533">
        <f t="shared" si="3"/>
        <v>5.5</v>
      </c>
      <c r="N14" s="617">
        <f>SUM(N11:N13)</f>
        <v>1893.1999999999998</v>
      </c>
      <c r="O14" s="437">
        <f>SUM(O11:O13)</f>
        <v>1447.6</v>
      </c>
      <c r="P14" s="533">
        <f t="shared" si="4"/>
        <v>-23.5</v>
      </c>
      <c r="Q14" s="617">
        <f>SUM(Q11:Q13)</f>
        <v>9.1994593499999997</v>
      </c>
      <c r="R14" s="437">
        <f>SUM(R11:R13)</f>
        <v>8.9698688000000004</v>
      </c>
      <c r="S14" s="533">
        <f>IF(Q14=0, "    ---- ", IF(ABS(ROUND(100/Q14*R14-100,1))&lt;999,ROUND(100/Q14*R14-100,1),IF(ROUND(100/Q14*R14-100,1)&gt;999,999,-999)))</f>
        <v>-2.5</v>
      </c>
      <c r="T14" s="617">
        <f>SUM(T11:T13)</f>
        <v>6704.7773302200003</v>
      </c>
      <c r="U14" s="437">
        <v>9588.7519118100008</v>
      </c>
      <c r="V14" s="533">
        <f t="shared" si="5"/>
        <v>43</v>
      </c>
      <c r="W14" s="617">
        <f>SUM(W11:W13)</f>
        <v>361.4</v>
      </c>
      <c r="X14" s="437">
        <f>SUM(X11:X13)</f>
        <v>313.39999999999998</v>
      </c>
      <c r="Y14" s="533">
        <f t="shared" si="6"/>
        <v>-13.3</v>
      </c>
      <c r="Z14" s="617">
        <f>SUM(Z11:Z13)</f>
        <v>4450</v>
      </c>
      <c r="AA14" s="437">
        <f>SUM(AA11:AA13)</f>
        <v>6056.6399999999994</v>
      </c>
      <c r="AB14" s="533">
        <f t="shared" si="7"/>
        <v>36.1</v>
      </c>
      <c r="AC14" s="617">
        <f>SUM(AC11:AC13)</f>
        <v>1099</v>
      </c>
      <c r="AD14" s="437">
        <f>SUM(AD11:AD13)</f>
        <v>596</v>
      </c>
      <c r="AE14" s="533">
        <f t="shared" si="8"/>
        <v>-45.8</v>
      </c>
      <c r="AF14" s="617">
        <f>SUM(AF11:AF13)</f>
        <v>62.983718100000004</v>
      </c>
      <c r="AG14" s="437">
        <f>SUM(AG11:AG13)</f>
        <v>79.396699900000002</v>
      </c>
      <c r="AH14" s="533">
        <f t="shared" si="9"/>
        <v>26.1</v>
      </c>
      <c r="AI14" s="617">
        <v>2492.0530087099996</v>
      </c>
      <c r="AJ14" s="437">
        <f>SUM(AJ11:AJ13)</f>
        <v>1873.4688990400005</v>
      </c>
      <c r="AK14" s="533">
        <f t="shared" si="10"/>
        <v>-24.8</v>
      </c>
      <c r="AL14" s="617">
        <f>SUM(AL11:AL13)</f>
        <v>5661</v>
      </c>
      <c r="AM14" s="437">
        <f>SUM(AM11:AM13)</f>
        <v>10598</v>
      </c>
      <c r="AN14" s="533">
        <f t="shared" si="11"/>
        <v>87.2</v>
      </c>
      <c r="AO14" s="533">
        <f t="shared" si="14"/>
        <v>29812.975338930002</v>
      </c>
      <c r="AP14" s="533">
        <f t="shared" si="14"/>
        <v>38321.86919343</v>
      </c>
      <c r="AQ14" s="533">
        <f t="shared" si="12"/>
        <v>28.5</v>
      </c>
      <c r="AR14" s="536">
        <f t="shared" si="15"/>
        <v>29885.158516380005</v>
      </c>
      <c r="AS14" s="536">
        <f t="shared" si="15"/>
        <v>38410.235762130003</v>
      </c>
      <c r="AT14" s="533">
        <f t="shared" si="13"/>
        <v>28.5</v>
      </c>
    </row>
    <row r="15" spans="1:46" s="509" customFormat="1" ht="18.75" customHeight="1" x14ac:dyDescent="0.3">
      <c r="A15" s="531" t="s">
        <v>300</v>
      </c>
      <c r="B15" s="196">
        <v>18.084</v>
      </c>
      <c r="C15" s="447">
        <v>-13.523999999999999</v>
      </c>
      <c r="D15" s="533">
        <f t="shared" si="0"/>
        <v>-174.8</v>
      </c>
      <c r="E15" s="196">
        <v>4110.4870000000001</v>
      </c>
      <c r="F15" s="447">
        <v>-5843.9740000000002</v>
      </c>
      <c r="G15" s="533">
        <f t="shared" si="1"/>
        <v>-242.2</v>
      </c>
      <c r="H15" s="594"/>
      <c r="I15" s="594">
        <v>-36.439256470000004</v>
      </c>
      <c r="J15" s="533" t="str">
        <f t="shared" si="2"/>
        <v xml:space="preserve">    ---- </v>
      </c>
      <c r="K15" s="689">
        <v>23.048999999999999</v>
      </c>
      <c r="L15" s="594">
        <v>-41.066000000000003</v>
      </c>
      <c r="M15" s="533">
        <f t="shared" si="3"/>
        <v>-278.2</v>
      </c>
      <c r="N15" s="196">
        <v>82.7</v>
      </c>
      <c r="O15" s="447">
        <v>-8.6</v>
      </c>
      <c r="P15" s="533">
        <f t="shared" si="4"/>
        <v>-110.4</v>
      </c>
      <c r="Q15" s="661"/>
      <c r="R15" s="592"/>
      <c r="S15" s="533"/>
      <c r="T15" s="196">
        <v>15626.196864209998</v>
      </c>
      <c r="U15" s="447">
        <v>-21205.454565060001</v>
      </c>
      <c r="V15" s="533">
        <f t="shared" si="5"/>
        <v>-235.7</v>
      </c>
      <c r="W15" s="196">
        <v>19.5</v>
      </c>
      <c r="X15" s="447">
        <v>3.5</v>
      </c>
      <c r="Y15" s="533">
        <f t="shared" si="6"/>
        <v>-82.1</v>
      </c>
      <c r="Z15" s="196">
        <v>808</v>
      </c>
      <c r="AA15" s="447">
        <v>-437.89</v>
      </c>
      <c r="AB15" s="533">
        <f t="shared" si="7"/>
        <v>-154.19999999999999</v>
      </c>
      <c r="AC15" s="196">
        <v>3077</v>
      </c>
      <c r="AD15" s="447">
        <v>-4209</v>
      </c>
      <c r="AE15" s="533">
        <f t="shared" si="8"/>
        <v>-236.8</v>
      </c>
      <c r="AF15" s="661"/>
      <c r="AG15" s="592"/>
      <c r="AH15" s="533"/>
      <c r="AI15" s="658">
        <v>553.08141620000049</v>
      </c>
      <c r="AJ15" s="538">
        <v>-952.69749095999998</v>
      </c>
      <c r="AK15" s="533">
        <f t="shared" si="10"/>
        <v>-272.3</v>
      </c>
      <c r="AL15" s="196">
        <v>3479</v>
      </c>
      <c r="AM15" s="447">
        <v>1255</v>
      </c>
      <c r="AN15" s="533">
        <f t="shared" si="11"/>
        <v>-63.9</v>
      </c>
      <c r="AO15" s="533">
        <f t="shared" si="14"/>
        <v>27797.098280409995</v>
      </c>
      <c r="AP15" s="533">
        <f t="shared" si="14"/>
        <v>-31490.14531249</v>
      </c>
      <c r="AQ15" s="533">
        <f t="shared" si="12"/>
        <v>-213.3</v>
      </c>
      <c r="AR15" s="536">
        <f t="shared" si="15"/>
        <v>27797.098280409995</v>
      </c>
      <c r="AS15" s="536">
        <f t="shared" si="15"/>
        <v>-31490.14531249</v>
      </c>
      <c r="AT15" s="533">
        <f t="shared" si="13"/>
        <v>-213.3</v>
      </c>
    </row>
    <row r="16" spans="1:46" s="509" customFormat="1" ht="18.75" customHeight="1" x14ac:dyDescent="0.3">
      <c r="A16" s="531" t="s">
        <v>301</v>
      </c>
      <c r="B16" s="196">
        <v>1100.787</v>
      </c>
      <c r="C16" s="447">
        <v>-2479.1529999999998</v>
      </c>
      <c r="D16" s="533">
        <f t="shared" si="0"/>
        <v>-325.2</v>
      </c>
      <c r="E16" s="196">
        <v>5394.5969999999998</v>
      </c>
      <c r="F16" s="447">
        <v>-12961.332</v>
      </c>
      <c r="G16" s="533">
        <f t="shared" si="1"/>
        <v>-340.3</v>
      </c>
      <c r="H16" s="594"/>
      <c r="I16" s="594"/>
      <c r="J16" s="533"/>
      <c r="K16" s="689">
        <v>202.155</v>
      </c>
      <c r="L16" s="594">
        <v>-477.90600000000001</v>
      </c>
      <c r="M16" s="533">
        <f t="shared" si="3"/>
        <v>-336.4</v>
      </c>
      <c r="N16" s="196">
        <v>1688</v>
      </c>
      <c r="O16" s="447">
        <v>-3648.2</v>
      </c>
      <c r="P16" s="532">
        <f t="shared" si="4"/>
        <v>-316.10000000000002</v>
      </c>
      <c r="Q16" s="661"/>
      <c r="R16" s="592"/>
      <c r="S16" s="539"/>
      <c r="T16" s="196">
        <v>88.96463304000001</v>
      </c>
      <c r="U16" s="447">
        <v>-129.91958181999999</v>
      </c>
      <c r="V16" s="539">
        <f t="shared" si="5"/>
        <v>-246</v>
      </c>
      <c r="W16" s="196">
        <v>255.4</v>
      </c>
      <c r="X16" s="447">
        <v>-606.20000000000005</v>
      </c>
      <c r="Y16" s="539">
        <f t="shared" si="6"/>
        <v>-337.4</v>
      </c>
      <c r="Z16" s="196">
        <v>3768</v>
      </c>
      <c r="AA16" s="447">
        <v>-9350.11</v>
      </c>
      <c r="AB16" s="533">
        <f t="shared" si="7"/>
        <v>-348.1</v>
      </c>
      <c r="AC16" s="196"/>
      <c r="AD16" s="447"/>
      <c r="AE16" s="533"/>
      <c r="AF16" s="661">
        <v>170</v>
      </c>
      <c r="AG16" s="594">
        <v>-257.31517472000002</v>
      </c>
      <c r="AH16" s="533">
        <f t="shared" si="9"/>
        <v>-251.4</v>
      </c>
      <c r="AI16" s="658">
        <v>2152.79855004</v>
      </c>
      <c r="AJ16" s="538">
        <v>-5510.7116976399993</v>
      </c>
      <c r="AK16" s="533">
        <f t="shared" si="10"/>
        <v>-356</v>
      </c>
      <c r="AL16" s="196">
        <v>6242</v>
      </c>
      <c r="AM16" s="447">
        <v>-14830</v>
      </c>
      <c r="AN16" s="533">
        <f t="shared" si="11"/>
        <v>-337.6</v>
      </c>
      <c r="AO16" s="533">
        <f t="shared" si="14"/>
        <v>20892.70218308</v>
      </c>
      <c r="AP16" s="533">
        <f t="shared" si="14"/>
        <v>-49993.53227946</v>
      </c>
      <c r="AQ16" s="533">
        <f t="shared" si="12"/>
        <v>-339.3</v>
      </c>
      <c r="AR16" s="536">
        <f t="shared" si="15"/>
        <v>21062.70218308</v>
      </c>
      <c r="AS16" s="536">
        <f t="shared" si="15"/>
        <v>-50250.847454179995</v>
      </c>
      <c r="AT16" s="533">
        <f t="shared" si="13"/>
        <v>-338.6</v>
      </c>
    </row>
    <row r="17" spans="1:46" s="509" customFormat="1" ht="18.75" customHeight="1" x14ac:dyDescent="0.3">
      <c r="A17" s="531" t="s">
        <v>302</v>
      </c>
      <c r="B17" s="196"/>
      <c r="C17" s="447"/>
      <c r="D17" s="533"/>
      <c r="E17" s="196">
        <v>21.917000000000002</v>
      </c>
      <c r="F17" s="447">
        <v>6.2320000000000002</v>
      </c>
      <c r="G17" s="533">
        <f t="shared" si="1"/>
        <v>-71.599999999999994</v>
      </c>
      <c r="H17" s="594"/>
      <c r="I17" s="594">
        <v>2.7644885299999995</v>
      </c>
      <c r="J17" s="533" t="str">
        <f t="shared" si="2"/>
        <v xml:space="preserve">    ---- </v>
      </c>
      <c r="K17" s="689">
        <v>3.3119999999999998</v>
      </c>
      <c r="L17" s="594">
        <v>68.659000000000006</v>
      </c>
      <c r="M17" s="533">
        <f t="shared" si="3"/>
        <v>999</v>
      </c>
      <c r="N17" s="196">
        <v>38.700000000000003</v>
      </c>
      <c r="O17" s="447">
        <v>43.5</v>
      </c>
      <c r="P17" s="533">
        <f>IF(N17=0, "    ---- ", IF(ABS(ROUND(100/N17*O17-100,1))&lt;999,ROUND(100/N17*O17-100,1),IF(ROUND(100/N17*O17-100,1)&gt;999,999,-999)))</f>
        <v>12.4</v>
      </c>
      <c r="Q17" s="661"/>
      <c r="R17" s="592"/>
      <c r="S17" s="533"/>
      <c r="T17" s="196">
        <v>279.57005099999998</v>
      </c>
      <c r="U17" s="447">
        <v>295.271051</v>
      </c>
      <c r="V17" s="533">
        <f t="shared" si="5"/>
        <v>5.6</v>
      </c>
      <c r="W17" s="196">
        <v>1.9</v>
      </c>
      <c r="X17" s="447">
        <v>3.5</v>
      </c>
      <c r="Y17" s="533">
        <f t="shared" si="6"/>
        <v>84.2</v>
      </c>
      <c r="Z17" s="196">
        <v>37</v>
      </c>
      <c r="AA17" s="447">
        <v>51.47</v>
      </c>
      <c r="AB17" s="533">
        <f t="shared" si="7"/>
        <v>39.1</v>
      </c>
      <c r="AC17" s="196">
        <v>-8</v>
      </c>
      <c r="AD17" s="447">
        <v>54</v>
      </c>
      <c r="AE17" s="533">
        <f t="shared" si="8"/>
        <v>-775</v>
      </c>
      <c r="AF17" s="661"/>
      <c r="AG17" s="592"/>
      <c r="AH17" s="533"/>
      <c r="AI17" s="658">
        <v>50.370622620000006</v>
      </c>
      <c r="AJ17" s="538">
        <v>56.224908640000002</v>
      </c>
      <c r="AK17" s="533">
        <f t="shared" si="10"/>
        <v>11.6</v>
      </c>
      <c r="AL17" s="196">
        <v>172</v>
      </c>
      <c r="AM17" s="447">
        <v>185</v>
      </c>
      <c r="AN17" s="533">
        <f t="shared" si="11"/>
        <v>7.6</v>
      </c>
      <c r="AO17" s="533">
        <f t="shared" si="14"/>
        <v>596.76967362000005</v>
      </c>
      <c r="AP17" s="533">
        <f t="shared" si="14"/>
        <v>766.62144817000001</v>
      </c>
      <c r="AQ17" s="533">
        <f t="shared" si="12"/>
        <v>28.5</v>
      </c>
      <c r="AR17" s="536">
        <f t="shared" si="15"/>
        <v>596.76967362000005</v>
      </c>
      <c r="AS17" s="536">
        <f t="shared" si="15"/>
        <v>766.62144817000001</v>
      </c>
      <c r="AT17" s="533">
        <f t="shared" si="13"/>
        <v>28.5</v>
      </c>
    </row>
    <row r="18" spans="1:46" s="509" customFormat="1" ht="18.75" customHeight="1" x14ac:dyDescent="0.3">
      <c r="A18" s="531" t="s">
        <v>303</v>
      </c>
      <c r="B18" s="196"/>
      <c r="C18" s="447"/>
      <c r="D18" s="533"/>
      <c r="E18" s="196"/>
      <c r="F18" s="447"/>
      <c r="G18" s="533"/>
      <c r="H18" s="594"/>
      <c r="I18" s="594"/>
      <c r="J18" s="533"/>
      <c r="K18" s="689"/>
      <c r="L18" s="594"/>
      <c r="M18" s="533"/>
      <c r="N18" s="196"/>
      <c r="O18" s="447"/>
      <c r="P18" s="532"/>
      <c r="Q18" s="661"/>
      <c r="R18" s="592"/>
      <c r="S18" s="533"/>
      <c r="T18" s="196"/>
      <c r="U18" s="447"/>
      <c r="V18" s="533"/>
      <c r="W18" s="196"/>
      <c r="X18" s="447"/>
      <c r="Y18" s="533"/>
      <c r="Z18" s="680"/>
      <c r="AA18" s="540"/>
      <c r="AB18" s="533"/>
      <c r="AC18" s="196"/>
      <c r="AD18" s="447"/>
      <c r="AE18" s="533"/>
      <c r="AF18" s="661"/>
      <c r="AG18" s="592"/>
      <c r="AH18" s="533"/>
      <c r="AI18" s="658"/>
      <c r="AJ18" s="538"/>
      <c r="AK18" s="533"/>
      <c r="AL18" s="196"/>
      <c r="AM18" s="447"/>
      <c r="AN18" s="533"/>
      <c r="AO18" s="533"/>
      <c r="AP18" s="533"/>
      <c r="AQ18" s="533"/>
      <c r="AR18" s="541"/>
      <c r="AS18" s="541"/>
      <c r="AT18" s="535"/>
    </row>
    <row r="19" spans="1:46" s="509" customFormat="1" ht="18.75" customHeight="1" x14ac:dyDescent="0.3">
      <c r="A19" s="531" t="s">
        <v>304</v>
      </c>
      <c r="B19" s="617">
        <f>-201.946+11.947</f>
        <v>-189.999</v>
      </c>
      <c r="C19" s="437">
        <f>-297.914+11.13</f>
        <v>-286.78399999999999</v>
      </c>
      <c r="D19" s="533">
        <f>IF(B19=0, "    ---- ", IF(ABS(ROUND(100/B19*C19-100,1))&lt;999,ROUND(100/B19*C19-100,1),IF(ROUND(100/B19*C19-100,1)&gt;999,999,-999)))</f>
        <v>50.9</v>
      </c>
      <c r="E19" s="617">
        <v>-3424.6350000000002</v>
      </c>
      <c r="F19" s="437">
        <v>-3735.3530000000001</v>
      </c>
      <c r="G19" s="533">
        <f>IF(E19=0, "    ---- ", IF(ABS(ROUND(100/E19*F19-100,1))&lt;999,ROUND(100/E19*F19-100,1),IF(ROUND(100/E19*F19-100,1)&gt;999,999,-999)))</f>
        <v>9.1</v>
      </c>
      <c r="H19" s="437"/>
      <c r="I19" s="437">
        <v>-329.35843246000002</v>
      </c>
      <c r="J19" s="533" t="str">
        <f>IF(H19=0, "    ---- ", IF(ABS(ROUND(100/H19*I19-100,1))&lt;999,ROUND(100/H19*I19-100,1),IF(ROUND(100/H19*I19-100,1)&gt;999,999,-999)))</f>
        <v xml:space="preserve">    ---- </v>
      </c>
      <c r="K19" s="617">
        <v>-33.856999999999999</v>
      </c>
      <c r="L19" s="437">
        <v>-34.496000000000002</v>
      </c>
      <c r="M19" s="533">
        <f>IF(K19=0, "    ---- ", IF(ABS(ROUND(100/K19*L19-100,1))&lt;999,ROUND(100/K19*L19-100,1),IF(ROUND(100/K19*L19-100,1)&gt;999,999,-999)))</f>
        <v>1.9</v>
      </c>
      <c r="N19" s="617">
        <f>-148.1+2.1</f>
        <v>-146</v>
      </c>
      <c r="O19" s="437">
        <f>-155.8-0.4</f>
        <v>-156.20000000000002</v>
      </c>
      <c r="P19" s="533">
        <f>IF(N19=0, "    ---- ", IF(ABS(ROUND(100/N19*O19-100,1))&lt;999,ROUND(100/N19*O19-100,1),IF(ROUND(100/N19*O19-100,1)&gt;999,999,-999)))</f>
        <v>7</v>
      </c>
      <c r="Q19" s="617">
        <v>-3.0152519999999998</v>
      </c>
      <c r="R19" s="437">
        <v>-4.6502949999999998</v>
      </c>
      <c r="S19" s="533">
        <f>IF(Q19=0, "    ---- ", IF(ABS(ROUND(100/Q19*R19-100,1))&lt;999,ROUND(100/Q19*R19-100,1),IF(ROUND(100/Q19*R19-100,1)&gt;999,999,-999)))</f>
        <v>54.2</v>
      </c>
      <c r="T19" s="617">
        <v>-4773.5894319999998</v>
      </c>
      <c r="U19" s="447">
        <v>-5100.5808209999996</v>
      </c>
      <c r="V19" s="533">
        <f>IF(T19=0, "    ---- ", IF(ABS(ROUND(100/T19*U19-100,1))&lt;999,ROUND(100/T19*U19-100,1),IF(ROUND(100/T19*U19-100,1)&gt;999,999,-999)))</f>
        <v>6.9</v>
      </c>
      <c r="W19" s="617">
        <v>-21</v>
      </c>
      <c r="X19" s="437">
        <v>-24.2</v>
      </c>
      <c r="Y19" s="533">
        <f t="shared" si="6"/>
        <v>15.2</v>
      </c>
      <c r="Z19" s="617">
        <v>-1353</v>
      </c>
      <c r="AA19" s="437">
        <v>-3354.51</v>
      </c>
      <c r="AB19" s="533">
        <f>IF(Z19=0, "    ---- ", IF(ABS(ROUND(100/Z19*AA19-100,1))&lt;999,ROUND(100/Z19*AA19-100,1),IF(ROUND(100/Z19*AA19-100,1)&gt;999,999,-999)))</f>
        <v>147.9</v>
      </c>
      <c r="AC19" s="617">
        <v>-725</v>
      </c>
      <c r="AD19" s="437">
        <v>-766</v>
      </c>
      <c r="AE19" s="533">
        <f>IF(AC19=0, "    ---- ", IF(ABS(ROUND(100/AC19*AD19-100,1))&lt;999,ROUND(100/AC19*AD19-100,1),IF(ROUND(100/AC19*AD19-100,1)&gt;999,999,-999)))</f>
        <v>5.7</v>
      </c>
      <c r="AF19" s="617">
        <v>-64.360110590000005</v>
      </c>
      <c r="AG19" s="437">
        <v>-86.818258420000006</v>
      </c>
      <c r="AH19" s="533">
        <f>IF(AF19=0, "    ---- ", IF(ABS(ROUND(100/AF19*AG19-100,1))&lt;999,ROUND(100/AF19*AG19-100,1),IF(ROUND(100/AF19*AG19-100,1)&gt;999,999,-999)))</f>
        <v>34.9</v>
      </c>
      <c r="AI19" s="659">
        <v>-605.71963634999975</v>
      </c>
      <c r="AJ19" s="542">
        <v>-403.24928158999995</v>
      </c>
      <c r="AK19" s="533">
        <f>IF(AI19=0, "    ---- ", IF(ABS(ROUND(100/AI19*AJ19-100,1))&lt;999,ROUND(100/AI19*AJ19-100,1),IF(ROUND(100/AI19*AJ19-100,1)&gt;999,999,-999)))</f>
        <v>-33.4</v>
      </c>
      <c r="AL19" s="617">
        <f>-3556+4</f>
        <v>-3552</v>
      </c>
      <c r="AM19" s="437">
        <v>-3488</v>
      </c>
      <c r="AN19" s="533">
        <f>IF(AL19=0, "    ---- ", IF(ABS(ROUND(100/AL19*AM19-100,1))&lt;999,ROUND(100/AL19*AM19-100,1),IF(ROUND(100/AL19*AM19-100,1)&gt;999,999,-999)))</f>
        <v>-1.8</v>
      </c>
      <c r="AO19" s="533">
        <f t="shared" si="14"/>
        <v>-14824.800068349999</v>
      </c>
      <c r="AP19" s="533">
        <f t="shared" si="14"/>
        <v>-17678.731535049999</v>
      </c>
      <c r="AQ19" s="533">
        <f t="shared" si="12"/>
        <v>19.3</v>
      </c>
      <c r="AR19" s="536">
        <f t="shared" ref="AR19:AS21" si="16">+B19+E19+H19+K19+N19+Q19+T19+W19+Z19+AC19+AF19+AI19+AL19</f>
        <v>-14892.175430939998</v>
      </c>
      <c r="AS19" s="536">
        <f t="shared" si="16"/>
        <v>-17770.200088470003</v>
      </c>
      <c r="AT19" s="533">
        <f>IF(AR19=0, "    ---- ", IF(ABS(ROUND(100/AR19*AS19-100,1))&lt;999,ROUND(100/AR19*AS19-100,1),IF(ROUND(100/AR19*AS19-100,1)&gt;999,999,-999)))</f>
        <v>19.3</v>
      </c>
    </row>
    <row r="20" spans="1:46" s="509" customFormat="1" ht="18.75" customHeight="1" x14ac:dyDescent="0.3">
      <c r="A20" s="531" t="s">
        <v>366</v>
      </c>
      <c r="B20" s="618">
        <v>-153.35499999999999</v>
      </c>
      <c r="C20" s="338">
        <v>-240.268</v>
      </c>
      <c r="D20" s="533">
        <f>IF(B20=0, "    ---- ", IF(ABS(ROUND(100/B20*C20-100,1))&lt;999,ROUND(100/B20*C20-100,1),IF(ROUND(100/B20*C20-100,1)&gt;999,999,-999)))</f>
        <v>56.7</v>
      </c>
      <c r="E20" s="618">
        <v>-835.29</v>
      </c>
      <c r="F20" s="338">
        <v>-4592.7340000000004</v>
      </c>
      <c r="G20" s="533">
        <f>IF(E20=0, "    ---- ", IF(ABS(ROUND(100/E20*F20-100,1))&lt;999,ROUND(100/E20*F20-100,1),IF(ROUND(100/E20*F20-100,1)&gt;999,999,-999)))</f>
        <v>449.8</v>
      </c>
      <c r="H20" s="338"/>
      <c r="I20" s="338"/>
      <c r="J20" s="533"/>
      <c r="K20" s="618">
        <v>-16.97</v>
      </c>
      <c r="L20" s="338">
        <v>-61.012999999999998</v>
      </c>
      <c r="M20" s="533">
        <f>IF(K20=0, "    ---- ", IF(ABS(ROUND(100/K20*L20-100,1))&lt;999,ROUND(100/K20*L20-100,1),IF(ROUND(100/K20*L20-100,1)&gt;999,999,-999)))</f>
        <v>259.5</v>
      </c>
      <c r="N20" s="618">
        <v>-469.6</v>
      </c>
      <c r="O20" s="338">
        <v>-1463.7</v>
      </c>
      <c r="P20" s="533">
        <f>IF(N20=0, "    ---- ", IF(ABS(ROUND(100/N20*O20-100,1))&lt;999,ROUND(100/N20*O20-100,1),IF(ROUND(100/N20*O20-100,1)&gt;999,999,-999)))</f>
        <v>211.7</v>
      </c>
      <c r="Q20" s="618"/>
      <c r="R20" s="338"/>
      <c r="S20" s="533"/>
      <c r="T20" s="618">
        <v>-248.299767</v>
      </c>
      <c r="U20" s="447">
        <v>-6377.2656059999999</v>
      </c>
      <c r="V20" s="533">
        <f>IF(T20=0, "    ---- ", IF(ABS(ROUND(100/T20*U20-100,1))&lt;999,ROUND(100/T20*U20-100,1),IF(ROUND(100/T20*U20-100,1)&gt;999,999,-999)))</f>
        <v>999</v>
      </c>
      <c r="W20" s="618">
        <v>-29.1</v>
      </c>
      <c r="X20" s="338">
        <v>-20.6</v>
      </c>
      <c r="Y20" s="533">
        <f t="shared" si="6"/>
        <v>-29.2</v>
      </c>
      <c r="Z20" s="660">
        <v>-718</v>
      </c>
      <c r="AA20" s="543">
        <v>-939</v>
      </c>
      <c r="AB20" s="533">
        <f>IF(Z20=0, "    ---- ", IF(ABS(ROUND(100/Z20*AA20-100,1))&lt;999,ROUND(100/Z20*AA20-100,1),IF(ROUND(100/Z20*AA20-100,1)&gt;999,999,-999)))</f>
        <v>30.8</v>
      </c>
      <c r="AC20" s="660"/>
      <c r="AD20" s="543">
        <v>-41</v>
      </c>
      <c r="AE20" s="533" t="str">
        <f>IF(AC20=0, "    ---- ", IF(ABS(ROUND(100/AC20*AD20-100,1))&lt;999,ROUND(100/AC20*AD20-100,1),IF(ROUND(100/AC20*AD20-100,1)&gt;999,999,-999)))</f>
        <v xml:space="preserve">    ---- </v>
      </c>
      <c r="AF20" s="618">
        <v>-5.7983996299999996</v>
      </c>
      <c r="AG20" s="338">
        <v>-4.52384567</v>
      </c>
      <c r="AH20" s="533">
        <f>IF(AF20=0, "    ---- ", IF(ABS(ROUND(100/AF20*AG20-100,1))&lt;999,ROUND(100/AF20*AG20-100,1),IF(ROUND(100/AF20*AG20-100,1)&gt;999,999,-999)))</f>
        <v>-22</v>
      </c>
      <c r="AI20" s="660">
        <v>-328.72047253999995</v>
      </c>
      <c r="AJ20" s="543">
        <v>-237.26544795000001</v>
      </c>
      <c r="AK20" s="533">
        <f>IF(AI20=0, "    ---- ", IF(ABS(ROUND(100/AI20*AJ20-100,1))&lt;999,ROUND(100/AI20*AJ20-100,1),IF(ROUND(100/AI20*AJ20-100,1)&gt;999,999,-999)))</f>
        <v>-27.8</v>
      </c>
      <c r="AL20" s="618">
        <v>-2066</v>
      </c>
      <c r="AM20" s="338">
        <v>-1682</v>
      </c>
      <c r="AN20" s="533">
        <f>IF(AL20=0, "    ---- ", IF(ABS(ROUND(100/AL20*AM20-100,1))&lt;999,ROUND(100/AL20*AM20-100,1),IF(ROUND(100/AL20*AM20-100,1)&gt;999,999,-999)))</f>
        <v>-18.600000000000001</v>
      </c>
      <c r="AO20" s="533">
        <f t="shared" si="14"/>
        <v>-4865.3352395399997</v>
      </c>
      <c r="AP20" s="533">
        <f t="shared" si="14"/>
        <v>-15654.846053950001</v>
      </c>
      <c r="AQ20" s="533">
        <f t="shared" si="12"/>
        <v>221.8</v>
      </c>
      <c r="AR20" s="536">
        <f t="shared" si="16"/>
        <v>-4871.1336391699997</v>
      </c>
      <c r="AS20" s="536">
        <f t="shared" si="16"/>
        <v>-15659.369899620002</v>
      </c>
      <c r="AT20" s="533">
        <f>IF(AR20=0, "    ---- ", IF(ABS(ROUND(100/AR20*AS20-100,1))&lt;999,ROUND(100/AR20*AS20-100,1),IF(ROUND(100/AR20*AS20-100,1)&gt;999,999,-999)))</f>
        <v>221.5</v>
      </c>
    </row>
    <row r="21" spans="1:46" s="509" customFormat="1" ht="18.75" customHeight="1" x14ac:dyDescent="0.3">
      <c r="A21" s="531" t="s">
        <v>305</v>
      </c>
      <c r="B21" s="617">
        <f>SUM(B19:B20)</f>
        <v>-343.35399999999998</v>
      </c>
      <c r="C21" s="437">
        <f>SUM(C19:C20)</f>
        <v>-527.05200000000002</v>
      </c>
      <c r="D21" s="533">
        <f>IF(B21=0, "    ---- ", IF(ABS(ROUND(100/B21*C21-100,1))&lt;999,ROUND(100/B21*C21-100,1),IF(ROUND(100/B21*C21-100,1)&gt;999,999,-999)))</f>
        <v>53.5</v>
      </c>
      <c r="E21" s="617">
        <f>SUM(E19:E20)</f>
        <v>-4259.9250000000002</v>
      </c>
      <c r="F21" s="437">
        <f>SUM(F19:F20)</f>
        <v>-8328.0869999999995</v>
      </c>
      <c r="G21" s="533">
        <f>IF(E21=0, "    ---- ", IF(ABS(ROUND(100/E21*F21-100,1))&lt;999,ROUND(100/E21*F21-100,1),IF(ROUND(100/E21*F21-100,1)&gt;999,999,-999)))</f>
        <v>95.5</v>
      </c>
      <c r="H21" s="437"/>
      <c r="I21" s="437">
        <v>-329.35843246000002</v>
      </c>
      <c r="J21" s="533" t="str">
        <f>IF(H21=0, "    ---- ", IF(ABS(ROUND(100/H21*I21-100,1))&lt;999,ROUND(100/H21*I21-100,1),IF(ROUND(100/H21*I21-100,1)&gt;999,999,-999)))</f>
        <v xml:space="preserve">    ---- </v>
      </c>
      <c r="K21" s="617">
        <f>SUM(K19:K20)</f>
        <v>-50.826999999999998</v>
      </c>
      <c r="L21" s="437">
        <f>SUM(L19:L20)</f>
        <v>-95.509</v>
      </c>
      <c r="M21" s="533">
        <f>IF(K21=0, "    ---- ", IF(ABS(ROUND(100/K21*L21-100,1))&lt;999,ROUND(100/K21*L21-100,1),IF(ROUND(100/K21*L21-100,1)&gt;999,999,-999)))</f>
        <v>87.9</v>
      </c>
      <c r="N21" s="617">
        <f>SUM(N19:N20)</f>
        <v>-615.6</v>
      </c>
      <c r="O21" s="437">
        <f>SUM(O19:O20)</f>
        <v>-1619.9</v>
      </c>
      <c r="P21" s="533">
        <f>IF(N21=0, "    ---- ", IF(ABS(ROUND(100/N21*O21-100,1))&lt;999,ROUND(100/N21*O21-100,1),IF(ROUND(100/N21*O21-100,1)&gt;999,999,-999)))</f>
        <v>163.1</v>
      </c>
      <c r="Q21" s="617">
        <f>SUM(Q19:Q20)</f>
        <v>-3.0152519999999998</v>
      </c>
      <c r="R21" s="437">
        <f>SUM(R19:R20)</f>
        <v>-4.6502949999999998</v>
      </c>
      <c r="S21" s="533">
        <f>IF(Q21=0, "    ---- ", IF(ABS(ROUND(100/Q21*R21-100,1))&lt;999,ROUND(100/Q21*R21-100,1),IF(ROUND(100/Q21*R21-100,1)&gt;999,999,-999)))</f>
        <v>54.2</v>
      </c>
      <c r="T21" s="617">
        <f>SUM(T19:T20)</f>
        <v>-5021.8891990000002</v>
      </c>
      <c r="U21" s="437">
        <v>-11477.846427</v>
      </c>
      <c r="V21" s="533">
        <f>IF(T21=0, "    ---- ", IF(ABS(ROUND(100/T21*U21-100,1))&lt;999,ROUND(100/T21*U21-100,1),IF(ROUND(100/T21*U21-100,1)&gt;999,999,-999)))</f>
        <v>128.6</v>
      </c>
      <c r="W21" s="617">
        <f>SUM(W19:W20)</f>
        <v>-50.1</v>
      </c>
      <c r="X21" s="437">
        <f>SUM(X19:X20)</f>
        <v>-44.8</v>
      </c>
      <c r="Y21" s="533">
        <f t="shared" si="6"/>
        <v>-10.6</v>
      </c>
      <c r="Z21" s="617">
        <f>SUM(Z19:Z20)</f>
        <v>-2071</v>
      </c>
      <c r="AA21" s="437">
        <f>SUM(AA19:AA20)</f>
        <v>-4293.51</v>
      </c>
      <c r="AB21" s="533">
        <f>IF(Z21=0, "    ---- ", IF(ABS(ROUND(100/Z21*AA21-100,1))&lt;999,ROUND(100/Z21*AA21-100,1),IF(ROUND(100/Z21*AA21-100,1)&gt;999,999,-999)))</f>
        <v>107.3</v>
      </c>
      <c r="AC21" s="617">
        <f>SUM(AC19:AC20)</f>
        <v>-725</v>
      </c>
      <c r="AD21" s="437">
        <f>SUM(AD19:AD20)</f>
        <v>-807</v>
      </c>
      <c r="AE21" s="533">
        <f>IF(AC21=0, "    ---- ", IF(ABS(ROUND(100/AC21*AD21-100,1))&lt;999,ROUND(100/AC21*AD21-100,1),IF(ROUND(100/AC21*AD21-100,1)&gt;999,999,-999)))</f>
        <v>11.3</v>
      </c>
      <c r="AF21" s="617">
        <f>SUM(AF19:AF20)</f>
        <v>-70.158510220000011</v>
      </c>
      <c r="AG21" s="437">
        <f>SUM(AG19:AG20)</f>
        <v>-91.342104090000007</v>
      </c>
      <c r="AH21" s="533">
        <f>IF(AF21=0, "    ---- ", IF(ABS(ROUND(100/AF21*AG21-100,1))&lt;999,ROUND(100/AF21*AG21-100,1),IF(ROUND(100/AF21*AG21-100,1)&gt;999,999,-999)))</f>
        <v>30.2</v>
      </c>
      <c r="AI21" s="617">
        <v>-934.44010888999969</v>
      </c>
      <c r="AJ21" s="437">
        <f>SUM(AJ19:AJ20)</f>
        <v>-640.51472953999996</v>
      </c>
      <c r="AK21" s="533">
        <f>IF(AI21=0, "    ---- ", IF(ABS(ROUND(100/AI21*AJ21-100,1))&lt;999,ROUND(100/AI21*AJ21-100,1),IF(ROUND(100/AI21*AJ21-100,1)&gt;999,999,-999)))</f>
        <v>-31.5</v>
      </c>
      <c r="AL21" s="617">
        <f>SUM(AL19:AL20)</f>
        <v>-5618</v>
      </c>
      <c r="AM21" s="437">
        <f>SUM(AM19:AM20)</f>
        <v>-5170</v>
      </c>
      <c r="AN21" s="533">
        <f>IF(AL21=0, "    ---- ", IF(ABS(ROUND(100/AL21*AM21-100,1))&lt;999,ROUND(100/AL21*AM21-100,1),IF(ROUND(100/AL21*AM21-100,1)&gt;999,999,-999)))</f>
        <v>-8</v>
      </c>
      <c r="AO21" s="533">
        <f t="shared" si="14"/>
        <v>-19690.135307889999</v>
      </c>
      <c r="AP21" s="533">
        <f t="shared" si="14"/>
        <v>-33333.577588999993</v>
      </c>
      <c r="AQ21" s="533">
        <f t="shared" si="12"/>
        <v>69.3</v>
      </c>
      <c r="AR21" s="536">
        <f t="shared" si="16"/>
        <v>-19763.309070110001</v>
      </c>
      <c r="AS21" s="536">
        <f t="shared" si="16"/>
        <v>-33429.569988089992</v>
      </c>
      <c r="AT21" s="533">
        <f>IF(AR21=0, "    ---- ", IF(ABS(ROUND(100/AR21*AS21-100,1))&lt;999,ROUND(100/AR21*AS21-100,1),IF(ROUND(100/AR21*AS21-100,1)&gt;999,999,-999)))</f>
        <v>69.099999999999994</v>
      </c>
    </row>
    <row r="22" spans="1:46" s="509" customFormat="1" ht="18.75" customHeight="1" x14ac:dyDescent="0.3">
      <c r="A22" s="531" t="s">
        <v>306</v>
      </c>
      <c r="B22" s="196"/>
      <c r="C22" s="447"/>
      <c r="D22" s="533"/>
      <c r="E22" s="196"/>
      <c r="F22" s="447"/>
      <c r="G22" s="533"/>
      <c r="H22" s="592"/>
      <c r="I22" s="592"/>
      <c r="J22" s="533"/>
      <c r="K22" s="661"/>
      <c r="L22" s="592"/>
      <c r="M22" s="533"/>
      <c r="N22" s="196"/>
      <c r="O22" s="447"/>
      <c r="P22" s="533"/>
      <c r="Q22" s="661"/>
      <c r="R22" s="592"/>
      <c r="S22" s="533"/>
      <c r="T22" s="196"/>
      <c r="U22" s="447"/>
      <c r="V22" s="533"/>
      <c r="W22" s="661"/>
      <c r="X22" s="592"/>
      <c r="Y22" s="533"/>
      <c r="Z22" s="661"/>
      <c r="AA22" s="592"/>
      <c r="AB22" s="533"/>
      <c r="AC22" s="661"/>
      <c r="AD22" s="592"/>
      <c r="AE22" s="533"/>
      <c r="AF22" s="661"/>
      <c r="AG22" s="592"/>
      <c r="AH22" s="533"/>
      <c r="AI22" s="661"/>
      <c r="AJ22" s="592"/>
      <c r="AK22" s="533"/>
      <c r="AL22" s="196"/>
      <c r="AM22" s="447"/>
      <c r="AN22" s="533"/>
      <c r="AO22" s="533"/>
      <c r="AP22" s="533"/>
      <c r="AQ22" s="533"/>
      <c r="AR22" s="533"/>
      <c r="AS22" s="533"/>
      <c r="AT22" s="533"/>
    </row>
    <row r="23" spans="1:46" s="509" customFormat="1" ht="18.75" customHeight="1" x14ac:dyDescent="0.3">
      <c r="A23" s="531" t="s">
        <v>307</v>
      </c>
      <c r="B23" s="618">
        <f>-28.052+1.084</f>
        <v>-26.968</v>
      </c>
      <c r="C23" s="338">
        <f>-22.09+4.164</f>
        <v>-17.926000000000002</v>
      </c>
      <c r="D23" s="533">
        <f t="shared" ref="D23:D29" si="17">IF(B23=0, "    ---- ", IF(ABS(ROUND(100/B23*C23-100,1))&lt;999,ROUND(100/B23*C23-100,1),IF(ROUND(100/B23*C23-100,1)&gt;999,999,-999)))</f>
        <v>-33.5</v>
      </c>
      <c r="E23" s="618">
        <v>236.08600000000001</v>
      </c>
      <c r="F23" s="338">
        <v>1024.72</v>
      </c>
      <c r="G23" s="533">
        <f t="shared" ref="G23:G29" si="18">IF(E23=0, "    ---- ", IF(ABS(ROUND(100/E23*F23-100,1))&lt;999,ROUND(100/E23*F23-100,1),IF(ROUND(100/E23*F23-100,1)&gt;999,999,-999)))</f>
        <v>334</v>
      </c>
      <c r="H23" s="338"/>
      <c r="I23" s="338">
        <v>-513.8405320999999</v>
      </c>
      <c r="J23" s="533" t="str">
        <f>IF(H23=0, "    ---- ", IF(ABS(ROUND(100/H23*I23-100,1))&lt;999,ROUND(100/H23*I23-100,1),IF(ROUND(100/H23*I23-100,1)&gt;999,999,-999)))</f>
        <v xml:space="preserve">    ---- </v>
      </c>
      <c r="K23" s="618">
        <v>-486.55599999999998</v>
      </c>
      <c r="L23" s="338">
        <v>-499.904</v>
      </c>
      <c r="M23" s="533">
        <f>IF(K23=0, "    ---- ", IF(ABS(ROUND(100/K23*L23-100,1))&lt;999,ROUND(100/K23*L23-100,1),IF(ROUND(100/K23*L23-100,1)&gt;999,999,-999)))</f>
        <v>2.7</v>
      </c>
      <c r="N23" s="618">
        <f>-178.5+15.3</f>
        <v>-163.19999999999999</v>
      </c>
      <c r="O23" s="338">
        <f>-112.3+22.4</f>
        <v>-89.9</v>
      </c>
      <c r="P23" s="533">
        <f t="shared" ref="P23:P31" si="19">IF(N23=0, "    ---- ", IF(ABS(ROUND(100/N23*O23-100,1))&lt;999,ROUND(100/N23*O23-100,1),IF(ROUND(100/N23*O23-100,1)&gt;999,999,-999)))</f>
        <v>-44.9</v>
      </c>
      <c r="Q23" s="618">
        <v>1.0167539999999999</v>
      </c>
      <c r="R23" s="338">
        <v>0.41096220999999999</v>
      </c>
      <c r="S23" s="533">
        <f>IF(Q23=0, "    ---- ", IF(ABS(ROUND(100/Q23*R23-100,1))&lt;999,ROUND(100/Q23*R23-100,1),IF(ROUND(100/Q23*R23-100,1)&gt;999,999,-999)))</f>
        <v>-59.6</v>
      </c>
      <c r="T23" s="618">
        <v>-3619.4776255100001</v>
      </c>
      <c r="U23" s="447">
        <v>-747.17215900999997</v>
      </c>
      <c r="V23" s="533">
        <f t="shared" ref="V23:V30" si="20">IF(T23=0, "    ---- ", IF(ABS(ROUND(100/T23*U23-100,1))&lt;999,ROUND(100/T23*U23-100,1),IF(ROUND(100/T23*U23-100,1)&gt;999,999,-999)))</f>
        <v>-79.400000000000006</v>
      </c>
      <c r="W23" s="618">
        <v>-9.6999999999999993</v>
      </c>
      <c r="X23" s="338">
        <v>-20</v>
      </c>
      <c r="Y23" s="533">
        <f t="shared" si="6"/>
        <v>106.2</v>
      </c>
      <c r="Z23" s="618">
        <v>-295</v>
      </c>
      <c r="AA23" s="338">
        <v>-313</v>
      </c>
      <c r="AB23" s="533">
        <f t="shared" ref="AB23:AB29" si="21">IF(Z23=0, "    ---- ", IF(ABS(ROUND(100/Z23*AA23-100,1))&lt;999,ROUND(100/Z23*AA23-100,1),IF(ROUND(100/Z23*AA23-100,1)&gt;999,999,-999)))</f>
        <v>6.1</v>
      </c>
      <c r="AC23" s="618">
        <v>-650</v>
      </c>
      <c r="AD23" s="338">
        <v>-87</v>
      </c>
      <c r="AE23" s="533">
        <f t="shared" ref="AE23:AE29" si="22">IF(AC23=0, "    ---- ", IF(ABS(ROUND(100/AC23*AD23-100,1))&lt;999,ROUND(100/AC23*AD23-100,1),IF(ROUND(100/AC23*AD23-100,1)&gt;999,999,-999)))</f>
        <v>-86.6</v>
      </c>
      <c r="AF23" s="618"/>
      <c r="AG23" s="338"/>
      <c r="AH23" s="533"/>
      <c r="AI23" s="618">
        <v>-387.47608656000006</v>
      </c>
      <c r="AJ23" s="338">
        <v>-166.31881845000001</v>
      </c>
      <c r="AK23" s="533">
        <f t="shared" ref="AK23:AK29" si="23">IF(AI23=0, "    ---- ", IF(ABS(ROUND(100/AI23*AJ23-100,1))&lt;999,ROUND(100/AI23*AJ23-100,1),IF(ROUND(100/AI23*AJ23-100,1)&gt;999,999,-999)))</f>
        <v>-57.1</v>
      </c>
      <c r="AL23" s="618">
        <v>-711</v>
      </c>
      <c r="AM23" s="338">
        <v>-1023</v>
      </c>
      <c r="AN23" s="533">
        <f t="shared" ref="AN23:AN29" si="24">IF(AL23=0, "    ---- ", IF(ABS(ROUND(100/AL23*AM23-100,1))&lt;999,ROUND(100/AL23*AM23-100,1),IF(ROUND(100/AL23*AM23-100,1)&gt;999,999,-999)))</f>
        <v>43.9</v>
      </c>
      <c r="AO23" s="533">
        <f t="shared" si="14"/>
        <v>-6113.2917120700004</v>
      </c>
      <c r="AP23" s="533">
        <f t="shared" si="14"/>
        <v>-2453.3415095599998</v>
      </c>
      <c r="AQ23" s="533">
        <f t="shared" si="12"/>
        <v>-59.9</v>
      </c>
      <c r="AR23" s="533"/>
      <c r="AS23" s="533"/>
      <c r="AT23" s="533"/>
    </row>
    <row r="24" spans="1:46" s="509" customFormat="1" ht="18.75" customHeight="1" x14ac:dyDescent="0.3">
      <c r="A24" s="531" t="s">
        <v>308</v>
      </c>
      <c r="B24" s="618"/>
      <c r="C24" s="338"/>
      <c r="D24" s="533"/>
      <c r="E24" s="618">
        <v>0.66600000000000004</v>
      </c>
      <c r="F24" s="338">
        <v>6.6280000000000001</v>
      </c>
      <c r="G24" s="533">
        <f t="shared" si="18"/>
        <v>895.2</v>
      </c>
      <c r="H24" s="338"/>
      <c r="I24" s="338"/>
      <c r="J24" s="533"/>
      <c r="K24" s="618"/>
      <c r="L24" s="338"/>
      <c r="M24" s="533"/>
      <c r="N24" s="618">
        <v>-1.3</v>
      </c>
      <c r="O24" s="338"/>
      <c r="P24" s="533">
        <f t="shared" si="19"/>
        <v>-100</v>
      </c>
      <c r="Q24" s="618"/>
      <c r="R24" s="338"/>
      <c r="S24" s="533"/>
      <c r="T24" s="618"/>
      <c r="U24" s="447"/>
      <c r="V24" s="533"/>
      <c r="W24" s="618"/>
      <c r="X24" s="338"/>
      <c r="Y24" s="533" t="str">
        <f t="shared" si="6"/>
        <v xml:space="preserve">    ---- </v>
      </c>
      <c r="Z24" s="618">
        <v>14</v>
      </c>
      <c r="AA24" s="338">
        <v>2</v>
      </c>
      <c r="AB24" s="533">
        <f t="shared" si="21"/>
        <v>-85.7</v>
      </c>
      <c r="AC24" s="618"/>
      <c r="AD24" s="338"/>
      <c r="AE24" s="533"/>
      <c r="AF24" s="618"/>
      <c r="AG24" s="338"/>
      <c r="AH24" s="533"/>
      <c r="AI24" s="618">
        <v>1.8899579100000001</v>
      </c>
      <c r="AJ24" s="338">
        <v>105.91202971999999</v>
      </c>
      <c r="AK24" s="533">
        <f t="shared" si="23"/>
        <v>999</v>
      </c>
      <c r="AL24" s="618">
        <v>29</v>
      </c>
      <c r="AM24" s="338">
        <v>42</v>
      </c>
      <c r="AN24" s="533">
        <f t="shared" si="24"/>
        <v>44.8</v>
      </c>
      <c r="AO24" s="533">
        <f t="shared" si="14"/>
        <v>44.255957909999999</v>
      </c>
      <c r="AP24" s="533">
        <f t="shared" si="14"/>
        <v>156.54002972000001</v>
      </c>
      <c r="AQ24" s="533">
        <f t="shared" si="12"/>
        <v>253.7</v>
      </c>
      <c r="AR24" s="533"/>
      <c r="AS24" s="533"/>
      <c r="AT24" s="533"/>
    </row>
    <row r="25" spans="1:46" s="509" customFormat="1" ht="18.75" customHeight="1" x14ac:dyDescent="0.3">
      <c r="A25" s="531" t="s">
        <v>309</v>
      </c>
      <c r="B25" s="618">
        <v>-13.138</v>
      </c>
      <c r="C25" s="338">
        <v>18.536999999999999</v>
      </c>
      <c r="D25" s="533">
        <f t="shared" si="17"/>
        <v>-241.1</v>
      </c>
      <c r="E25" s="618">
        <v>-2190.5349999999999</v>
      </c>
      <c r="F25" s="338">
        <v>5557.1989999999996</v>
      </c>
      <c r="G25" s="533">
        <f t="shared" si="18"/>
        <v>-353.7</v>
      </c>
      <c r="H25" s="338"/>
      <c r="I25" s="338">
        <v>-1.0000001639127731E-8</v>
      </c>
      <c r="J25" s="533" t="str">
        <f t="shared" ref="J25" si="25">IF(H25=0, "    ---- ", IF(ABS(ROUND(100/H25*I25-100,1))&lt;999,ROUND(100/H25*I25-100,1),IF(ROUND(100/H25*I25-100,1)&gt;999,999,-999)))</f>
        <v xml:space="preserve">    ---- </v>
      </c>
      <c r="K25" s="618">
        <v>-3.7639999999999998</v>
      </c>
      <c r="L25" s="338">
        <v>6.88</v>
      </c>
      <c r="M25" s="533">
        <f>IF(K25=0, "    ---- ", IF(ABS(ROUND(100/K25*L25-100,1))&lt;999,ROUND(100/K25*L25-100,1),IF(ROUND(100/K25*L25-100,1)&gt;999,999,-999)))</f>
        <v>-282.8</v>
      </c>
      <c r="N25" s="618">
        <v>-9.5</v>
      </c>
      <c r="O25" s="338">
        <v>21.2</v>
      </c>
      <c r="P25" s="533">
        <f t="shared" si="19"/>
        <v>-323.2</v>
      </c>
      <c r="Q25" s="618"/>
      <c r="R25" s="338"/>
      <c r="S25" s="533"/>
      <c r="T25" s="618">
        <v>-10874.720142</v>
      </c>
      <c r="U25" s="447">
        <v>24029.870881999999</v>
      </c>
      <c r="V25" s="533">
        <f t="shared" si="20"/>
        <v>-321</v>
      </c>
      <c r="W25" s="618">
        <v>-5.2</v>
      </c>
      <c r="X25" s="338">
        <v>9.8000000000000007</v>
      </c>
      <c r="Y25" s="533">
        <f t="shared" si="6"/>
        <v>-288.5</v>
      </c>
      <c r="Z25" s="618">
        <v>-539</v>
      </c>
      <c r="AA25" s="338">
        <v>904</v>
      </c>
      <c r="AB25" s="533">
        <f t="shared" si="21"/>
        <v>-267.7</v>
      </c>
      <c r="AC25" s="618">
        <v>-2866</v>
      </c>
      <c r="AD25" s="338">
        <v>6945</v>
      </c>
      <c r="AE25" s="533">
        <f t="shared" si="22"/>
        <v>-342.3</v>
      </c>
      <c r="AF25" s="618"/>
      <c r="AG25" s="338"/>
      <c r="AH25" s="533"/>
      <c r="AI25" s="618">
        <v>-402.39179236000001</v>
      </c>
      <c r="AJ25" s="338">
        <v>840.44291337000004</v>
      </c>
      <c r="AK25" s="533">
        <f t="shared" si="23"/>
        <v>-308.89999999999998</v>
      </c>
      <c r="AL25" s="618">
        <v>-2067</v>
      </c>
      <c r="AM25" s="338">
        <v>221</v>
      </c>
      <c r="AN25" s="533">
        <f t="shared" si="24"/>
        <v>-110.7</v>
      </c>
      <c r="AO25" s="533">
        <f t="shared" si="14"/>
        <v>-18971.248934359999</v>
      </c>
      <c r="AP25" s="533">
        <f t="shared" si="14"/>
        <v>38553.929795360003</v>
      </c>
      <c r="AQ25" s="533">
        <f t="shared" si="12"/>
        <v>-303.2</v>
      </c>
      <c r="AR25" s="533"/>
      <c r="AS25" s="533"/>
      <c r="AT25" s="533"/>
    </row>
    <row r="26" spans="1:46" s="509" customFormat="1" ht="18.75" customHeight="1" x14ac:dyDescent="0.3">
      <c r="A26" s="531" t="s">
        <v>310</v>
      </c>
      <c r="B26" s="618"/>
      <c r="C26" s="338"/>
      <c r="D26" s="533"/>
      <c r="E26" s="618">
        <v>-4.0010000000000003</v>
      </c>
      <c r="F26" s="338">
        <v>-3.3050000000000002</v>
      </c>
      <c r="G26" s="533">
        <f t="shared" si="18"/>
        <v>-17.399999999999999</v>
      </c>
      <c r="H26" s="338"/>
      <c r="I26" s="338"/>
      <c r="J26" s="533"/>
      <c r="K26" s="618"/>
      <c r="L26" s="338"/>
      <c r="M26" s="533"/>
      <c r="N26" s="618">
        <v>1.6</v>
      </c>
      <c r="O26" s="338">
        <v>1.6</v>
      </c>
      <c r="P26" s="533">
        <f>IF(N26=0, "    ---- ", IF(ABS(ROUND(100/N26*O26-100,1))&lt;999,ROUND(100/N26*O26-100,1),IF(ROUND(100/N26*O26-100,1)&gt;999,999,-999)))</f>
        <v>0</v>
      </c>
      <c r="Q26" s="618"/>
      <c r="R26" s="338"/>
      <c r="S26" s="533"/>
      <c r="T26" s="618">
        <v>-61.361365999999997</v>
      </c>
      <c r="U26" s="447">
        <v>-61.397748999999997</v>
      </c>
      <c r="V26" s="533">
        <f t="shared" si="20"/>
        <v>0.1</v>
      </c>
      <c r="W26" s="618">
        <v>-0.1</v>
      </c>
      <c r="X26" s="338">
        <v>-0.1</v>
      </c>
      <c r="Y26" s="533">
        <f t="shared" si="6"/>
        <v>0</v>
      </c>
      <c r="Z26" s="618">
        <v>-1</v>
      </c>
      <c r="AA26" s="338">
        <v>-0.31000000000000005</v>
      </c>
      <c r="AB26" s="533">
        <f t="shared" si="21"/>
        <v>-69</v>
      </c>
      <c r="AC26" s="618">
        <v>-16</v>
      </c>
      <c r="AD26" s="338">
        <v>-8</v>
      </c>
      <c r="AE26" s="533">
        <f t="shared" si="22"/>
        <v>-50</v>
      </c>
      <c r="AF26" s="618"/>
      <c r="AG26" s="338"/>
      <c r="AH26" s="533"/>
      <c r="AI26" s="618">
        <v>-0.76754699999999998</v>
      </c>
      <c r="AJ26" s="338">
        <v>-1.112339</v>
      </c>
      <c r="AK26" s="533">
        <f t="shared" si="23"/>
        <v>44.9</v>
      </c>
      <c r="AL26" s="618"/>
      <c r="AM26" s="338"/>
      <c r="AN26" s="533"/>
      <c r="AO26" s="533">
        <f t="shared" si="14"/>
        <v>-81.629913000000002</v>
      </c>
      <c r="AP26" s="533">
        <f t="shared" si="14"/>
        <v>-72.625088000000005</v>
      </c>
      <c r="AQ26" s="533">
        <f t="shared" si="12"/>
        <v>-11</v>
      </c>
      <c r="AR26" s="533"/>
      <c r="AS26" s="533"/>
      <c r="AT26" s="533"/>
    </row>
    <row r="27" spans="1:46" s="509" customFormat="1" ht="18.75" customHeight="1" x14ac:dyDescent="0.3">
      <c r="A27" s="531" t="s">
        <v>311</v>
      </c>
      <c r="B27" s="618">
        <v>-0.83799999999999997</v>
      </c>
      <c r="C27" s="338">
        <v>-0.27</v>
      </c>
      <c r="D27" s="533">
        <f t="shared" si="17"/>
        <v>-67.8</v>
      </c>
      <c r="E27" s="618">
        <v>-237.78899999999999</v>
      </c>
      <c r="F27" s="338">
        <v>-326.20699999999999</v>
      </c>
      <c r="G27" s="533">
        <f t="shared" si="18"/>
        <v>37.200000000000003</v>
      </c>
      <c r="H27" s="338"/>
      <c r="I27" s="338"/>
      <c r="J27" s="533"/>
      <c r="K27" s="618">
        <v>-1.425</v>
      </c>
      <c r="L27" s="338">
        <v>-1.0960000000000001</v>
      </c>
      <c r="M27" s="533">
        <f>IF(K27=0, "    ---- ", IF(ABS(ROUND(100/K27*L27-100,1))&lt;999,ROUND(100/K27*L27-100,1),IF(ROUND(100/K27*L27-100,1)&gt;999,999,-999)))</f>
        <v>-23.1</v>
      </c>
      <c r="N27" s="618"/>
      <c r="O27" s="338"/>
      <c r="P27" s="533"/>
      <c r="Q27" s="618"/>
      <c r="R27" s="338"/>
      <c r="S27" s="533"/>
      <c r="T27" s="618"/>
      <c r="U27" s="338"/>
      <c r="V27" s="533"/>
      <c r="W27" s="618"/>
      <c r="X27" s="338"/>
      <c r="Y27" s="533"/>
      <c r="Z27" s="618"/>
      <c r="AA27" s="338"/>
      <c r="AB27" s="533"/>
      <c r="AC27" s="618">
        <v>-1</v>
      </c>
      <c r="AD27" s="338">
        <v>-3</v>
      </c>
      <c r="AE27" s="533">
        <f t="shared" si="22"/>
        <v>200</v>
      </c>
      <c r="AF27" s="618"/>
      <c r="AG27" s="338"/>
      <c r="AH27" s="533"/>
      <c r="AI27" s="618"/>
      <c r="AJ27" s="338"/>
      <c r="AK27" s="533"/>
      <c r="AL27" s="618">
        <v>-16</v>
      </c>
      <c r="AM27" s="338">
        <v>-133</v>
      </c>
      <c r="AN27" s="533">
        <f t="shared" si="24"/>
        <v>731.3</v>
      </c>
      <c r="AO27" s="533">
        <f t="shared" si="14"/>
        <v>-257.05200000000002</v>
      </c>
      <c r="AP27" s="533">
        <f t="shared" si="14"/>
        <v>-463.57299999999998</v>
      </c>
      <c r="AQ27" s="533">
        <f t="shared" si="12"/>
        <v>80.3</v>
      </c>
      <c r="AR27" s="533"/>
      <c r="AS27" s="533"/>
      <c r="AT27" s="533"/>
    </row>
    <row r="28" spans="1:46" s="509" customFormat="1" ht="18.75" customHeight="1" x14ac:dyDescent="0.3">
      <c r="A28" s="531" t="s">
        <v>312</v>
      </c>
      <c r="B28" s="618"/>
      <c r="C28" s="338"/>
      <c r="D28" s="533"/>
      <c r="E28" s="618">
        <v>2.8980000000000001</v>
      </c>
      <c r="F28" s="338">
        <v>2.931</v>
      </c>
      <c r="G28" s="533">
        <f t="shared" si="18"/>
        <v>1.1000000000000001</v>
      </c>
      <c r="H28" s="338"/>
      <c r="I28" s="338"/>
      <c r="J28" s="533"/>
      <c r="K28" s="618"/>
      <c r="L28" s="338"/>
      <c r="M28" s="533"/>
      <c r="N28" s="618"/>
      <c r="O28" s="338"/>
      <c r="P28" s="533"/>
      <c r="Q28" s="618"/>
      <c r="R28" s="338"/>
      <c r="S28" s="533"/>
      <c r="T28" s="618"/>
      <c r="U28" s="447"/>
      <c r="V28" s="533"/>
      <c r="W28" s="618"/>
      <c r="X28" s="338"/>
      <c r="Y28" s="533"/>
      <c r="Z28" s="618">
        <v>0</v>
      </c>
      <c r="AA28" s="338">
        <v>1</v>
      </c>
      <c r="AB28" s="533" t="str">
        <f t="shared" si="21"/>
        <v xml:space="preserve">    ---- </v>
      </c>
      <c r="AC28" s="618"/>
      <c r="AD28" s="338"/>
      <c r="AE28" s="533"/>
      <c r="AF28" s="618"/>
      <c r="AG28" s="338"/>
      <c r="AH28" s="533"/>
      <c r="AI28" s="618"/>
      <c r="AJ28" s="338"/>
      <c r="AK28" s="533"/>
      <c r="AL28" s="618">
        <v>-3.3</v>
      </c>
      <c r="AM28" s="338">
        <v>-5</v>
      </c>
      <c r="AN28" s="533">
        <f t="shared" si="24"/>
        <v>51.5</v>
      </c>
      <c r="AO28" s="533">
        <f t="shared" si="14"/>
        <v>-0.40199999999999969</v>
      </c>
      <c r="AP28" s="533">
        <f t="shared" si="14"/>
        <v>-1.069</v>
      </c>
      <c r="AQ28" s="533">
        <f t="shared" si="12"/>
        <v>165.9</v>
      </c>
      <c r="AR28" s="533"/>
      <c r="AS28" s="533"/>
      <c r="AT28" s="533"/>
    </row>
    <row r="29" spans="1:46" s="509" customFormat="1" ht="18.75" customHeight="1" x14ac:dyDescent="0.3">
      <c r="A29" s="531" t="s">
        <v>313</v>
      </c>
      <c r="B29" s="618">
        <f>SUM(B23:B28)</f>
        <v>-40.944000000000003</v>
      </c>
      <c r="C29" s="338">
        <f>SUM(C23:C28)</f>
        <v>0.34099999999999708</v>
      </c>
      <c r="D29" s="533">
        <f t="shared" si="17"/>
        <v>-100.8</v>
      </c>
      <c r="E29" s="618">
        <f>SUM(E23:E28)</f>
        <v>-2192.6749999999997</v>
      </c>
      <c r="F29" s="338">
        <f>SUM(F23:F28)</f>
        <v>6261.9659999999985</v>
      </c>
      <c r="G29" s="533">
        <f t="shared" si="18"/>
        <v>-385.6</v>
      </c>
      <c r="H29" s="338"/>
      <c r="I29" s="338">
        <v>-513.84053210999991</v>
      </c>
      <c r="J29" s="533" t="str">
        <f>IF(H29=0, "    ---- ", IF(ABS(ROUND(100/H29*I29-100,1))&lt;999,ROUND(100/H29*I29-100,1),IF(ROUND(100/H29*I29-100,1)&gt;999,999,-999)))</f>
        <v xml:space="preserve">    ---- </v>
      </c>
      <c r="K29" s="618">
        <f>SUM(K23:K28)</f>
        <v>-491.745</v>
      </c>
      <c r="L29" s="338">
        <f>SUM(L23:L28)</f>
        <v>-494.12</v>
      </c>
      <c r="M29" s="533">
        <f>IF(K29=0, "    ---- ", IF(ABS(ROUND(100/K29*L29-100,1))&lt;999,ROUND(100/K29*L29-100,1),IF(ROUND(100/K29*L29-100,1)&gt;999,999,-999)))</f>
        <v>0.5</v>
      </c>
      <c r="N29" s="618">
        <f>SUM(N23:N28)</f>
        <v>-172.4</v>
      </c>
      <c r="O29" s="338">
        <f>SUM(O23:O28)</f>
        <v>-67.100000000000009</v>
      </c>
      <c r="P29" s="533">
        <f t="shared" si="19"/>
        <v>-61.1</v>
      </c>
      <c r="Q29" s="618">
        <f>SUM(Q23:Q28)</f>
        <v>1.0167539999999999</v>
      </c>
      <c r="R29" s="338">
        <f>SUM(R23:R28)</f>
        <v>0.41096220999999999</v>
      </c>
      <c r="S29" s="533">
        <f>IF(Q29=0, "    ---- ", IF(ABS(ROUND(100/Q29*R29-100,1))&lt;999,ROUND(100/Q29*R29-100,1),IF(ROUND(100/Q29*R29-100,1)&gt;999,999,-999)))</f>
        <v>-59.6</v>
      </c>
      <c r="T29" s="618">
        <f>SUM(T23:T28)</f>
        <v>-14555.55913351</v>
      </c>
      <c r="U29" s="338">
        <v>23221.300973990001</v>
      </c>
      <c r="V29" s="533">
        <f t="shared" si="20"/>
        <v>-259.5</v>
      </c>
      <c r="W29" s="618">
        <f>SUM(W23:W28)</f>
        <v>-14.999999999999998</v>
      </c>
      <c r="X29" s="338">
        <f>SUM(X23:X28)</f>
        <v>-10.299999999999999</v>
      </c>
      <c r="Y29" s="533">
        <f t="shared" si="6"/>
        <v>-31.3</v>
      </c>
      <c r="Z29" s="618">
        <f>SUM(Z23:Z28)</f>
        <v>-821</v>
      </c>
      <c r="AA29" s="338">
        <f>SUM(AA23:AA28)</f>
        <v>593.69000000000005</v>
      </c>
      <c r="AB29" s="533">
        <f t="shared" si="21"/>
        <v>-172.3</v>
      </c>
      <c r="AC29" s="618">
        <f>SUM(AC23:AC28)</f>
        <v>-3533</v>
      </c>
      <c r="AD29" s="338">
        <f>SUM(AD23:AD28)</f>
        <v>6847</v>
      </c>
      <c r="AE29" s="533">
        <f t="shared" si="22"/>
        <v>-293.8</v>
      </c>
      <c r="AF29" s="618"/>
      <c r="AG29" s="338"/>
      <c r="AH29" s="533"/>
      <c r="AI29" s="618">
        <v>-788.74546801000008</v>
      </c>
      <c r="AJ29" s="338">
        <f>SUM(AJ23:AJ28)</f>
        <v>778.92378564000001</v>
      </c>
      <c r="AK29" s="533">
        <f t="shared" si="23"/>
        <v>-198.8</v>
      </c>
      <c r="AL29" s="618">
        <f>SUM(AL23:AL28)</f>
        <v>-2768.3</v>
      </c>
      <c r="AM29" s="338">
        <f>SUM(AM23:AM28)</f>
        <v>-898</v>
      </c>
      <c r="AN29" s="533">
        <f t="shared" si="24"/>
        <v>-67.599999999999994</v>
      </c>
      <c r="AO29" s="533">
        <f t="shared" si="14"/>
        <v>-25379.36860152</v>
      </c>
      <c r="AP29" s="533">
        <f t="shared" si="14"/>
        <v>35719.861227519999</v>
      </c>
      <c r="AQ29" s="533">
        <f t="shared" si="12"/>
        <v>-240.7</v>
      </c>
      <c r="AR29" s="533"/>
      <c r="AS29" s="533"/>
      <c r="AT29" s="533"/>
    </row>
    <row r="30" spans="1:46" s="509" customFormat="1" ht="18.75" customHeight="1" x14ac:dyDescent="0.3">
      <c r="A30" s="531" t="s">
        <v>314</v>
      </c>
      <c r="B30" s="618">
        <v>-1395.953</v>
      </c>
      <c r="C30" s="338">
        <v>2207.2060000000001</v>
      </c>
      <c r="D30" s="533">
        <f>IF(B30=0, "    ---- ", IF(ABS(ROUND(100/B30*C30-100,1))&lt;999,ROUND(100/B30*C30-100,1),IF(ROUND(100/B30*C30-100,1)&gt;999,999,-999)))</f>
        <v>-258.10000000000002</v>
      </c>
      <c r="E30" s="618">
        <v>-7787.4260000000004</v>
      </c>
      <c r="F30" s="338">
        <v>14378.741</v>
      </c>
      <c r="G30" s="533">
        <f>IF(E30=0, "    ---- ", IF(ABS(ROUND(100/E30*F30-100,1))&lt;999,ROUND(100/E30*F30-100,1),IF(ROUND(100/E30*F30-100,1)&gt;999,999,-999)))</f>
        <v>-284.60000000000002</v>
      </c>
      <c r="H30" s="338"/>
      <c r="I30" s="338"/>
      <c r="J30" s="533"/>
      <c r="K30" s="618">
        <v>-303.95600000000002</v>
      </c>
      <c r="L30" s="338">
        <v>402.18400000000003</v>
      </c>
      <c r="M30" s="533">
        <f>IF(K30=0, "    ---- ", IF(ABS(ROUND(100/K30*L30-100,1))&lt;999,ROUND(100/K30*L30-100,1),IF(ROUND(100/K30*L30-100,1)&gt;999,999,-999)))</f>
        <v>-232.3</v>
      </c>
      <c r="N30" s="618">
        <v>-2779.3</v>
      </c>
      <c r="O30" s="338">
        <v>3924.6</v>
      </c>
      <c r="P30" s="533">
        <f t="shared" si="19"/>
        <v>-241.2</v>
      </c>
      <c r="Q30" s="618"/>
      <c r="R30" s="338"/>
      <c r="S30" s="533"/>
      <c r="T30" s="618">
        <v>-3.5343149999999999</v>
      </c>
      <c r="U30" s="447">
        <v>513.62107400000002</v>
      </c>
      <c r="V30" s="533">
        <f t="shared" si="20"/>
        <v>-999</v>
      </c>
      <c r="W30" s="618">
        <v>-557.1</v>
      </c>
      <c r="X30" s="338">
        <v>350.6</v>
      </c>
      <c r="Y30" s="533">
        <f t="shared" si="6"/>
        <v>-162.9</v>
      </c>
      <c r="Z30" s="618">
        <v>-5932</v>
      </c>
      <c r="AA30" s="338">
        <v>7831.91</v>
      </c>
      <c r="AB30" s="533">
        <f>IF(Z30=0, "    ---- ", IF(ABS(ROUND(100/Z30*AA30-100,1))&lt;999,ROUND(100/Z30*AA30-100,1),IF(ROUND(100/Z30*AA30-100,1)&gt;999,999,-999)))</f>
        <v>-232</v>
      </c>
      <c r="AC30" s="618"/>
      <c r="AD30" s="338"/>
      <c r="AE30" s="533"/>
      <c r="AF30" s="618">
        <v>-160.34534092000001</v>
      </c>
      <c r="AG30" s="338">
        <v>271.55769846999999</v>
      </c>
      <c r="AH30" s="533">
        <f>IF(AF30=0, "    ---- ", IF(ABS(ROUND(100/AF30*AG30-100,1))&lt;999,ROUND(100/AF30*AG30-100,1),IF(ROUND(100/AF30*AG30-100,1)&gt;999,999,-999)))</f>
        <v>-269.39999999999998</v>
      </c>
      <c r="AI30" s="618">
        <v>-3173.6325099400005</v>
      </c>
      <c r="AJ30" s="338">
        <v>4387.8757333200001</v>
      </c>
      <c r="AK30" s="533">
        <f>IF(AI30=0, "    ---- ", IF(ABS(ROUND(100/AI30*AJ30-100,1))&lt;999,ROUND(100/AI30*AJ30-100,1),IF(ROUND(100/AI30*AJ30-100,1)&gt;999,999,-999)))</f>
        <v>-238.3</v>
      </c>
      <c r="AL30" s="618">
        <v>-6491</v>
      </c>
      <c r="AM30" s="338">
        <v>9354</v>
      </c>
      <c r="AN30" s="533">
        <f>IF(AL30=0, "    ---- ", IF(ABS(ROUND(100/AL30*AM30-100,1))&lt;999,ROUND(100/AL30*AM30-100,1),IF(ROUND(100/AL30*AM30-100,1)&gt;999,999,-999)))</f>
        <v>-244.1</v>
      </c>
      <c r="AO30" s="533">
        <f t="shared" si="14"/>
        <v>-28423.901824940007</v>
      </c>
      <c r="AP30" s="533">
        <f t="shared" si="14"/>
        <v>43350.737807319994</v>
      </c>
      <c r="AQ30" s="533">
        <f t="shared" si="12"/>
        <v>-252.5</v>
      </c>
      <c r="AR30" s="533"/>
      <c r="AS30" s="533"/>
      <c r="AT30" s="533"/>
    </row>
    <row r="31" spans="1:46" s="509" customFormat="1" ht="18.75" customHeight="1" x14ac:dyDescent="0.3">
      <c r="A31" s="531" t="s">
        <v>315</v>
      </c>
      <c r="B31" s="618"/>
      <c r="C31" s="338"/>
      <c r="D31" s="533"/>
      <c r="E31" s="618">
        <v>-470.07100000000003</v>
      </c>
      <c r="F31" s="338">
        <v>-31.954000000000001</v>
      </c>
      <c r="G31" s="533">
        <f>IF(E31=0, "    ---- ", IF(ABS(ROUND(100/E31*F31-100,1))&lt;999,ROUND(100/E31*F31-100,1),IF(ROUND(100/E31*F31-100,1)&gt;999,999,-999)))</f>
        <v>-93.2</v>
      </c>
      <c r="H31" s="338"/>
      <c r="I31" s="338"/>
      <c r="J31" s="533"/>
      <c r="K31" s="618"/>
      <c r="L31" s="338"/>
      <c r="M31" s="533"/>
      <c r="N31" s="618">
        <v>-20.3</v>
      </c>
      <c r="O31" s="338">
        <v>41.5</v>
      </c>
      <c r="P31" s="533">
        <f t="shared" si="19"/>
        <v>-304.39999999999998</v>
      </c>
      <c r="Q31" s="618"/>
      <c r="R31" s="338"/>
      <c r="S31" s="533"/>
      <c r="T31" s="618">
        <v>-2169.1382319999998</v>
      </c>
      <c r="U31" s="447">
        <v>-100</v>
      </c>
      <c r="V31" s="533">
        <f>IF(T31=0, "    ---- ", IF(ABS(ROUND(100/T31*U31-100,1))&lt;999,ROUND(100/T31*U31-100,1),IF(ROUND(100/T31*U31-100,1)&gt;999,999,-999)))</f>
        <v>-95.4</v>
      </c>
      <c r="W31" s="618">
        <v>-4</v>
      </c>
      <c r="X31" s="338">
        <v>-2</v>
      </c>
      <c r="Y31" s="533">
        <f t="shared" si="6"/>
        <v>-50</v>
      </c>
      <c r="Z31" s="618">
        <v>-8</v>
      </c>
      <c r="AA31" s="338">
        <v>-106.79</v>
      </c>
      <c r="AB31" s="533">
        <f>IF(Z31=0, "    ---- ", IF(ABS(ROUND(100/Z31*AA31-100,1))&lt;999,ROUND(100/Z31*AA31-100,1),IF(ROUND(100/Z31*AA31-100,1)&gt;999,999,-999)))</f>
        <v>999</v>
      </c>
      <c r="AC31" s="618">
        <v>-50</v>
      </c>
      <c r="AD31" s="338">
        <v>-2330</v>
      </c>
      <c r="AE31" s="533">
        <f>IF(AC31=0, "    ---- ", IF(ABS(ROUND(100/AC31*AD31-100,1))&lt;999,ROUND(100/AC31*AD31-100,1),IF(ROUND(100/AC31*AD31-100,1)&gt;999,999,-999)))</f>
        <v>999</v>
      </c>
      <c r="AF31" s="618"/>
      <c r="AG31" s="338"/>
      <c r="AH31" s="533"/>
      <c r="AI31" s="618">
        <v>-8.28133856</v>
      </c>
      <c r="AJ31" s="338">
        <v>-11.41764601</v>
      </c>
      <c r="AK31" s="533">
        <f>IF(AI31=0, "    ---- ", IF(ABS(ROUND(100/AI31*AJ31-100,1))&lt;999,ROUND(100/AI31*AJ31-100,1),IF(ROUND(100/AI31*AJ31-100,1)&gt;999,999,-999)))</f>
        <v>37.9</v>
      </c>
      <c r="AL31" s="618">
        <v>-136</v>
      </c>
      <c r="AM31" s="338">
        <v>-389</v>
      </c>
      <c r="AN31" s="533">
        <f>IF(AL31=0, "    ---- ", IF(ABS(ROUND(100/AL31*AM31-100,1))&lt;999,ROUND(100/AL31*AM31-100,1),IF(ROUND(100/AL31*AM31-100,1)&gt;999,999,-999)))</f>
        <v>186</v>
      </c>
      <c r="AO31" s="533">
        <f t="shared" si="14"/>
        <v>-2865.7905705600001</v>
      </c>
      <c r="AP31" s="533">
        <f t="shared" si="14"/>
        <v>-2929.6616460100004</v>
      </c>
      <c r="AQ31" s="533">
        <f t="shared" si="12"/>
        <v>2.2000000000000002</v>
      </c>
      <c r="AR31" s="533"/>
      <c r="AS31" s="533"/>
      <c r="AT31" s="533"/>
    </row>
    <row r="32" spans="1:46" s="509" customFormat="1" ht="18.75" customHeight="1" x14ac:dyDescent="0.3">
      <c r="A32" s="531" t="s">
        <v>316</v>
      </c>
      <c r="B32" s="618">
        <v>-51.517000000000003</v>
      </c>
      <c r="C32" s="338">
        <v>-68.468999999999994</v>
      </c>
      <c r="D32" s="533">
        <f>IF(B32=0, "    ---- ", IF(ABS(ROUND(100/B32*C32-100,1))&lt;999,ROUND(100/B32*C32-100,1),IF(ROUND(100/B32*C32-100,1)&gt;999,999,-999)))</f>
        <v>32.9</v>
      </c>
      <c r="E32" s="618">
        <v>-302.44799999999998</v>
      </c>
      <c r="F32" s="338">
        <v>-258.29399999999998</v>
      </c>
      <c r="G32" s="533">
        <f>IF(E32=0, "    ---- ", IF(ABS(ROUND(100/E32*F32-100,1))&lt;999,ROUND(100/E32*F32-100,1),IF(ROUND(100/E32*F32-100,1)&gt;999,999,-999)))</f>
        <v>-14.6</v>
      </c>
      <c r="H32" s="338"/>
      <c r="I32" s="338">
        <v>-220.20277693999998</v>
      </c>
      <c r="J32" s="533" t="str">
        <f>IF(H32=0, "    ---- ", IF(ABS(ROUND(100/H32*I32-100,1))&lt;999,ROUND(100/H32*I32-100,1),IF(ROUND(100/H32*I32-100,1)&gt;999,999,-999)))</f>
        <v xml:space="preserve">    ---- </v>
      </c>
      <c r="K32" s="618">
        <v>-66.055000000000007</v>
      </c>
      <c r="L32" s="338">
        <v>-68.275000000000006</v>
      </c>
      <c r="M32" s="533">
        <f>IF(K32=0, "    ---- ", IF(ABS(ROUND(100/K32*L32-100,1))&lt;999,ROUND(100/K32*L32-100,1),IF(ROUND(100/K32*L32-100,1)&gt;999,999,-999)))</f>
        <v>3.4</v>
      </c>
      <c r="N32" s="618">
        <v>-63</v>
      </c>
      <c r="O32" s="338">
        <v>-74.5</v>
      </c>
      <c r="P32" s="533">
        <f>IF(N32=0, "    ---- ", IF(ABS(ROUND(100/N32*O32-100,1))&lt;999,ROUND(100/N32*O32-100,1),IF(ROUND(100/N32*O32-100,1)&gt;999,999,-999)))</f>
        <v>18.3</v>
      </c>
      <c r="Q32" s="618">
        <v>-2.93510647</v>
      </c>
      <c r="R32" s="338">
        <v>-2.8238289000000001</v>
      </c>
      <c r="S32" s="533">
        <f>IF(Q32=0, "    ---- ", IF(ABS(ROUND(100/Q32*R32-100,1))&lt;999,ROUND(100/Q32*R32-100,1),IF(ROUND(100/Q32*R32-100,1)&gt;999,999,-999)))</f>
        <v>-3.8</v>
      </c>
      <c r="T32" s="618">
        <v>-267.38172422000002</v>
      </c>
      <c r="U32" s="447">
        <v>-293.22982242</v>
      </c>
      <c r="V32" s="533">
        <f>IF(T32=0, "    ---- ", IF(ABS(ROUND(100/T32*U32-100,1))&lt;999,ROUND(100/T32*U32-100,1),IF(ROUND(100/T32*U32-100,1)&gt;999,999,-999)))</f>
        <v>9.6999999999999993</v>
      </c>
      <c r="W32" s="618">
        <v>-17.100000000000001</v>
      </c>
      <c r="X32" s="338">
        <v>-18.8</v>
      </c>
      <c r="Y32" s="533">
        <f>IF(W32=0, "    ---- ", IF(ABS(ROUND(100/W32*X32-100,1))&lt;999,ROUND(100/W32*X32-100,1),IF(ROUND(100/W32*X32-100,1)&gt;999,999,-999)))</f>
        <v>9.9</v>
      </c>
      <c r="Z32" s="618">
        <v>-161.39999999999998</v>
      </c>
      <c r="AA32" s="338">
        <v>-164.71</v>
      </c>
      <c r="AB32" s="533">
        <f>IF(Z32=0, "    ---- ", IF(ABS(ROUND(100/Z32*AA32-100,1))&lt;999,ROUND(100/Z32*AA32-100,1),IF(ROUND(100/Z32*AA32-100,1)&gt;999,999,-999)))</f>
        <v>2.1</v>
      </c>
      <c r="AC32" s="618"/>
      <c r="AD32" s="338"/>
      <c r="AE32" s="533"/>
      <c r="AF32" s="620">
        <v>1</v>
      </c>
      <c r="AG32" s="338">
        <v>0.65153259999999902</v>
      </c>
      <c r="AH32" s="533">
        <f>IF(AF32=0, "    ---- ", IF(ABS(ROUND(100/AF32*AG32-100,1))&lt;999,ROUND(100/AF32*AG32-100,1),IF(ROUND(100/AF32*AG32-100,1)&gt;999,999,-999)))</f>
        <v>-34.799999999999997</v>
      </c>
      <c r="AI32" s="618">
        <v>-269.55611616160019</v>
      </c>
      <c r="AJ32" s="338">
        <v>-146.93143135209999</v>
      </c>
      <c r="AK32" s="533">
        <f>IF(AI32=0, "    ---- ", IF(ABS(ROUND(100/AI32*AJ32-100,1))&lt;999,ROUND(100/AI32*AJ32-100,1),IF(ROUND(100/AI32*AJ32-100,1)&gt;999,999,-999)))</f>
        <v>-45.5</v>
      </c>
      <c r="AL32" s="618">
        <v>-343.4</v>
      </c>
      <c r="AM32" s="338">
        <v>-367.4</v>
      </c>
      <c r="AN32" s="533">
        <f>IF(AL32=0, "    ---- ", IF(ABS(ROUND(100/AL32*AM32-100,1))&lt;999,ROUND(100/AL32*AM32-100,1),IF(ROUND(100/AL32*AM32-100,1)&gt;999,999,-999)))</f>
        <v>7</v>
      </c>
      <c r="AO32" s="533">
        <f t="shared" si="14"/>
        <v>-1541.8578403816</v>
      </c>
      <c r="AP32" s="533">
        <f t="shared" si="14"/>
        <v>-1680.8120307120998</v>
      </c>
      <c r="AQ32" s="533">
        <f t="shared" si="12"/>
        <v>9</v>
      </c>
      <c r="AR32" s="533"/>
      <c r="AS32" s="533"/>
      <c r="AT32" s="533"/>
    </row>
    <row r="33" spans="1:46" s="544" customFormat="1" ht="18.75" customHeight="1" x14ac:dyDescent="0.3">
      <c r="A33" s="531" t="s">
        <v>317</v>
      </c>
      <c r="B33" s="196"/>
      <c r="C33" s="447"/>
      <c r="D33" s="536"/>
      <c r="E33" s="196">
        <v>-14.997</v>
      </c>
      <c r="F33" s="447">
        <v>-1.339</v>
      </c>
      <c r="G33" s="536">
        <f>IF(E33=0, "    ---- ", IF(ABS(ROUND(100/E33*F33-100,1))&lt;999,ROUND(100/E33*F33-100,1),IF(ROUND(100/E33*F33-100,1)&gt;999,999,-999)))</f>
        <v>-91.1</v>
      </c>
      <c r="H33" s="447"/>
      <c r="I33" s="447">
        <v>-3.5433498599999997</v>
      </c>
      <c r="J33" s="533" t="str">
        <f>IF(H33=0, "    ---- ", IF(ABS(ROUND(100/H33*I33-100,1))&lt;999,ROUND(100/H33*I33-100,1),IF(ROUND(100/H33*I33-100,1)&gt;999,999,-999)))</f>
        <v xml:space="preserve">    ---- </v>
      </c>
      <c r="K33" s="196"/>
      <c r="L33" s="447"/>
      <c r="M33" s="536"/>
      <c r="N33" s="196"/>
      <c r="O33" s="447"/>
      <c r="P33" s="536"/>
      <c r="Q33" s="196"/>
      <c r="R33" s="447"/>
      <c r="S33" s="536"/>
      <c r="T33" s="196">
        <v>-276.45621</v>
      </c>
      <c r="U33" s="447">
        <v>-295.53757899999999</v>
      </c>
      <c r="V33" s="536">
        <f>IF(T33=0, "    ---- ", IF(ABS(ROUND(100/T33*U33-100,1))&lt;999,ROUND(100/T33*U33-100,1),IF(ROUND(100/T33*U33-100,1)&gt;999,999,-999)))</f>
        <v>6.9</v>
      </c>
      <c r="W33" s="196">
        <v>-1.5</v>
      </c>
      <c r="X33" s="447">
        <v>-3.2</v>
      </c>
      <c r="Y33" s="536">
        <f>IF(W33=0, "    ---- ", IF(ABS(ROUND(100/W33*X33-100,1))&lt;999,ROUND(100/W33*X33-100,1),IF(ROUND(100/W33*X33-100,1)&gt;999,999,-999)))</f>
        <v>113.3</v>
      </c>
      <c r="Z33" s="196">
        <v>-6.4</v>
      </c>
      <c r="AA33" s="447">
        <v>-10.10753055</v>
      </c>
      <c r="AB33" s="536">
        <f>IF(Z33=0, "    ---- ", IF(ABS(ROUND(100/Z33*AA33-100,1))&lt;999,ROUND(100/Z33*AA33-100,1),IF(ROUND(100/Z33*AA33-100,1)&gt;999,999,-999)))</f>
        <v>57.9</v>
      </c>
      <c r="AC33" s="196">
        <v>-41</v>
      </c>
      <c r="AD33" s="447">
        <v>-52</v>
      </c>
      <c r="AE33" s="533">
        <f>IF(AC33=0, "    ---- ", IF(ABS(ROUND(100/AC33*AD33-100,1))&lt;999,ROUND(100/AC33*AD33-100,1),IF(ROUND(100/AC33*AD33-100,1)&gt;999,999,-999)))</f>
        <v>26.8</v>
      </c>
      <c r="AF33" s="196"/>
      <c r="AG33" s="447"/>
      <c r="AH33" s="536"/>
      <c r="AI33" s="196">
        <v>-2.0629559</v>
      </c>
      <c r="AJ33" s="447">
        <v>-0.19524872999999998</v>
      </c>
      <c r="AK33" s="536">
        <f>IF(AI33=0, "    ---- ", IF(ABS(ROUND(100/AI33*AJ33-100,1))&lt;999,ROUND(100/AI33*AJ33-100,1),IF(ROUND(100/AI33*AJ33-100,1)&gt;999,999,-999)))</f>
        <v>-90.5</v>
      </c>
      <c r="AL33" s="196">
        <v>-65.400000000000006</v>
      </c>
      <c r="AM33" s="447">
        <v>-65.2</v>
      </c>
      <c r="AN33" s="536">
        <f>IF(AL33=0, "    ---- ", IF(ABS(ROUND(100/AL33*AM33-100,1))&lt;999,ROUND(100/AL33*AM33-100,1),IF(ROUND(100/AL33*AM33-100,1)&gt;999,999,-999)))</f>
        <v>-0.3</v>
      </c>
      <c r="AO33" s="533">
        <f t="shared" si="14"/>
        <v>-407.81616589999999</v>
      </c>
      <c r="AP33" s="533">
        <f t="shared" si="14"/>
        <v>-431.12270813999993</v>
      </c>
      <c r="AQ33" s="536">
        <f t="shared" si="12"/>
        <v>5.7</v>
      </c>
      <c r="AR33" s="536"/>
      <c r="AS33" s="536"/>
      <c r="AT33" s="536"/>
    </row>
    <row r="34" spans="1:46" s="547" customFormat="1" ht="18.75" customHeight="1" x14ac:dyDescent="0.3">
      <c r="A34" s="545" t="s">
        <v>318</v>
      </c>
      <c r="B34" s="199">
        <f>SUM(B14+B15+B16+B17+B21+B29+B30+B31+B32+B33)</f>
        <v>9.5870000000000388</v>
      </c>
      <c r="C34" s="453">
        <f>SUM(C14+C15+C16+C17+C21+C29+C30+C31+C32+C33)</f>
        <v>27.840000000000202</v>
      </c>
      <c r="D34" s="546">
        <f>IF(B34=0, "    ---- ", IF(ABS(ROUND(100/B34*C34-100,1))&lt;999,ROUND(100/B34*C34-100,1),IF(ROUND(100/B34*C34-100,1)&gt;999,999,-999)))</f>
        <v>190.4</v>
      </c>
      <c r="E34" s="199">
        <f>SUM(E14+E15+E16+E17+E21+E29+E30+E31+E32+E33)</f>
        <v>216.685</v>
      </c>
      <c r="F34" s="453">
        <f>SUM(F14+F15+F16+F17+F21+F29+F30+F31+F32+F33)</f>
        <v>-1462.9150000000013</v>
      </c>
      <c r="G34" s="546">
        <f>IF(E34=0, "    ---- ", IF(ABS(ROUND(100/E34*F34-100,1))&lt;999,ROUND(100/E34*F34-100,1),IF(ROUND(100/E34*F34-100,1)&gt;999,999,-999)))</f>
        <v>-775.1</v>
      </c>
      <c r="H34" s="453"/>
      <c r="I34" s="453">
        <v>-227.35547673000011</v>
      </c>
      <c r="J34" s="546" t="str">
        <f>IF(H34=0, "    ---- ", IF(ABS(ROUND(100/H34*I34-100,1))&lt;999,ROUND(100/H34*I34-100,1),IF(ROUND(100/H34*I34-100,1)&gt;999,999,-999)))</f>
        <v xml:space="preserve">    ---- </v>
      </c>
      <c r="K34" s="199">
        <f>SUM(K14+K15+K16+K17+K21+K29+K30+K31+K32+K33)</f>
        <v>27.767999999999859</v>
      </c>
      <c r="L34" s="453">
        <f>SUM(L14+L15+L16+L17+L21+L29+L30+L31+L32+L33)</f>
        <v>45.093999999999909</v>
      </c>
      <c r="M34" s="546">
        <f>IF(K34=0, "    ---- ", IF(ABS(ROUND(100/K34*L34-100,1))&lt;999,ROUND(100/K34*L34-100,1),IF(ROUND(100/K34*L34-100,1)&gt;999,999,-999)))</f>
        <v>62.4</v>
      </c>
      <c r="N34" s="199">
        <f>SUM(N14+N15+N16+N17+N21+N29+N30+N31+N32+N33)</f>
        <v>51.999999999999275</v>
      </c>
      <c r="O34" s="453">
        <f>SUM(O14+O15+O16+O17+O21+O29+O30+O31+O32+O33)</f>
        <v>38.900000000000091</v>
      </c>
      <c r="P34" s="546">
        <f>IF(N34=0, "    ---- ", IF(ABS(ROUND(100/N34*O34-100,1))&lt;999,ROUND(100/N34*O34-100,1),IF(ROUND(100/N34*O34-100,1)&gt;999,999,-999)))</f>
        <v>-25.2</v>
      </c>
      <c r="Q34" s="199">
        <f>SUM(Q14+Q15+Q16+Q17+Q21+Q29+Q30+Q31+Q32+Q33)</f>
        <v>4.2658548799999991</v>
      </c>
      <c r="R34" s="453">
        <f>SUM(R14+R15+R16+R17+R21+R29+R30+R31+R32+R33)</f>
        <v>1.9067071100000006</v>
      </c>
      <c r="S34" s="546">
        <f>IF(Q34=0, "    ---- ", IF(ABS(ROUND(100/Q34*R34-100,1))&lt;999,ROUND(100/Q34*R34-100,1),IF(ROUND(100/Q34*R34-100,1)&gt;999,999,-999)))</f>
        <v>-55.3</v>
      </c>
      <c r="T34" s="199">
        <f>SUM(T14+T15+T16+T17+T21+T29+T30+T31+T32+T33)</f>
        <v>405.55006473999407</v>
      </c>
      <c r="U34" s="453">
        <v>116.95703549999922</v>
      </c>
      <c r="V34" s="546">
        <f>IF(T34=0, "    ---- ", IF(ABS(ROUND(100/T34*U34-100,1))&lt;999,ROUND(100/T34*U34-100,1),IF(ROUND(100/T34*U34-100,1)&gt;999,999,-999)))</f>
        <v>-71.2</v>
      </c>
      <c r="W34" s="199">
        <f>SUM(W14+W15+W16+W17+W21+W29+W30+W31+W32+W33)</f>
        <v>-6.6000000000001151</v>
      </c>
      <c r="X34" s="453">
        <f>SUM(X14+X15+X16+X17+X21+X29+X30+X31+X32+X33)</f>
        <v>-14.300000000000068</v>
      </c>
      <c r="Y34" s="546">
        <f>IF(W34=0, "    ---- ", IF(ABS(ROUND(100/W34*X34-100,1))&lt;999,ROUND(100/W34*X34-100,1),IF(ROUND(100/W34*X34-100,1)&gt;999,999,-999)))</f>
        <v>116.7</v>
      </c>
      <c r="Z34" s="199">
        <f>SUM(Z14+Z15+Z16+Z17+Z21+Z29+Z30+Z31+Z32+Z33)</f>
        <v>63.200000000000024</v>
      </c>
      <c r="AA34" s="453">
        <f>SUM(AA14+AA15+AA16+AA17+AA21+AA29+AA30+AA31+AA32+AA33)</f>
        <v>170.59246944999887</v>
      </c>
      <c r="AB34" s="546">
        <f>IF(Z34=0, "    ---- ", IF(ABS(ROUND(100/Z34*AA34-100,1))&lt;999,ROUND(100/Z34*AA34-100,1),IF(ROUND(100/Z34*AA34-100,1)&gt;999,999,-999)))</f>
        <v>169.9</v>
      </c>
      <c r="AC34" s="199">
        <f>SUM(AC14+AC15+AC16+AC17+AC21+AC29+AC30+AC31+AC32+AC33)</f>
        <v>-181</v>
      </c>
      <c r="AD34" s="453">
        <f>SUM(AD14+AD15+AD16+AD17+AD21+AD29+AD30+AD31+AD32+AD33)</f>
        <v>99</v>
      </c>
      <c r="AE34" s="546">
        <f>IF(AC34=0, "    ---- ", IF(ABS(ROUND(100/AC34*AD34-100,1))&lt;999,ROUND(100/AC34*AD34-100,1),IF(ROUND(100/AC34*AD34-100,1)&gt;999,999,-999)))</f>
        <v>-154.69999999999999</v>
      </c>
      <c r="AF34" s="199">
        <f>SUM(AF14+AF15+AF16+AF17+AF21+AF29+AF30+AF31+AF32+AF33)</f>
        <v>3.4798669599999812</v>
      </c>
      <c r="AG34" s="453">
        <f>SUM(AG14+AG15+AG16+AG17+AG21+AG29+AG30+AG31+AG32+AG33)</f>
        <v>2.9486521599999409</v>
      </c>
      <c r="AH34" s="546">
        <f>IF(AF34=0, "    ---- ", IF(ABS(ROUND(100/AF34*AG34-100,1))&lt;999,ROUND(100/AF34*AG34-100,1),IF(ROUND(100/AF34*AG34-100,1)&gt;999,999,-999)))</f>
        <v>-15.3</v>
      </c>
      <c r="AI34" s="199">
        <v>71.585100108400255</v>
      </c>
      <c r="AJ34" s="453">
        <f>SUM(AJ14+AJ15+AJ16+AJ17+AJ21+AJ29+AJ30+AJ31+AJ32+AJ33)</f>
        <v>-165.97491759209953</v>
      </c>
      <c r="AK34" s="546">
        <f>IF(AI34=0, "    ---- ", IF(ABS(ROUND(100/AI34*AJ34-100,1))&lt;999,ROUND(100/AI34*AJ34-100,1),IF(ROUND(100/AI34*AJ34-100,1)&gt;999,999,-999)))</f>
        <v>-331.9</v>
      </c>
      <c r="AL34" s="199">
        <f>SUM(AL14+AL15+AL16+AL17+AL21+AL29+AL30+AL31+AL32+AL33)</f>
        <v>131.89999999999984</v>
      </c>
      <c r="AM34" s="453">
        <f>SUM(AM14+AM15+AM16+AM17+AM21+AM29+AM30+AM31+AM32+AM33)</f>
        <v>-327.59999999999997</v>
      </c>
      <c r="AN34" s="546">
        <f>IF(AL34=0, "    ---- ", IF(ABS(ROUND(100/AL34*AM34-100,1))&lt;999,ROUND(100/AL34*AM34-100,1),IF(ROUND(100/AL34*AM34-100,1)&gt;999,999,-999)))</f>
        <v>-348.4</v>
      </c>
      <c r="AO34" s="546">
        <f>B34+E34+H34+K34+N34+T34+W34+Z34+AC34+AI34+AL34</f>
        <v>790.67516484839336</v>
      </c>
      <c r="AP34" s="546">
        <f>C34+F34+I34+L34+O34+U34+X34+AA34+AD34+AJ34+AM34</f>
        <v>-1699.7618893721028</v>
      </c>
      <c r="AQ34" s="546">
        <f t="shared" si="12"/>
        <v>-315</v>
      </c>
      <c r="AR34" s="546"/>
      <c r="AS34" s="546"/>
      <c r="AT34" s="546"/>
    </row>
    <row r="35" spans="1:46" s="547" customFormat="1" ht="18.75" customHeight="1" x14ac:dyDescent="0.3">
      <c r="A35" s="548"/>
      <c r="B35" s="619"/>
      <c r="C35" s="549"/>
      <c r="D35" s="550"/>
      <c r="E35" s="619"/>
      <c r="F35" s="549"/>
      <c r="G35" s="550"/>
      <c r="H35" s="549"/>
      <c r="I35" s="549"/>
      <c r="J35" s="550"/>
      <c r="K35" s="619"/>
      <c r="L35" s="549"/>
      <c r="M35" s="550"/>
      <c r="N35" s="619"/>
      <c r="O35" s="549"/>
      <c r="P35" s="550"/>
      <c r="Q35" s="619"/>
      <c r="R35" s="549"/>
      <c r="S35" s="550"/>
      <c r="T35" s="619"/>
      <c r="U35" s="549"/>
      <c r="V35" s="550"/>
      <c r="W35" s="619"/>
      <c r="X35" s="549"/>
      <c r="Y35" s="550"/>
      <c r="Z35" s="619"/>
      <c r="AA35" s="549"/>
      <c r="AB35" s="550"/>
      <c r="AC35" s="619"/>
      <c r="AD35" s="549"/>
      <c r="AE35" s="550"/>
      <c r="AF35" s="619"/>
      <c r="AG35" s="549"/>
      <c r="AH35" s="550"/>
      <c r="AI35" s="619"/>
      <c r="AJ35" s="549"/>
      <c r="AK35" s="551"/>
      <c r="AL35" s="619"/>
      <c r="AM35" s="549"/>
      <c r="AN35" s="551"/>
      <c r="AO35" s="551"/>
      <c r="AP35" s="551"/>
      <c r="AQ35" s="551"/>
      <c r="AR35" s="552"/>
      <c r="AS35" s="553"/>
      <c r="AT35" s="554"/>
    </row>
    <row r="36" spans="1:46" s="547" customFormat="1" ht="18.75" customHeight="1" x14ac:dyDescent="0.3">
      <c r="A36" s="523" t="s">
        <v>319</v>
      </c>
      <c r="B36" s="619"/>
      <c r="C36" s="549"/>
      <c r="D36" s="550"/>
      <c r="E36" s="619"/>
      <c r="F36" s="549"/>
      <c r="G36" s="550"/>
      <c r="H36" s="549"/>
      <c r="I36" s="549"/>
      <c r="J36" s="550"/>
      <c r="K36" s="619"/>
      <c r="L36" s="549"/>
      <c r="M36" s="550"/>
      <c r="N36" s="619"/>
      <c r="O36" s="549"/>
      <c r="P36" s="550"/>
      <c r="Q36" s="619"/>
      <c r="R36" s="549"/>
      <c r="S36" s="550"/>
      <c r="T36" s="619"/>
      <c r="U36" s="549"/>
      <c r="V36" s="550"/>
      <c r="W36" s="619"/>
      <c r="X36" s="549"/>
      <c r="Y36" s="550"/>
      <c r="Z36" s="619"/>
      <c r="AA36" s="549"/>
      <c r="AB36" s="550"/>
      <c r="AC36" s="619"/>
      <c r="AD36" s="549"/>
      <c r="AE36" s="550"/>
      <c r="AF36" s="619"/>
      <c r="AG36" s="549"/>
      <c r="AH36" s="550"/>
      <c r="AI36" s="619"/>
      <c r="AJ36" s="549"/>
      <c r="AK36" s="550"/>
      <c r="AL36" s="619"/>
      <c r="AM36" s="549"/>
      <c r="AN36" s="550"/>
      <c r="AO36" s="550"/>
      <c r="AP36" s="550"/>
      <c r="AQ36" s="550"/>
      <c r="AR36" s="555"/>
      <c r="AS36" s="556"/>
      <c r="AT36" s="557"/>
    </row>
    <row r="37" spans="1:46" s="559" customFormat="1" ht="18.75" customHeight="1" x14ac:dyDescent="0.3">
      <c r="A37" s="531" t="s">
        <v>320</v>
      </c>
      <c r="B37" s="620">
        <v>2.1680000000000001</v>
      </c>
      <c r="C37" s="534">
        <v>-0.313</v>
      </c>
      <c r="D37" s="533">
        <f t="shared" ref="D37:D43" si="26">IF(B37=0, "    ---- ", IF(ABS(ROUND(100/B37*C37-100,1))&lt;999,ROUND(100/B37*C37-100,1),IF(ROUND(100/B37*C37-100,1)&gt;999,999,-999)))</f>
        <v>-114.4</v>
      </c>
      <c r="E37" s="620">
        <v>349.37</v>
      </c>
      <c r="F37" s="534">
        <v>-189.71199999999999</v>
      </c>
      <c r="G37" s="533">
        <f t="shared" ref="G37:G44" si="27">IF(E37=0, "    ---- ", IF(ABS(ROUND(100/E37*F37-100,1))&lt;999,ROUND(100/E37*F37-100,1),IF(ROUND(100/E37*F37-100,1)&gt;999,999,-999)))</f>
        <v>-154.30000000000001</v>
      </c>
      <c r="H37" s="534"/>
      <c r="I37" s="534">
        <v>-15.978732869999998</v>
      </c>
      <c r="J37" s="533" t="str">
        <f t="shared" ref="J37:J43" si="28">IF(H37=0, "    ---- ", IF(ABS(ROUND(100/H37*I37-100,1))&lt;999,ROUND(100/H37*I37-100,1),IF(ROUND(100/H37*I37-100,1)&gt;999,999,-999)))</f>
        <v xml:space="preserve">    ---- </v>
      </c>
      <c r="K37" s="620">
        <v>3.7250000000000001</v>
      </c>
      <c r="L37" s="534">
        <v>-10.164999999999999</v>
      </c>
      <c r="M37" s="533">
        <f t="shared" ref="M37:M43" si="29">IF(K37=0, "    ---- ", IF(ABS(ROUND(100/K37*L37-100,1))&lt;999,ROUND(100/K37*L37-100,1),IF(ROUND(100/K37*L37-100,1)&gt;999,999,-999)))</f>
        <v>-372.9</v>
      </c>
      <c r="N37" s="620">
        <v>4.4000000000000004</v>
      </c>
      <c r="O37" s="534">
        <v>0.6</v>
      </c>
      <c r="P37" s="533">
        <f t="shared" ref="P37:P43" si="30">IF(N37=0, "    ---- ", IF(ABS(ROUND(100/N37*O37-100,1))&lt;999,ROUND(100/N37*O37-100,1),IF(ROUND(100/N37*O37-100,1)&gt;999,999,-999)))</f>
        <v>-86.4</v>
      </c>
      <c r="Q37" s="620">
        <v>0.48208643000000001</v>
      </c>
      <c r="R37" s="534">
        <v>0.75685972999999995</v>
      </c>
      <c r="S37" s="533">
        <f t="shared" ref="S37:S43" si="31">IF(Q37=0, "    ---- ", IF(ABS(ROUND(100/Q37*R37-100,1))&lt;999,ROUND(100/Q37*R37-100,1),IF(ROUND(100/Q37*R37-100,1)&gt;999,999,-999)))</f>
        <v>57</v>
      </c>
      <c r="T37" s="620">
        <v>487.76300175</v>
      </c>
      <c r="U37" s="447">
        <v>43.506251429999999</v>
      </c>
      <c r="V37" s="533">
        <f t="shared" ref="V37:V44" si="32">IF(T37=0, "    ---- ", IF(ABS(ROUND(100/T37*U37-100,1))&lt;999,ROUND(100/T37*U37-100,1),IF(ROUND(100/T37*U37-100,1)&gt;999,999,-999)))</f>
        <v>-91.1</v>
      </c>
      <c r="W37" s="620">
        <v>4.9000000000000004</v>
      </c>
      <c r="X37" s="534">
        <v>-0.9</v>
      </c>
      <c r="Y37" s="533">
        <f t="shared" ref="Y37:Y44" si="33">IF(W37=0, "    ---- ", IF(ABS(ROUND(100/W37*X37-100,1))&lt;999,ROUND(100/W37*X37-100,1),IF(ROUND(100/W37*X37-100,1)&gt;999,999,-999)))</f>
        <v>-118.4</v>
      </c>
      <c r="Z37" s="620">
        <v>25</v>
      </c>
      <c r="AA37" s="534">
        <v>124.93</v>
      </c>
      <c r="AB37" s="533">
        <f t="shared" ref="AB37:AB44" si="34">IF(Z37=0, "    ---- ", IF(ABS(ROUND(100/Z37*AA37-100,1))&lt;999,ROUND(100/Z37*AA37-100,1),IF(ROUND(100/Z37*AA37-100,1)&gt;999,999,-999)))</f>
        <v>399.7</v>
      </c>
      <c r="AC37" s="620">
        <v>216</v>
      </c>
      <c r="AD37" s="534">
        <v>-252</v>
      </c>
      <c r="AE37" s="533">
        <f t="shared" ref="AE37:AE43" si="35">IF(AC37=0, "    ---- ", IF(ABS(ROUND(100/AC37*AD37-100,1))&lt;999,ROUND(100/AC37*AD37-100,1),IF(ROUND(100/AC37*AD37-100,1)&gt;999,999,-999)))</f>
        <v>-216.7</v>
      </c>
      <c r="AF37" s="620"/>
      <c r="AG37" s="534">
        <v>-6.1040440000000001E-2</v>
      </c>
      <c r="AH37" s="533" t="str">
        <f>IF(AF37=0, "    ---- ", IF(ABS(ROUND(100/AF37*AG37-100,1))&lt;999,ROUND(100/AF37*AG37-100,1),IF(ROUND(100/AF37*AG37-100,1)&gt;999,999,-999)))</f>
        <v xml:space="preserve">    ---- </v>
      </c>
      <c r="AI37" s="620">
        <v>58.01875932999998</v>
      </c>
      <c r="AJ37" s="534">
        <v>-72.271955070000004</v>
      </c>
      <c r="AK37" s="533">
        <f t="shared" ref="AK37:AK43" si="36">IF(AI37=0, "    ---- ", IF(ABS(ROUND(100/AI37*AJ37-100,1))&lt;999,ROUND(100/AI37*AJ37-100,1),IF(ROUND(100/AI37*AJ37-100,1)&gt;999,999,-999)))</f>
        <v>-224.6</v>
      </c>
      <c r="AL37" s="620">
        <v>189</v>
      </c>
      <c r="AM37" s="534">
        <v>-205</v>
      </c>
      <c r="AN37" s="533">
        <f t="shared" ref="AN37:AN44" si="37">IF(AL37=0, "    ---- ", IF(ABS(ROUND(100/AL37*AM37-100,1))&lt;999,ROUND(100/AL37*AM37-100,1),IF(ROUND(100/AL37*AM37-100,1)&gt;999,999,-999)))</f>
        <v>-208.5</v>
      </c>
      <c r="AO37" s="533">
        <f t="shared" ref="AO37:AP39" si="38">B37+E37+H37+K37+N37+T37+W37+Z37+AC37+AI37+AL37</f>
        <v>1340.3447610800001</v>
      </c>
      <c r="AP37" s="533">
        <f t="shared" si="38"/>
        <v>-577.30443650999996</v>
      </c>
      <c r="AQ37" s="533">
        <f t="shared" si="12"/>
        <v>-143.1</v>
      </c>
      <c r="AR37" s="535"/>
      <c r="AS37" s="558"/>
      <c r="AT37" s="537"/>
    </row>
    <row r="38" spans="1:46" s="559" customFormat="1" ht="18.75" customHeight="1" x14ac:dyDescent="0.3">
      <c r="A38" s="531" t="s">
        <v>321</v>
      </c>
      <c r="B38" s="620"/>
      <c r="C38" s="534"/>
      <c r="D38" s="533"/>
      <c r="E38" s="620">
        <v>2.91</v>
      </c>
      <c r="F38" s="534">
        <v>1226.126</v>
      </c>
      <c r="G38" s="533">
        <f t="shared" si="27"/>
        <v>999</v>
      </c>
      <c r="H38" s="534"/>
      <c r="I38" s="534"/>
      <c r="J38" s="533"/>
      <c r="K38" s="620">
        <v>1.4E-2</v>
      </c>
      <c r="L38" s="534">
        <v>1.4E-2</v>
      </c>
      <c r="M38" s="533">
        <f t="shared" si="29"/>
        <v>0</v>
      </c>
      <c r="N38" s="620"/>
      <c r="O38" s="534"/>
      <c r="P38" s="533"/>
      <c r="Q38" s="620"/>
      <c r="R38" s="534"/>
      <c r="S38" s="533"/>
      <c r="T38" s="620">
        <v>2.8994321899999997</v>
      </c>
      <c r="U38" s="447">
        <v>4.1626426600000004</v>
      </c>
      <c r="V38" s="533">
        <f t="shared" si="32"/>
        <v>43.6</v>
      </c>
      <c r="W38" s="620">
        <v>1.1000000000000001</v>
      </c>
      <c r="X38" s="534">
        <v>1.5</v>
      </c>
      <c r="Y38" s="533">
        <f t="shared" si="33"/>
        <v>36.4</v>
      </c>
      <c r="Z38" s="620">
        <v>4</v>
      </c>
      <c r="AA38" s="534">
        <v>0.02</v>
      </c>
      <c r="AB38" s="533">
        <f t="shared" si="34"/>
        <v>-99.5</v>
      </c>
      <c r="AC38" s="620">
        <v>1</v>
      </c>
      <c r="AD38" s="534">
        <v>4</v>
      </c>
      <c r="AE38" s="533">
        <f t="shared" si="35"/>
        <v>300</v>
      </c>
      <c r="AF38" s="620"/>
      <c r="AG38" s="534"/>
      <c r="AH38" s="533"/>
      <c r="AI38" s="620">
        <v>1.03757736</v>
      </c>
      <c r="AJ38" s="534">
        <v>1.6123177500000001</v>
      </c>
      <c r="AK38" s="533">
        <f t="shared" si="36"/>
        <v>55.4</v>
      </c>
      <c r="AL38" s="620">
        <v>4.5999999999999996</v>
      </c>
      <c r="AM38" s="534">
        <v>4</v>
      </c>
      <c r="AN38" s="533">
        <f t="shared" si="37"/>
        <v>-13</v>
      </c>
      <c r="AO38" s="533">
        <f t="shared" si="38"/>
        <v>17.561009550000001</v>
      </c>
      <c r="AP38" s="533">
        <f t="shared" si="38"/>
        <v>1241.43496041</v>
      </c>
      <c r="AQ38" s="533">
        <f t="shared" si="12"/>
        <v>999</v>
      </c>
      <c r="AR38" s="533"/>
      <c r="AS38" s="560"/>
      <c r="AT38" s="533"/>
    </row>
    <row r="39" spans="1:46" s="559" customFormat="1" ht="18.75" customHeight="1" x14ac:dyDescent="0.3">
      <c r="A39" s="531" t="s">
        <v>322</v>
      </c>
      <c r="B39" s="620"/>
      <c r="C39" s="534"/>
      <c r="D39" s="533"/>
      <c r="E39" s="620">
        <v>-77.441000000000003</v>
      </c>
      <c r="F39" s="534">
        <v>-105.205</v>
      </c>
      <c r="G39" s="533">
        <f t="shared" si="27"/>
        <v>35.9</v>
      </c>
      <c r="H39" s="534"/>
      <c r="I39" s="534">
        <v>-5.6694336999999999</v>
      </c>
      <c r="J39" s="533" t="str">
        <f t="shared" si="28"/>
        <v xml:space="preserve">    ---- </v>
      </c>
      <c r="K39" s="620"/>
      <c r="L39" s="534"/>
      <c r="M39" s="533"/>
      <c r="N39" s="620">
        <v>-3.2</v>
      </c>
      <c r="O39" s="534">
        <v>-3.7</v>
      </c>
      <c r="P39" s="533">
        <f t="shared" si="30"/>
        <v>15.6</v>
      </c>
      <c r="Q39" s="620"/>
      <c r="R39" s="534"/>
      <c r="S39" s="533"/>
      <c r="T39" s="620">
        <v>-88.393525790000012</v>
      </c>
      <c r="U39" s="447">
        <v>-134.0308077</v>
      </c>
      <c r="V39" s="533">
        <f t="shared" si="32"/>
        <v>51.6</v>
      </c>
      <c r="W39" s="620">
        <v>-0.2</v>
      </c>
      <c r="X39" s="534">
        <v>-0.1</v>
      </c>
      <c r="Y39" s="533">
        <f t="shared" si="33"/>
        <v>-50</v>
      </c>
      <c r="Z39" s="620">
        <v>-25</v>
      </c>
      <c r="AA39" s="534">
        <v>-35.29</v>
      </c>
      <c r="AB39" s="533">
        <f t="shared" si="34"/>
        <v>41.2</v>
      </c>
      <c r="AC39" s="620">
        <v>-25</v>
      </c>
      <c r="AD39" s="534">
        <v>-25</v>
      </c>
      <c r="AE39" s="533">
        <f t="shared" si="35"/>
        <v>0</v>
      </c>
      <c r="AF39" s="620"/>
      <c r="AG39" s="534"/>
      <c r="AH39" s="533"/>
      <c r="AI39" s="620">
        <v>-13.050463758399999</v>
      </c>
      <c r="AJ39" s="534">
        <v>-14.997755897900005</v>
      </c>
      <c r="AK39" s="533">
        <f t="shared" si="36"/>
        <v>14.9</v>
      </c>
      <c r="AL39" s="620">
        <v>-101.4</v>
      </c>
      <c r="AM39" s="534">
        <v>-113</v>
      </c>
      <c r="AN39" s="533">
        <f t="shared" si="37"/>
        <v>11.4</v>
      </c>
      <c r="AO39" s="533">
        <f t="shared" si="38"/>
        <v>-333.68498954840004</v>
      </c>
      <c r="AP39" s="533">
        <f t="shared" si="38"/>
        <v>-436.99299729789999</v>
      </c>
      <c r="AQ39" s="533">
        <f t="shared" si="12"/>
        <v>31</v>
      </c>
      <c r="AR39" s="533"/>
      <c r="AS39" s="560"/>
      <c r="AT39" s="533"/>
    </row>
    <row r="40" spans="1:46" s="562" customFormat="1" ht="18.75" customHeight="1" x14ac:dyDescent="0.3">
      <c r="A40" s="548" t="s">
        <v>323</v>
      </c>
      <c r="B40" s="619">
        <f>SUM(B37:B39)</f>
        <v>2.1680000000000001</v>
      </c>
      <c r="C40" s="549">
        <f>SUM(C37:C39)</f>
        <v>-0.313</v>
      </c>
      <c r="D40" s="550">
        <f t="shared" si="26"/>
        <v>-114.4</v>
      </c>
      <c r="E40" s="619">
        <f>SUM(E37:E39)</f>
        <v>274.83900000000006</v>
      </c>
      <c r="F40" s="549">
        <f>SUM(F37:F39)</f>
        <v>931.20899999999995</v>
      </c>
      <c r="G40" s="550">
        <f t="shared" si="27"/>
        <v>238.8</v>
      </c>
      <c r="H40" s="549"/>
      <c r="I40" s="549">
        <v>-21.648166569999997</v>
      </c>
      <c r="J40" s="550" t="str">
        <f t="shared" si="28"/>
        <v xml:space="preserve">    ---- </v>
      </c>
      <c r="K40" s="619">
        <f>SUM(K37:K39)</f>
        <v>3.7389999999999999</v>
      </c>
      <c r="L40" s="549">
        <f>SUM(L37:L39)</f>
        <v>-10.151</v>
      </c>
      <c r="M40" s="550">
        <f t="shared" si="29"/>
        <v>-371.5</v>
      </c>
      <c r="N40" s="619">
        <f>SUM(N37:N39)</f>
        <v>1.2000000000000002</v>
      </c>
      <c r="O40" s="549">
        <f>SUM(O37:O39)</f>
        <v>-3.1</v>
      </c>
      <c r="P40" s="550">
        <f t="shared" si="30"/>
        <v>-358.3</v>
      </c>
      <c r="Q40" s="619">
        <f>SUM(Q37:Q39)</f>
        <v>0.48208643000000001</v>
      </c>
      <c r="R40" s="549">
        <f>SUM(R37:R39)</f>
        <v>0.75685972999999995</v>
      </c>
      <c r="S40" s="550">
        <f t="shared" si="31"/>
        <v>57</v>
      </c>
      <c r="T40" s="619">
        <f>SUM(T37:T39)</f>
        <v>402.26890815000002</v>
      </c>
      <c r="U40" s="687">
        <v>-86.361913609999988</v>
      </c>
      <c r="V40" s="550">
        <f t="shared" si="32"/>
        <v>-121.5</v>
      </c>
      <c r="W40" s="619">
        <f>SUM(W37:W39)</f>
        <v>5.8</v>
      </c>
      <c r="X40" s="549">
        <f>SUM(X37:X39)</f>
        <v>0.5</v>
      </c>
      <c r="Y40" s="550">
        <f t="shared" si="33"/>
        <v>-91.4</v>
      </c>
      <c r="Z40" s="619">
        <f>SUM(Z37:Z39)</f>
        <v>4</v>
      </c>
      <c r="AA40" s="549">
        <f>SUM(AA37:AA39)</f>
        <v>89.66</v>
      </c>
      <c r="AB40" s="550">
        <f t="shared" si="34"/>
        <v>999</v>
      </c>
      <c r="AC40" s="619">
        <f>SUM(AC37:AC39)</f>
        <v>192</v>
      </c>
      <c r="AD40" s="549">
        <f>SUM(AD37:AD39)</f>
        <v>-273</v>
      </c>
      <c r="AE40" s="550">
        <f t="shared" si="35"/>
        <v>-242.2</v>
      </c>
      <c r="AF40" s="619">
        <f>SUM(AF37:AF39)</f>
        <v>0</v>
      </c>
      <c r="AG40" s="549">
        <f>SUM(AG37:AG39)</f>
        <v>-6.1040440000000001E-2</v>
      </c>
      <c r="AH40" s="533" t="str">
        <f>IF(AF40=0, "    ---- ", IF(ABS(ROUND(100/AF40*AG40-100,1))&lt;999,ROUND(100/AF40*AG40-100,1),IF(ROUND(100/AF40*AG40-100,1)&gt;999,999,-999)))</f>
        <v xml:space="preserve">    ---- </v>
      </c>
      <c r="AI40" s="619">
        <v>46.005872931599981</v>
      </c>
      <c r="AJ40" s="549">
        <f>SUM(AJ37:AJ39)</f>
        <v>-85.657393217900008</v>
      </c>
      <c r="AK40" s="550">
        <f t="shared" si="36"/>
        <v>-286.2</v>
      </c>
      <c r="AL40" s="619">
        <f>SUM(AL37:AL39)</f>
        <v>92.199999999999989</v>
      </c>
      <c r="AM40" s="549">
        <f>SUM(AM37:AM39)</f>
        <v>-314</v>
      </c>
      <c r="AN40" s="550">
        <f t="shared" si="37"/>
        <v>-440.6</v>
      </c>
      <c r="AO40" s="550">
        <f t="shared" ref="AO40:AP43" si="39">B40+E40+H40+K40+N40+T40+W40+Z40+AC40+AI40+AL40</f>
        <v>1024.2207810816001</v>
      </c>
      <c r="AP40" s="550">
        <f t="shared" si="39"/>
        <v>227.13752660210002</v>
      </c>
      <c r="AQ40" s="550">
        <f t="shared" si="12"/>
        <v>-77.8</v>
      </c>
      <c r="AR40" s="550"/>
      <c r="AS40" s="561"/>
      <c r="AT40" s="550"/>
    </row>
    <row r="41" spans="1:46" s="562" customFormat="1" ht="18.75" customHeight="1" x14ac:dyDescent="0.3">
      <c r="A41" s="548" t="s">
        <v>324</v>
      </c>
      <c r="B41" s="619">
        <f>B34+B40</f>
        <v>11.755000000000038</v>
      </c>
      <c r="C41" s="549">
        <f>C34+C40</f>
        <v>27.527000000000204</v>
      </c>
      <c r="D41" s="550">
        <f t="shared" si="26"/>
        <v>134.19999999999999</v>
      </c>
      <c r="E41" s="619">
        <f>E34+E40</f>
        <v>491.52400000000006</v>
      </c>
      <c r="F41" s="549">
        <f>F34+F40</f>
        <v>-531.70600000000138</v>
      </c>
      <c r="G41" s="550">
        <f t="shared" si="27"/>
        <v>-208.2</v>
      </c>
      <c r="H41" s="549"/>
      <c r="I41" s="549">
        <v>-249.00364330000011</v>
      </c>
      <c r="J41" s="550" t="str">
        <f t="shared" si="28"/>
        <v xml:space="preserve">    ---- </v>
      </c>
      <c r="K41" s="619">
        <f>K34+K40</f>
        <v>31.506999999999859</v>
      </c>
      <c r="L41" s="549">
        <f>L34+L40</f>
        <v>34.942999999999913</v>
      </c>
      <c r="M41" s="550">
        <f t="shared" si="29"/>
        <v>10.9</v>
      </c>
      <c r="N41" s="619">
        <f>N34+N40</f>
        <v>53.199999999999278</v>
      </c>
      <c r="O41" s="549">
        <f>O34+O40</f>
        <v>35.80000000000009</v>
      </c>
      <c r="P41" s="550">
        <f t="shared" si="30"/>
        <v>-32.700000000000003</v>
      </c>
      <c r="Q41" s="619">
        <f>Q34+Q40</f>
        <v>4.747941309999999</v>
      </c>
      <c r="R41" s="549">
        <f>R34+R40</f>
        <v>2.6635668400000005</v>
      </c>
      <c r="S41" s="550">
        <f t="shared" si="31"/>
        <v>-43.9</v>
      </c>
      <c r="T41" s="619">
        <f>T34+T40</f>
        <v>807.81897288999403</v>
      </c>
      <c r="U41" s="687">
        <v>30.595121889999234</v>
      </c>
      <c r="V41" s="550">
        <f t="shared" si="32"/>
        <v>-96.2</v>
      </c>
      <c r="W41" s="619">
        <f>W34+W40</f>
        <v>-0.80000000000011529</v>
      </c>
      <c r="X41" s="549">
        <f>X34+X40</f>
        <v>-13.800000000000068</v>
      </c>
      <c r="Y41" s="550">
        <f t="shared" si="33"/>
        <v>999</v>
      </c>
      <c r="Z41" s="619">
        <f>Z34+Z40</f>
        <v>67.200000000000017</v>
      </c>
      <c r="AA41" s="549">
        <f>AA34+AA40</f>
        <v>260.2524694499989</v>
      </c>
      <c r="AB41" s="550">
        <f t="shared" si="34"/>
        <v>287.3</v>
      </c>
      <c r="AC41" s="619">
        <f>AC34+AC40</f>
        <v>11</v>
      </c>
      <c r="AD41" s="549">
        <f>AD34+AD40</f>
        <v>-174</v>
      </c>
      <c r="AE41" s="550">
        <f t="shared" si="35"/>
        <v>-999</v>
      </c>
      <c r="AF41" s="619">
        <f>AF34+AF40</f>
        <v>3.4798669599999812</v>
      </c>
      <c r="AG41" s="549">
        <f>AG34+AG40</f>
        <v>2.8876117199999407</v>
      </c>
      <c r="AH41" s="550">
        <f>IF(AF41=0, "    ---- ", IF(ABS(ROUND(100/AF41*AG41-100,1))&lt;999,ROUND(100/AF41*AG41-100,1),IF(ROUND(100/AF41*AG41-100,1)&gt;999,999,-999)))</f>
        <v>-17</v>
      </c>
      <c r="AI41" s="619">
        <v>117.59097304000024</v>
      </c>
      <c r="AJ41" s="549">
        <f>AJ34+AJ40</f>
        <v>-251.63231080999952</v>
      </c>
      <c r="AK41" s="550">
        <f t="shared" si="36"/>
        <v>-314</v>
      </c>
      <c r="AL41" s="619">
        <f>AL34+AL40</f>
        <v>224.09999999999982</v>
      </c>
      <c r="AM41" s="549">
        <f>AM34+AM40</f>
        <v>-641.59999999999991</v>
      </c>
      <c r="AN41" s="550">
        <f t="shared" si="37"/>
        <v>-386.3</v>
      </c>
      <c r="AO41" s="550">
        <f t="shared" si="39"/>
        <v>1814.8959459299933</v>
      </c>
      <c r="AP41" s="550">
        <f t="shared" si="39"/>
        <v>-1472.6243627700026</v>
      </c>
      <c r="AQ41" s="550">
        <f t="shared" si="12"/>
        <v>-181.1</v>
      </c>
      <c r="AR41" s="550"/>
      <c r="AS41" s="561"/>
      <c r="AT41" s="550"/>
    </row>
    <row r="42" spans="1:46" s="559" customFormat="1" ht="18.75" customHeight="1" x14ac:dyDescent="0.3">
      <c r="A42" s="531" t="s">
        <v>325</v>
      </c>
      <c r="B42" s="620">
        <v>-3.0760000000000001</v>
      </c>
      <c r="C42" s="534">
        <v>-6.8810000000000002</v>
      </c>
      <c r="D42" s="533">
        <f t="shared" si="26"/>
        <v>123.7</v>
      </c>
      <c r="E42" s="620">
        <v>-111.65300000000001</v>
      </c>
      <c r="F42" s="534">
        <v>448.60899999999998</v>
      </c>
      <c r="G42" s="533">
        <f t="shared" si="27"/>
        <v>-501.8</v>
      </c>
      <c r="H42" s="534"/>
      <c r="I42" s="534">
        <v>60.477928310000003</v>
      </c>
      <c r="J42" s="533" t="str">
        <f t="shared" si="28"/>
        <v xml:space="preserve">    ---- </v>
      </c>
      <c r="K42" s="620">
        <v>-5.2050000000000001</v>
      </c>
      <c r="L42" s="534">
        <v>-9.94</v>
      </c>
      <c r="M42" s="533">
        <f t="shared" si="29"/>
        <v>91</v>
      </c>
      <c r="N42" s="620">
        <v>-13.3</v>
      </c>
      <c r="O42" s="534">
        <v>-8.9</v>
      </c>
      <c r="P42" s="533">
        <f t="shared" si="30"/>
        <v>-33.1</v>
      </c>
      <c r="Q42" s="620">
        <v>-1.238748</v>
      </c>
      <c r="R42" s="534">
        <v>-0.66320599999999996</v>
      </c>
      <c r="S42" s="533">
        <f t="shared" si="31"/>
        <v>-46.5</v>
      </c>
      <c r="T42" s="620">
        <v>-146.26507047499999</v>
      </c>
      <c r="U42" s="447">
        <v>36.295757525000006</v>
      </c>
      <c r="V42" s="533"/>
      <c r="W42" s="620"/>
      <c r="X42" s="534"/>
      <c r="Y42" s="533"/>
      <c r="Z42" s="620">
        <v>-17</v>
      </c>
      <c r="AA42" s="534">
        <v>-65.06</v>
      </c>
      <c r="AB42" s="533">
        <f t="shared" si="34"/>
        <v>282.7</v>
      </c>
      <c r="AC42" s="620"/>
      <c r="AD42" s="534"/>
      <c r="AE42" s="533" t="str">
        <f t="shared" si="35"/>
        <v xml:space="preserve">    ---- </v>
      </c>
      <c r="AF42" s="620">
        <v>-0.79453200000000002</v>
      </c>
      <c r="AG42" s="534">
        <v>-0.63527500000000003</v>
      </c>
      <c r="AH42" s="533"/>
      <c r="AI42" s="620">
        <v>-26.206990000000001</v>
      </c>
      <c r="AJ42" s="534">
        <v>43.973643000000003</v>
      </c>
      <c r="AK42" s="533">
        <f t="shared" si="36"/>
        <v>-267.8</v>
      </c>
      <c r="AL42" s="620">
        <v>-58</v>
      </c>
      <c r="AM42" s="534">
        <v>767</v>
      </c>
      <c r="AN42" s="533">
        <f t="shared" si="37"/>
        <v>-999</v>
      </c>
      <c r="AO42" s="533">
        <f t="shared" si="39"/>
        <v>-380.70606047500002</v>
      </c>
      <c r="AP42" s="533">
        <f t="shared" si="39"/>
        <v>1265.5753288349999</v>
      </c>
      <c r="AQ42" s="533">
        <f t="shared" si="12"/>
        <v>-432.4</v>
      </c>
      <c r="AR42" s="533"/>
      <c r="AS42" s="560"/>
      <c r="AT42" s="533"/>
    </row>
    <row r="43" spans="1:46" s="562" customFormat="1" ht="18.75" customHeight="1" x14ac:dyDescent="0.3">
      <c r="A43" s="548" t="s">
        <v>326</v>
      </c>
      <c r="B43" s="619">
        <f>B41+B42</f>
        <v>8.6790000000000376</v>
      </c>
      <c r="C43" s="549">
        <f>C41+C42</f>
        <v>20.646000000000203</v>
      </c>
      <c r="D43" s="550">
        <f t="shared" si="26"/>
        <v>137.9</v>
      </c>
      <c r="E43" s="619">
        <f>E41+E42</f>
        <v>379.87100000000004</v>
      </c>
      <c r="F43" s="549">
        <f>F41+F42</f>
        <v>-83.097000000001401</v>
      </c>
      <c r="G43" s="550">
        <f t="shared" si="27"/>
        <v>-121.9</v>
      </c>
      <c r="H43" s="549"/>
      <c r="I43" s="549">
        <v>-188.5257149900001</v>
      </c>
      <c r="J43" s="550" t="str">
        <f t="shared" si="28"/>
        <v xml:space="preserve">    ---- </v>
      </c>
      <c r="K43" s="619">
        <f>K41+K42</f>
        <v>26.301999999999857</v>
      </c>
      <c r="L43" s="549">
        <f>L41+L42</f>
        <v>25.002999999999915</v>
      </c>
      <c r="M43" s="550">
        <f t="shared" si="29"/>
        <v>-4.9000000000000004</v>
      </c>
      <c r="N43" s="619">
        <f>N41+N42</f>
        <v>39.899999999999281</v>
      </c>
      <c r="O43" s="549">
        <f>O41+O42</f>
        <v>26.900000000000091</v>
      </c>
      <c r="P43" s="550">
        <f t="shared" si="30"/>
        <v>-32.6</v>
      </c>
      <c r="Q43" s="619">
        <f>Q41+Q42</f>
        <v>3.5091933099999988</v>
      </c>
      <c r="R43" s="549">
        <f>R41+R42</f>
        <v>2.0003608400000008</v>
      </c>
      <c r="S43" s="550">
        <f t="shared" si="31"/>
        <v>-43</v>
      </c>
      <c r="T43" s="619">
        <f>T41+T42</f>
        <v>661.55390241499401</v>
      </c>
      <c r="U43" s="687">
        <v>66.890879414999233</v>
      </c>
      <c r="V43" s="550">
        <f t="shared" si="32"/>
        <v>-89.9</v>
      </c>
      <c r="W43" s="619">
        <f>W41+W42</f>
        <v>-0.80000000000011529</v>
      </c>
      <c r="X43" s="549">
        <f>X41+X42</f>
        <v>-13.800000000000068</v>
      </c>
      <c r="Y43" s="550">
        <f t="shared" si="33"/>
        <v>999</v>
      </c>
      <c r="Z43" s="619">
        <f>Z41+Z42</f>
        <v>50.200000000000017</v>
      </c>
      <c r="AA43" s="549">
        <f>AA41+AA42</f>
        <v>195.1924694499989</v>
      </c>
      <c r="AB43" s="550">
        <f t="shared" si="34"/>
        <v>288.8</v>
      </c>
      <c r="AC43" s="619">
        <f>AC41+AC42</f>
        <v>11</v>
      </c>
      <c r="AD43" s="549">
        <f>AD41+AD42</f>
        <v>-174</v>
      </c>
      <c r="AE43" s="550">
        <f t="shared" si="35"/>
        <v>-999</v>
      </c>
      <c r="AF43" s="619">
        <f>AF41+AF42</f>
        <v>2.685334959999981</v>
      </c>
      <c r="AG43" s="549">
        <f>AG41+AG42</f>
        <v>2.2523367199999407</v>
      </c>
      <c r="AH43" s="550">
        <f>IF(AF43=0, "    ---- ", IF(ABS(ROUND(100/AF43*AG43-100,1))&lt;999,ROUND(100/AF43*AG43-100,1),IF(ROUND(100/AF43*AG43-100,1)&gt;999,999,-999)))</f>
        <v>-16.100000000000001</v>
      </c>
      <c r="AI43" s="619">
        <v>91.383983040000231</v>
      </c>
      <c r="AJ43" s="549">
        <f>AJ41+AJ42</f>
        <v>-207.65866780999951</v>
      </c>
      <c r="AK43" s="550">
        <f t="shared" si="36"/>
        <v>-327.2</v>
      </c>
      <c r="AL43" s="619">
        <f>AL41+AL42</f>
        <v>166.09999999999982</v>
      </c>
      <c r="AM43" s="549">
        <f>AM41+AM42</f>
        <v>125.40000000000009</v>
      </c>
      <c r="AN43" s="550">
        <f t="shared" si="37"/>
        <v>-24.5</v>
      </c>
      <c r="AO43" s="550">
        <f t="shared" si="39"/>
        <v>1434.1898854549931</v>
      </c>
      <c r="AP43" s="550">
        <f t="shared" si="39"/>
        <v>-207.04903393500263</v>
      </c>
      <c r="AQ43" s="550">
        <f t="shared" si="12"/>
        <v>-114.4</v>
      </c>
      <c r="AR43" s="550"/>
      <c r="AS43" s="561"/>
      <c r="AT43" s="550"/>
    </row>
    <row r="44" spans="1:46" s="559" customFormat="1" ht="18.75" customHeight="1" x14ac:dyDescent="0.3">
      <c r="A44" s="531" t="s">
        <v>327</v>
      </c>
      <c r="B44" s="620"/>
      <c r="C44" s="534"/>
      <c r="D44" s="533"/>
      <c r="E44" s="620"/>
      <c r="F44" s="534">
        <v>-7.7249999999999996</v>
      </c>
      <c r="G44" s="533" t="str">
        <f t="shared" si="27"/>
        <v xml:space="preserve">    ---- </v>
      </c>
      <c r="H44" s="534"/>
      <c r="I44" s="534"/>
      <c r="J44" s="533"/>
      <c r="K44" s="620"/>
      <c r="L44" s="534"/>
      <c r="M44" s="533"/>
      <c r="N44" s="620"/>
      <c r="O44" s="534"/>
      <c r="P44" s="533"/>
      <c r="Q44" s="620"/>
      <c r="R44" s="534"/>
      <c r="S44" s="533"/>
      <c r="T44" s="620">
        <v>-44.931177424999994</v>
      </c>
      <c r="U44" s="447">
        <v>-337.70486395500001</v>
      </c>
      <c r="V44" s="533">
        <f t="shared" si="32"/>
        <v>651.6</v>
      </c>
      <c r="W44" s="620">
        <v>-0.7</v>
      </c>
      <c r="X44" s="534">
        <v>-4.0999999999999996</v>
      </c>
      <c r="Y44" s="533">
        <f t="shared" si="33"/>
        <v>485.7</v>
      </c>
      <c r="Z44" s="620">
        <v>-8.5</v>
      </c>
      <c r="AA44" s="534">
        <v>-9.92</v>
      </c>
      <c r="AB44" s="533">
        <f t="shared" si="34"/>
        <v>16.7</v>
      </c>
      <c r="AC44" s="620"/>
      <c r="AD44" s="534"/>
      <c r="AE44" s="533"/>
      <c r="AF44" s="620"/>
      <c r="AG44" s="534"/>
      <c r="AH44" s="533"/>
      <c r="AI44" s="620"/>
      <c r="AJ44" s="534"/>
      <c r="AK44" s="533"/>
      <c r="AL44" s="620">
        <v>-21</v>
      </c>
      <c r="AM44" s="534">
        <v>34</v>
      </c>
      <c r="AN44" s="533">
        <f t="shared" si="37"/>
        <v>-261.89999999999998</v>
      </c>
      <c r="AO44" s="533">
        <f t="shared" ref="AO44:AP44" si="40">B44+E44+H44+K44+N44+T44+W44+Z44+AC44+AI44+AL44</f>
        <v>-75.131177425000004</v>
      </c>
      <c r="AP44" s="533">
        <f t="shared" si="40"/>
        <v>-325.44986395500007</v>
      </c>
      <c r="AQ44" s="533">
        <f t="shared" si="12"/>
        <v>333.2</v>
      </c>
      <c r="AR44" s="533"/>
      <c r="AS44" s="560"/>
      <c r="AT44" s="533"/>
    </row>
    <row r="45" spans="1:46" s="562" customFormat="1" ht="18.75" customHeight="1" x14ac:dyDescent="0.3">
      <c r="A45" s="545" t="s">
        <v>328</v>
      </c>
      <c r="B45" s="621">
        <f>B43+B44</f>
        <v>8.6790000000000376</v>
      </c>
      <c r="C45" s="563">
        <f>C43+C44</f>
        <v>20.646000000000203</v>
      </c>
      <c r="D45" s="546">
        <f>IF(B45=0, "    ---- ", IF(ABS(ROUND(100/B45*C45-100,1))&lt;999,ROUND(100/B45*C45-100,1),IF(ROUND(100/B45*C45-100,1)&gt;999,999,-999)))</f>
        <v>137.9</v>
      </c>
      <c r="E45" s="621">
        <f>E43+E44</f>
        <v>379.87100000000004</v>
      </c>
      <c r="F45" s="563">
        <f>F43+F44</f>
        <v>-90.822000000001395</v>
      </c>
      <c r="G45" s="546">
        <f>IF(E45=0, "    ---- ", IF(ABS(ROUND(100/E45*F45-100,1))&lt;999,ROUND(100/E45*F45-100,1),IF(ROUND(100/E45*F45-100,1)&gt;999,999,-999)))</f>
        <v>-123.9</v>
      </c>
      <c r="H45" s="563"/>
      <c r="I45" s="563">
        <v>-188.5257149900001</v>
      </c>
      <c r="J45" s="546" t="str">
        <f>IF(H45=0, "    ---- ", IF(ABS(ROUND(100/H45*I45-100,1))&lt;999,ROUND(100/H45*I45-100,1),IF(ROUND(100/H45*I45-100,1)&gt;999,999,-999)))</f>
        <v xml:space="preserve">    ---- </v>
      </c>
      <c r="K45" s="621">
        <f>K43+K44</f>
        <v>26.301999999999857</v>
      </c>
      <c r="L45" s="563">
        <f>L43+L44</f>
        <v>25.002999999999915</v>
      </c>
      <c r="M45" s="546">
        <f>IF(K45=0, "    ---- ", IF(ABS(ROUND(100/K45*L45-100,1))&lt;999,ROUND(100/K45*L45-100,1),IF(ROUND(100/K45*L45-100,1)&gt;999,999,-999)))</f>
        <v>-4.9000000000000004</v>
      </c>
      <c r="N45" s="621">
        <f>N43+N44</f>
        <v>39.899999999999281</v>
      </c>
      <c r="O45" s="563">
        <f>O43+O44</f>
        <v>26.900000000000091</v>
      </c>
      <c r="P45" s="546">
        <f>IF(N45=0, "    ---- ", IF(ABS(ROUND(100/N45*O45-100,1))&lt;999,ROUND(100/N45*O45-100,1),IF(ROUND(100/N45*O45-100,1)&gt;999,999,-999)))</f>
        <v>-32.6</v>
      </c>
      <c r="Q45" s="621">
        <f>Q43+Q44</f>
        <v>3.5091933099999988</v>
      </c>
      <c r="R45" s="563">
        <f>R43+R44</f>
        <v>2.0003608400000008</v>
      </c>
      <c r="S45" s="546">
        <f>IF(Q45=0, "    ---- ", IF(ABS(ROUND(100/Q45*R45-100,1))&lt;999,ROUND(100/Q45*R45-100,1),IF(ROUND(100/Q45*R45-100,1)&gt;999,999,-999)))</f>
        <v>-43</v>
      </c>
      <c r="T45" s="621">
        <f>T43+T44</f>
        <v>616.62272498999403</v>
      </c>
      <c r="U45" s="688">
        <v>-270.81398454000077</v>
      </c>
      <c r="V45" s="546">
        <f>IF(T45=0, "    ---- ", IF(ABS(ROUND(100/T45*U45-100,1))&lt;999,ROUND(100/T45*U45-100,1),IF(ROUND(100/T45*U45-100,1)&gt;999,999,-999)))</f>
        <v>-143.9</v>
      </c>
      <c r="W45" s="621">
        <f>W43+W44</f>
        <v>-1.5000000000001152</v>
      </c>
      <c r="X45" s="563">
        <f>X43+X44</f>
        <v>-17.90000000000007</v>
      </c>
      <c r="Y45" s="546">
        <f>IF(W45=0, "    ---- ", IF(ABS(ROUND(100/W45*X45-100,1))&lt;999,ROUND(100/W45*X45-100,1),IF(ROUND(100/W45*X45-100,1)&gt;999,999,-999)))</f>
        <v>999</v>
      </c>
      <c r="Z45" s="621">
        <f>Z43+Z44</f>
        <v>41.700000000000017</v>
      </c>
      <c r="AA45" s="563">
        <f>AA43+AA44</f>
        <v>185.27246944999891</v>
      </c>
      <c r="AB45" s="546">
        <f>IF(Z45=0, "    ---- ", IF(ABS(ROUND(100/Z45*AA45-100,1))&lt;999,ROUND(100/Z45*AA45-100,1),IF(ROUND(100/Z45*AA45-100,1)&gt;999,999,-999)))</f>
        <v>344.3</v>
      </c>
      <c r="AC45" s="621">
        <f>AC43+AC44</f>
        <v>11</v>
      </c>
      <c r="AD45" s="563">
        <f>AD43+AD44</f>
        <v>-174</v>
      </c>
      <c r="AE45" s="546">
        <f>IF(AC45=0, "    ---- ", IF(ABS(ROUND(100/AC45*AD45-100,1))&lt;999,ROUND(100/AC45*AD45-100,1),IF(ROUND(100/AC45*AD45-100,1)&gt;999,999,-999)))</f>
        <v>-999</v>
      </c>
      <c r="AF45" s="621">
        <f>AF43+AF44</f>
        <v>2.685334959999981</v>
      </c>
      <c r="AG45" s="563">
        <f>AG43+AG44</f>
        <v>2.2523367199999407</v>
      </c>
      <c r="AH45" s="546">
        <f>IF(AF45=0, "    ---- ", IF(ABS(ROUND(100/AF45*AG45-100,1))&lt;999,ROUND(100/AF45*AG45-100,1),IF(ROUND(100/AF45*AG45-100,1)&gt;999,999,-999)))</f>
        <v>-16.100000000000001</v>
      </c>
      <c r="AI45" s="621">
        <v>91.383983040000231</v>
      </c>
      <c r="AJ45" s="563">
        <f>AJ43+AJ44</f>
        <v>-207.65866780999951</v>
      </c>
      <c r="AK45" s="546">
        <f>IF(AI45=0, "    ---- ", IF(ABS(ROUND(100/AI45*AJ45-100,1))&lt;999,ROUND(100/AI45*AJ45-100,1),IF(ROUND(100/AI45*AJ45-100,1)&gt;999,999,-999)))</f>
        <v>-327.2</v>
      </c>
      <c r="AL45" s="621">
        <f>AL43+AL44</f>
        <v>145.09999999999982</v>
      </c>
      <c r="AM45" s="563">
        <f>AM43+AM44</f>
        <v>159.40000000000009</v>
      </c>
      <c r="AN45" s="546">
        <f>IF(AL45=0, "    ---- ", IF(ABS(ROUND(100/AL45*AM45-100,1))&lt;999,ROUND(100/AL45*AM45-100,1),IF(ROUND(100/AL45*AM45-100,1)&gt;999,999,-999)))</f>
        <v>9.9</v>
      </c>
      <c r="AO45" s="546">
        <f>B45+E45+H45+K45+N45+T45+W45+Z45+AC45+AI45+AL45</f>
        <v>1359.0587080299931</v>
      </c>
      <c r="AP45" s="546">
        <f>C45+F45+I45+L45+O45+U45+X45+AA45+AD45+AJ45+AM45</f>
        <v>-532.4988978900027</v>
      </c>
      <c r="AQ45" s="546">
        <f t="shared" si="12"/>
        <v>-139.19999999999999</v>
      </c>
      <c r="AR45" s="564"/>
      <c r="AS45" s="565"/>
      <c r="AT45" s="566"/>
    </row>
    <row r="46" spans="1:46" s="562" customFormat="1" ht="18.75" customHeight="1" x14ac:dyDescent="0.3">
      <c r="A46" s="567"/>
      <c r="B46" s="568"/>
      <c r="C46" s="568"/>
      <c r="D46" s="569"/>
      <c r="E46" s="568"/>
      <c r="F46" s="568"/>
      <c r="G46" s="551"/>
      <c r="H46" s="568"/>
      <c r="I46" s="568"/>
      <c r="J46" s="551"/>
      <c r="K46" s="568"/>
      <c r="L46" s="568"/>
      <c r="M46" s="551"/>
      <c r="N46" s="568"/>
      <c r="O46" s="568"/>
      <c r="P46" s="569"/>
      <c r="Q46" s="568"/>
      <c r="R46" s="568"/>
      <c r="S46" s="551"/>
      <c r="T46" s="568"/>
      <c r="U46" s="568"/>
      <c r="V46" s="551"/>
      <c r="W46" s="568"/>
      <c r="X46" s="568"/>
      <c r="Y46" s="551"/>
      <c r="Z46" s="568"/>
      <c r="AA46" s="568"/>
      <c r="AB46" s="551"/>
      <c r="AC46" s="568"/>
      <c r="AD46" s="568"/>
      <c r="AE46" s="551"/>
      <c r="AF46" s="568"/>
      <c r="AG46" s="568"/>
      <c r="AH46" s="551"/>
      <c r="AI46" s="568"/>
      <c r="AJ46" s="568"/>
      <c r="AK46" s="551"/>
      <c r="AL46" s="568"/>
      <c r="AM46" s="568"/>
      <c r="AN46" s="551"/>
      <c r="AO46" s="569"/>
      <c r="AP46" s="569"/>
      <c r="AQ46" s="551"/>
      <c r="AR46" s="570"/>
      <c r="AS46" s="570"/>
      <c r="AT46" s="571"/>
    </row>
    <row r="47" spans="1:46" s="572" customFormat="1" ht="18.75" customHeight="1" x14ac:dyDescent="0.3">
      <c r="A47" s="588" t="s">
        <v>329</v>
      </c>
      <c r="B47" s="604"/>
      <c r="C47" s="604"/>
      <c r="D47" s="588"/>
      <c r="E47" s="604"/>
      <c r="F47" s="604"/>
      <c r="G47" s="588"/>
      <c r="H47" s="604"/>
      <c r="I47" s="604"/>
      <c r="J47" s="588"/>
      <c r="K47" s="604"/>
      <c r="L47" s="604"/>
      <c r="M47" s="588"/>
      <c r="N47" s="604"/>
      <c r="O47" s="604"/>
      <c r="P47" s="588"/>
      <c r="Q47" s="604"/>
      <c r="R47" s="604"/>
      <c r="S47" s="588"/>
      <c r="T47" s="604"/>
      <c r="U47" s="604"/>
      <c r="V47" s="588"/>
      <c r="W47" s="604"/>
      <c r="X47" s="604"/>
      <c r="Y47" s="588"/>
      <c r="Z47" s="604"/>
      <c r="AA47" s="604"/>
      <c r="AB47" s="588"/>
      <c r="AC47" s="604"/>
      <c r="AD47" s="604"/>
      <c r="AE47" s="588"/>
      <c r="AF47" s="604"/>
      <c r="AG47" s="604"/>
      <c r="AH47" s="588"/>
      <c r="AI47" s="604"/>
      <c r="AJ47" s="604"/>
      <c r="AK47" s="588"/>
      <c r="AL47" s="604"/>
      <c r="AM47" s="604"/>
      <c r="AN47" s="588"/>
      <c r="AO47" s="588"/>
      <c r="AP47" s="588"/>
      <c r="AQ47" s="588"/>
      <c r="AR47" s="588"/>
      <c r="AS47" s="588"/>
      <c r="AT47" s="588"/>
    </row>
    <row r="48" spans="1:46" s="573" customFormat="1" ht="18.75" customHeight="1" x14ac:dyDescent="0.3">
      <c r="A48" s="588" t="s">
        <v>330</v>
      </c>
      <c r="B48" s="604"/>
      <c r="C48" s="604"/>
      <c r="D48" s="588"/>
      <c r="E48" s="604"/>
      <c r="F48" s="604"/>
      <c r="G48" s="588"/>
      <c r="H48" s="604"/>
      <c r="I48" s="604"/>
      <c r="J48" s="588"/>
      <c r="K48" s="604"/>
      <c r="L48" s="604"/>
      <c r="M48" s="588"/>
      <c r="N48" s="604"/>
      <c r="O48" s="604"/>
      <c r="P48" s="588"/>
      <c r="Q48" s="604"/>
      <c r="R48" s="604"/>
      <c r="S48" s="588"/>
      <c r="T48" s="604"/>
      <c r="U48" s="604"/>
      <c r="V48" s="588"/>
      <c r="W48" s="604"/>
      <c r="X48" s="604"/>
      <c r="Y48" s="588"/>
      <c r="Z48" s="604"/>
      <c r="AA48" s="604"/>
      <c r="AB48" s="588"/>
      <c r="AC48" s="604"/>
      <c r="AD48" s="604"/>
      <c r="AE48" s="588"/>
      <c r="AF48" s="604"/>
      <c r="AG48" s="604"/>
      <c r="AH48" s="588"/>
      <c r="AI48" s="604"/>
      <c r="AJ48" s="604"/>
      <c r="AK48" s="588"/>
      <c r="AL48" s="604"/>
      <c r="AM48" s="604"/>
      <c r="AN48" s="588"/>
      <c r="AO48" s="588"/>
      <c r="AP48" s="588"/>
      <c r="AQ48" s="588"/>
      <c r="AR48" s="588"/>
      <c r="AS48" s="588"/>
      <c r="AT48" s="588"/>
    </row>
    <row r="49" spans="1:46" s="573" customFormat="1" ht="18.75" customHeight="1" x14ac:dyDescent="0.3">
      <c r="A49" s="588" t="s">
        <v>331</v>
      </c>
      <c r="B49" s="604"/>
      <c r="C49" s="604"/>
      <c r="D49" s="588"/>
      <c r="E49" s="604"/>
      <c r="F49" s="604"/>
      <c r="G49" s="588"/>
      <c r="H49" s="604"/>
      <c r="I49" s="604"/>
      <c r="J49" s="588"/>
      <c r="K49" s="604"/>
      <c r="L49" s="604"/>
      <c r="M49" s="588"/>
      <c r="N49" s="604"/>
      <c r="O49" s="604"/>
      <c r="P49" s="588"/>
      <c r="Q49" s="604"/>
      <c r="R49" s="604"/>
      <c r="S49" s="588"/>
      <c r="T49" s="604"/>
      <c r="U49" s="604"/>
      <c r="V49" s="588"/>
      <c r="W49" s="604"/>
      <c r="X49" s="604"/>
      <c r="Y49" s="588"/>
      <c r="Z49" s="604"/>
      <c r="AA49" s="604"/>
      <c r="AB49" s="588"/>
      <c r="AC49" s="604"/>
      <c r="AD49" s="604"/>
      <c r="AE49" s="588"/>
      <c r="AF49" s="604"/>
      <c r="AG49" s="604"/>
      <c r="AH49" s="588"/>
      <c r="AI49" s="604"/>
      <c r="AJ49" s="604"/>
      <c r="AK49" s="588"/>
      <c r="AL49" s="604"/>
      <c r="AM49" s="604"/>
      <c r="AN49" s="588"/>
      <c r="AO49" s="588"/>
      <c r="AP49" s="588"/>
      <c r="AQ49" s="588"/>
      <c r="AR49" s="588"/>
      <c r="AS49" s="588"/>
      <c r="AT49" s="588"/>
    </row>
    <row r="50" spans="1:46" s="573" customFormat="1" ht="18.75" customHeight="1" x14ac:dyDescent="0.3">
      <c r="A50" s="588" t="s">
        <v>332</v>
      </c>
      <c r="B50" s="604"/>
      <c r="C50" s="604"/>
      <c r="D50" s="588"/>
      <c r="E50" s="604"/>
      <c r="F50" s="604"/>
      <c r="G50" s="588"/>
      <c r="H50" s="604"/>
      <c r="I50" s="604"/>
      <c r="J50" s="588"/>
      <c r="K50" s="604"/>
      <c r="L50" s="604"/>
      <c r="M50" s="588"/>
      <c r="N50" s="604"/>
      <c r="O50" s="604"/>
      <c r="P50" s="588"/>
      <c r="Q50" s="604"/>
      <c r="R50" s="604"/>
      <c r="S50" s="588"/>
      <c r="T50" s="604"/>
      <c r="U50" s="604"/>
      <c r="V50" s="588"/>
      <c r="W50" s="604"/>
      <c r="X50" s="604"/>
      <c r="Y50" s="588"/>
      <c r="Z50" s="604"/>
      <c r="AA50" s="604"/>
      <c r="AB50" s="588"/>
      <c r="AC50" s="604"/>
      <c r="AD50" s="604"/>
      <c r="AE50" s="588"/>
      <c r="AF50" s="604"/>
      <c r="AG50" s="604"/>
      <c r="AH50" s="588"/>
      <c r="AI50" s="604"/>
      <c r="AJ50" s="604"/>
      <c r="AK50" s="588"/>
      <c r="AL50" s="604"/>
      <c r="AM50" s="604"/>
      <c r="AN50" s="588"/>
      <c r="AO50" s="588"/>
      <c r="AP50" s="588"/>
      <c r="AQ50" s="588"/>
      <c r="AR50" s="588"/>
      <c r="AS50" s="588"/>
      <c r="AT50" s="588"/>
    </row>
    <row r="51" spans="1:46" s="573" customFormat="1" ht="18.75" customHeight="1" x14ac:dyDescent="0.3">
      <c r="A51" s="588" t="s">
        <v>333</v>
      </c>
      <c r="B51" s="604"/>
      <c r="C51" s="604"/>
      <c r="D51" s="588"/>
      <c r="E51" s="604"/>
      <c r="F51" s="604"/>
      <c r="G51" s="588"/>
      <c r="H51" s="604"/>
      <c r="I51" s="604"/>
      <c r="J51" s="588"/>
      <c r="K51" s="604"/>
      <c r="L51" s="604"/>
      <c r="M51" s="588"/>
      <c r="N51" s="604"/>
      <c r="O51" s="604"/>
      <c r="P51" s="588"/>
      <c r="Q51" s="604"/>
      <c r="R51" s="604"/>
      <c r="S51" s="588"/>
      <c r="T51" s="604"/>
      <c r="U51" s="604"/>
      <c r="V51" s="588"/>
      <c r="W51" s="604"/>
      <c r="X51" s="604"/>
      <c r="Y51" s="588"/>
      <c r="Z51" s="604"/>
      <c r="AA51" s="604"/>
      <c r="AB51" s="588"/>
      <c r="AC51" s="604"/>
      <c r="AD51" s="604"/>
      <c r="AE51" s="588"/>
      <c r="AF51" s="604"/>
      <c r="AG51" s="604"/>
      <c r="AH51" s="588"/>
      <c r="AI51" s="604"/>
      <c r="AJ51" s="604"/>
      <c r="AK51" s="588"/>
      <c r="AL51" s="604"/>
      <c r="AM51" s="604"/>
      <c r="AN51" s="588"/>
      <c r="AO51" s="588"/>
      <c r="AP51" s="588"/>
      <c r="AQ51" s="588"/>
      <c r="AR51" s="588"/>
      <c r="AS51" s="588"/>
      <c r="AT51" s="588"/>
    </row>
    <row r="52" spans="1:46" s="573" customFormat="1" ht="18.75" customHeight="1" x14ac:dyDescent="0.3">
      <c r="A52" s="588" t="s">
        <v>334</v>
      </c>
      <c r="B52" s="604"/>
      <c r="C52" s="604"/>
      <c r="D52" s="588"/>
      <c r="E52" s="604"/>
      <c r="F52" s="604"/>
      <c r="G52" s="588"/>
      <c r="H52" s="604"/>
      <c r="I52" s="604"/>
      <c r="J52" s="588"/>
      <c r="K52" s="604"/>
      <c r="L52" s="604"/>
      <c r="M52" s="588"/>
      <c r="N52" s="604"/>
      <c r="O52" s="604"/>
      <c r="P52" s="588"/>
      <c r="Q52" s="604"/>
      <c r="R52" s="604"/>
      <c r="S52" s="588"/>
      <c r="T52" s="604"/>
      <c r="U52" s="604"/>
      <c r="V52" s="588"/>
      <c r="W52" s="604"/>
      <c r="X52" s="604"/>
      <c r="Y52" s="588"/>
      <c r="Z52" s="604"/>
      <c r="AA52" s="604"/>
      <c r="AB52" s="588"/>
      <c r="AC52" s="604"/>
      <c r="AD52" s="604"/>
      <c r="AE52" s="588"/>
      <c r="AF52" s="604"/>
      <c r="AG52" s="604"/>
      <c r="AH52" s="588"/>
      <c r="AI52" s="604"/>
      <c r="AJ52" s="604"/>
      <c r="AK52" s="588"/>
      <c r="AL52" s="604"/>
      <c r="AM52" s="604"/>
      <c r="AN52" s="588"/>
      <c r="AO52" s="588"/>
      <c r="AP52" s="588"/>
      <c r="AQ52" s="588"/>
      <c r="AR52" s="588"/>
      <c r="AS52" s="588"/>
      <c r="AT52" s="588"/>
    </row>
    <row r="53" spans="1:46" s="573" customFormat="1" ht="18.75" customHeight="1" x14ac:dyDescent="0.3">
      <c r="A53" s="588" t="s">
        <v>335</v>
      </c>
      <c r="B53" s="604"/>
      <c r="C53" s="604"/>
      <c r="D53" s="588"/>
      <c r="E53" s="604"/>
      <c r="F53" s="604"/>
      <c r="G53" s="588"/>
      <c r="H53" s="604"/>
      <c r="I53" s="604"/>
      <c r="J53" s="588"/>
      <c r="K53" s="604"/>
      <c r="L53" s="604"/>
      <c r="M53" s="588"/>
      <c r="N53" s="604"/>
      <c r="O53" s="604"/>
      <c r="P53" s="588"/>
      <c r="Q53" s="604"/>
      <c r="R53" s="604"/>
      <c r="S53" s="588"/>
      <c r="T53" s="604"/>
      <c r="U53" s="604"/>
      <c r="V53" s="588"/>
      <c r="W53" s="604"/>
      <c r="X53" s="604"/>
      <c r="Y53" s="588"/>
      <c r="Z53" s="604"/>
      <c r="AA53" s="604"/>
      <c r="AB53" s="588"/>
      <c r="AC53" s="604"/>
      <c r="AD53" s="604"/>
      <c r="AE53" s="588"/>
      <c r="AF53" s="604"/>
      <c r="AG53" s="604"/>
      <c r="AH53" s="588"/>
      <c r="AI53" s="604"/>
      <c r="AJ53" s="604"/>
      <c r="AK53" s="588"/>
      <c r="AL53" s="604"/>
      <c r="AM53" s="604"/>
      <c r="AN53" s="588"/>
      <c r="AO53" s="588"/>
      <c r="AP53" s="588"/>
      <c r="AQ53" s="588"/>
      <c r="AR53" s="588"/>
      <c r="AS53" s="588"/>
      <c r="AT53" s="588"/>
    </row>
    <row r="54" spans="1:46" s="573" customFormat="1" ht="18.75" customHeight="1" x14ac:dyDescent="0.3">
      <c r="A54" s="588" t="s">
        <v>336</v>
      </c>
      <c r="B54" s="604"/>
      <c r="C54" s="604"/>
      <c r="D54" s="588"/>
      <c r="E54" s="604"/>
      <c r="F54" s="604"/>
      <c r="G54" s="588"/>
      <c r="H54" s="604"/>
      <c r="I54" s="604"/>
      <c r="J54" s="588"/>
      <c r="K54" s="604"/>
      <c r="L54" s="604"/>
      <c r="M54" s="588"/>
      <c r="N54" s="604"/>
      <c r="O54" s="604"/>
      <c r="P54" s="588"/>
      <c r="Q54" s="604"/>
      <c r="R54" s="604"/>
      <c r="S54" s="588"/>
      <c r="T54" s="604"/>
      <c r="U54" s="604"/>
      <c r="V54" s="588"/>
      <c r="W54" s="604"/>
      <c r="X54" s="604"/>
      <c r="Y54" s="588"/>
      <c r="Z54" s="604"/>
      <c r="AA54" s="604"/>
      <c r="AB54" s="588"/>
      <c r="AC54" s="604"/>
      <c r="AD54" s="604"/>
      <c r="AE54" s="588"/>
      <c r="AF54" s="604"/>
      <c r="AG54" s="604"/>
      <c r="AH54" s="588"/>
      <c r="AI54" s="604"/>
      <c r="AJ54" s="604"/>
      <c r="AK54" s="588"/>
      <c r="AL54" s="604"/>
      <c r="AM54" s="604"/>
      <c r="AN54" s="588"/>
      <c r="AO54" s="588"/>
      <c r="AP54" s="588"/>
      <c r="AQ54" s="588"/>
      <c r="AR54" s="588"/>
      <c r="AS54" s="588"/>
      <c r="AT54" s="588"/>
    </row>
    <row r="55" spans="1:46" s="573" customFormat="1" ht="18.75" customHeight="1" x14ac:dyDescent="0.3">
      <c r="A55" s="588" t="s">
        <v>337</v>
      </c>
      <c r="B55" s="604"/>
      <c r="C55" s="604"/>
      <c r="D55" s="588"/>
      <c r="E55" s="604"/>
      <c r="F55" s="604"/>
      <c r="G55" s="588"/>
      <c r="H55" s="604"/>
      <c r="I55" s="604"/>
      <c r="J55" s="588"/>
      <c r="K55" s="604"/>
      <c r="L55" s="604"/>
      <c r="M55" s="588"/>
      <c r="N55" s="604"/>
      <c r="O55" s="604"/>
      <c r="P55" s="588"/>
      <c r="Q55" s="604"/>
      <c r="R55" s="604"/>
      <c r="S55" s="588"/>
      <c r="T55" s="604"/>
      <c r="U55" s="604"/>
      <c r="V55" s="588"/>
      <c r="W55" s="604"/>
      <c r="X55" s="604"/>
      <c r="Y55" s="588"/>
      <c r="Z55" s="604"/>
      <c r="AA55" s="604"/>
      <c r="AB55" s="588"/>
      <c r="AC55" s="604"/>
      <c r="AD55" s="604"/>
      <c r="AE55" s="588"/>
      <c r="AF55" s="604"/>
      <c r="AG55" s="604"/>
      <c r="AH55" s="588"/>
      <c r="AI55" s="604"/>
      <c r="AJ55" s="604"/>
      <c r="AK55" s="588"/>
      <c r="AL55" s="604"/>
      <c r="AM55" s="604"/>
      <c r="AN55" s="588"/>
      <c r="AO55" s="588"/>
      <c r="AP55" s="588"/>
      <c r="AQ55" s="588"/>
      <c r="AR55" s="588"/>
      <c r="AS55" s="588"/>
      <c r="AT55" s="588"/>
    </row>
    <row r="56" spans="1:46" s="573" customFormat="1" ht="18.75" customHeight="1" x14ac:dyDescent="0.3">
      <c r="A56" s="588" t="s">
        <v>338</v>
      </c>
      <c r="B56" s="604"/>
      <c r="C56" s="604"/>
      <c r="D56" s="588"/>
      <c r="E56" s="604"/>
      <c r="F56" s="604"/>
      <c r="G56" s="588"/>
      <c r="H56" s="604"/>
      <c r="I56" s="604"/>
      <c r="J56" s="588"/>
      <c r="K56" s="604"/>
      <c r="L56" s="604"/>
      <c r="M56" s="588"/>
      <c r="N56" s="604"/>
      <c r="O56" s="604"/>
      <c r="P56" s="588"/>
      <c r="Q56" s="604"/>
      <c r="R56" s="604"/>
      <c r="S56" s="588"/>
      <c r="T56" s="604"/>
      <c r="U56" s="604"/>
      <c r="V56" s="588"/>
      <c r="W56" s="604"/>
      <c r="X56" s="604"/>
      <c r="Y56" s="588"/>
      <c r="Z56" s="604"/>
      <c r="AA56" s="604"/>
      <c r="AB56" s="588"/>
      <c r="AC56" s="604"/>
      <c r="AD56" s="604"/>
      <c r="AE56" s="588"/>
      <c r="AF56" s="604"/>
      <c r="AG56" s="604"/>
      <c r="AH56" s="588"/>
      <c r="AI56" s="604"/>
      <c r="AJ56" s="604"/>
      <c r="AK56" s="588"/>
      <c r="AL56" s="604"/>
      <c r="AM56" s="604"/>
      <c r="AN56" s="588"/>
      <c r="AO56" s="588"/>
      <c r="AP56" s="588"/>
      <c r="AQ56" s="588"/>
      <c r="AR56" s="588"/>
      <c r="AS56" s="588"/>
      <c r="AT56" s="588"/>
    </row>
    <row r="57" spans="1:46" s="572" customFormat="1" ht="18.75" customHeight="1" x14ac:dyDescent="0.3">
      <c r="A57" s="589" t="s">
        <v>339</v>
      </c>
      <c r="B57" s="605"/>
      <c r="C57" s="605"/>
      <c r="D57" s="589"/>
      <c r="E57" s="605"/>
      <c r="F57" s="605"/>
      <c r="G57" s="589"/>
      <c r="H57" s="605"/>
      <c r="I57" s="605"/>
      <c r="J57" s="589"/>
      <c r="K57" s="605"/>
      <c r="L57" s="605"/>
      <c r="M57" s="589"/>
      <c r="N57" s="605"/>
      <c r="O57" s="605"/>
      <c r="P57" s="589"/>
      <c r="Q57" s="605"/>
      <c r="R57" s="605"/>
      <c r="S57" s="589"/>
      <c r="T57" s="605"/>
      <c r="U57" s="605"/>
      <c r="V57" s="589"/>
      <c r="W57" s="605"/>
      <c r="X57" s="605"/>
      <c r="Y57" s="589"/>
      <c r="Z57" s="605"/>
      <c r="AA57" s="605"/>
      <c r="AB57" s="589"/>
      <c r="AC57" s="605"/>
      <c r="AD57" s="605"/>
      <c r="AE57" s="589"/>
      <c r="AF57" s="605"/>
      <c r="AG57" s="605"/>
      <c r="AH57" s="589"/>
      <c r="AI57" s="605"/>
      <c r="AJ57" s="605"/>
      <c r="AK57" s="589"/>
      <c r="AL57" s="605"/>
      <c r="AM57" s="605"/>
      <c r="AN57" s="589"/>
      <c r="AO57" s="589"/>
      <c r="AP57" s="589"/>
      <c r="AQ57" s="589"/>
      <c r="AR57" s="589"/>
      <c r="AS57" s="589"/>
      <c r="AT57" s="589"/>
    </row>
    <row r="58" spans="1:46" s="575" customFormat="1" ht="18.75" customHeight="1" x14ac:dyDescent="0.3">
      <c r="A58" s="559" t="s">
        <v>255</v>
      </c>
      <c r="B58" s="559"/>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74"/>
      <c r="AC58" s="574"/>
      <c r="AD58" s="574"/>
      <c r="AE58" s="574"/>
      <c r="AF58" s="574"/>
      <c r="AG58" s="574"/>
      <c r="AH58" s="574"/>
      <c r="AI58" s="574"/>
      <c r="AJ58" s="574"/>
      <c r="AK58" s="574"/>
      <c r="AL58" s="574"/>
      <c r="AM58" s="574"/>
      <c r="AN58" s="574"/>
      <c r="AO58" s="574"/>
      <c r="AP58" s="574"/>
      <c r="AQ58" s="574"/>
      <c r="AR58" s="574"/>
      <c r="AS58" s="574"/>
    </row>
    <row r="59" spans="1:46" s="575" customFormat="1" ht="18.75" customHeight="1" x14ac:dyDescent="0.3">
      <c r="A59" s="559" t="s">
        <v>256</v>
      </c>
    </row>
    <row r="60" spans="1:46" s="575" customFormat="1" ht="18.75" customHeight="1" x14ac:dyDescent="0.3">
      <c r="A60" s="559" t="s">
        <v>257</v>
      </c>
    </row>
    <row r="61" spans="1:46" s="575" customFormat="1" ht="18.75" x14ac:dyDescent="0.3"/>
  </sheetData>
  <mergeCells count="28">
    <mergeCell ref="H6:J6"/>
    <mergeCell ref="AF6:AH6"/>
    <mergeCell ref="AI6:AK6"/>
    <mergeCell ref="AL6:AN6"/>
    <mergeCell ref="AO6:AQ6"/>
    <mergeCell ref="AR6:AT6"/>
    <mergeCell ref="AR5:AT5"/>
    <mergeCell ref="B6:D6"/>
    <mergeCell ref="E6:G6"/>
    <mergeCell ref="K6:M6"/>
    <mergeCell ref="N6:P6"/>
    <mergeCell ref="Q6:S6"/>
    <mergeCell ref="T6:V6"/>
    <mergeCell ref="W6:Y6"/>
    <mergeCell ref="Z6:AB6"/>
    <mergeCell ref="AC6:AE6"/>
    <mergeCell ref="W5:Y5"/>
    <mergeCell ref="AC5:AE5"/>
    <mergeCell ref="AI5:AK5"/>
    <mergeCell ref="AL5:AN5"/>
    <mergeCell ref="AO5:AQ5"/>
    <mergeCell ref="T5:V5"/>
    <mergeCell ref="H5:J5"/>
    <mergeCell ref="B5:D5"/>
    <mergeCell ref="E5:G5"/>
    <mergeCell ref="K5:M5"/>
    <mergeCell ref="N5:P5"/>
    <mergeCell ref="Q5:S5"/>
  </mergeCells>
  <conditionalFormatting sqref="N29">
    <cfRule type="expression" dxfId="217" priority="121">
      <formula>#REF! ="30≠24+25+26+27+28+29"</formula>
    </cfRule>
  </conditionalFormatting>
  <conditionalFormatting sqref="N34">
    <cfRule type="expression" dxfId="216" priority="122">
      <formula>#REF! ="35≠14+15+16+17+22+30+31+32+33+34"</formula>
    </cfRule>
  </conditionalFormatting>
  <conditionalFormatting sqref="N45">
    <cfRule type="expression" dxfId="215" priority="123">
      <formula>#REF! ="46≠35+38+39+40+43+45"</formula>
    </cfRule>
  </conditionalFormatting>
  <conditionalFormatting sqref="N14">
    <cfRule type="expression" dxfId="214" priority="124">
      <formula>#REF! ="14≠11+12+13"</formula>
    </cfRule>
  </conditionalFormatting>
  <conditionalFormatting sqref="N21">
    <cfRule type="expression" dxfId="213" priority="125">
      <formula>#REF! ="22≠19+20+21"</formula>
    </cfRule>
  </conditionalFormatting>
  <conditionalFormatting sqref="AI29">
    <cfRule type="expression" dxfId="212" priority="111">
      <formula>#REF! ="30≠24+25+26+27+28+29"</formula>
    </cfRule>
  </conditionalFormatting>
  <conditionalFormatting sqref="AI34">
    <cfRule type="expression" dxfId="211" priority="112">
      <formula>#REF! ="35≠14+15+16+17+22+30+31+32+33+34"</formula>
    </cfRule>
  </conditionalFormatting>
  <conditionalFormatting sqref="AI45">
    <cfRule type="expression" dxfId="210" priority="113">
      <formula>#REF! ="46≠35+38+39+40+43+45"</formula>
    </cfRule>
  </conditionalFormatting>
  <conditionalFormatting sqref="AI14">
    <cfRule type="expression" dxfId="209" priority="114">
      <formula>#REF! ="14≠11+12+13"</formula>
    </cfRule>
  </conditionalFormatting>
  <conditionalFormatting sqref="AI21">
    <cfRule type="expression" dxfId="208" priority="115">
      <formula>#REF! ="22≠19+20+21"</formula>
    </cfRule>
  </conditionalFormatting>
  <conditionalFormatting sqref="AL29">
    <cfRule type="expression" dxfId="207" priority="101">
      <formula>#REF! ="30≠24+25+26+27+28+29"</formula>
    </cfRule>
  </conditionalFormatting>
  <conditionalFormatting sqref="AL34">
    <cfRule type="expression" dxfId="206" priority="102">
      <formula>#REF! ="35≠14+15+16+17+22+30+31+32+33+34"</formula>
    </cfRule>
  </conditionalFormatting>
  <conditionalFormatting sqref="AL45">
    <cfRule type="expression" dxfId="205" priority="103">
      <formula>#REF! ="46≠35+38+39+40+43+45"</formula>
    </cfRule>
  </conditionalFormatting>
  <conditionalFormatting sqref="AL14">
    <cfRule type="expression" dxfId="204" priority="104">
      <formula>#REF! ="14≠11+12+13"</formula>
    </cfRule>
  </conditionalFormatting>
  <conditionalFormatting sqref="AL21">
    <cfRule type="expression" dxfId="203" priority="105">
      <formula>#REF! ="22≠19+20+21"</formula>
    </cfRule>
  </conditionalFormatting>
  <conditionalFormatting sqref="Z29">
    <cfRule type="expression" dxfId="202" priority="91">
      <formula>#REF! ="30≠24+25+26+27+28+29"</formula>
    </cfRule>
  </conditionalFormatting>
  <conditionalFormatting sqref="Z34">
    <cfRule type="expression" dxfId="201" priority="92">
      <formula>#REF! ="35≠14+15+16+17+22+30+31+32+33+34"</formula>
    </cfRule>
  </conditionalFormatting>
  <conditionalFormatting sqref="Z45">
    <cfRule type="expression" dxfId="200" priority="93">
      <formula>#REF! ="46≠35+38+39+40+43+45"</formula>
    </cfRule>
  </conditionalFormatting>
  <conditionalFormatting sqref="Z14">
    <cfRule type="expression" dxfId="199" priority="94">
      <formula>#REF! ="14≠11+12+13"</formula>
    </cfRule>
  </conditionalFormatting>
  <conditionalFormatting sqref="Z21">
    <cfRule type="expression" dxfId="198" priority="95">
      <formula>#REF! ="22≠19+20+21"</formula>
    </cfRule>
  </conditionalFormatting>
  <conditionalFormatting sqref="B29">
    <cfRule type="expression" dxfId="197" priority="81">
      <formula>#REF! ="30≠24+25+26+27+28+29"</formula>
    </cfRule>
  </conditionalFormatting>
  <conditionalFormatting sqref="B34">
    <cfRule type="expression" dxfId="196" priority="82">
      <formula>#REF! ="35≠14+15+16+17+22+30+31+32+33+34"</formula>
    </cfRule>
  </conditionalFormatting>
  <conditionalFormatting sqref="B45">
    <cfRule type="expression" dxfId="195" priority="83">
      <formula>#REF! ="46≠35+38+39+40+43+45"</formula>
    </cfRule>
  </conditionalFormatting>
  <conditionalFormatting sqref="B14">
    <cfRule type="expression" dxfId="194" priority="84">
      <formula>#REF! ="14≠11+12+13"</formula>
    </cfRule>
  </conditionalFormatting>
  <conditionalFormatting sqref="B21">
    <cfRule type="expression" dxfId="193" priority="85">
      <formula>#REF! ="22≠19+20+21"</formula>
    </cfRule>
  </conditionalFormatting>
  <conditionalFormatting sqref="T29">
    <cfRule type="expression" dxfId="192" priority="71">
      <formula>#REF! ="30≠24+25+26+27+28+29"</formula>
    </cfRule>
  </conditionalFormatting>
  <conditionalFormatting sqref="T34">
    <cfRule type="expression" dxfId="191" priority="72">
      <formula>#REF! ="35≠14+15+16+17+22+30+31+32+33+34"</formula>
    </cfRule>
  </conditionalFormatting>
  <conditionalFormatting sqref="T45">
    <cfRule type="expression" dxfId="190" priority="73">
      <formula>#REF! ="46≠35+38+39+40+43+45"</formula>
    </cfRule>
  </conditionalFormatting>
  <conditionalFormatting sqref="T14">
    <cfRule type="expression" dxfId="189" priority="74">
      <formula>#REF! ="14≠11+12+13"</formula>
    </cfRule>
  </conditionalFormatting>
  <conditionalFormatting sqref="T21">
    <cfRule type="expression" dxfId="188" priority="75">
      <formula>#REF! ="22≠19+20+21"</formula>
    </cfRule>
  </conditionalFormatting>
  <conditionalFormatting sqref="AC29">
    <cfRule type="expression" dxfId="187" priority="61">
      <formula>#REF! ="30≠24+25+26+27+28+29"</formula>
    </cfRule>
  </conditionalFormatting>
  <conditionalFormatting sqref="AC34">
    <cfRule type="expression" dxfId="186" priority="62">
      <formula>#REF! ="35≠14+15+16+17+22+30+31+32+33+34"</formula>
    </cfRule>
  </conditionalFormatting>
  <conditionalFormatting sqref="AC45">
    <cfRule type="expression" dxfId="185" priority="63">
      <formula>#REF! ="46≠35+38+39+40+43+45"</formula>
    </cfRule>
  </conditionalFormatting>
  <conditionalFormatting sqref="AC14">
    <cfRule type="expression" dxfId="184" priority="64">
      <formula>#REF! ="14≠11+12+13"</formula>
    </cfRule>
  </conditionalFormatting>
  <conditionalFormatting sqref="AC21">
    <cfRule type="expression" dxfId="183" priority="65">
      <formula>#REF! ="22≠19+20+21"</formula>
    </cfRule>
  </conditionalFormatting>
  <conditionalFormatting sqref="K29">
    <cfRule type="expression" dxfId="182" priority="41">
      <formula>#REF! ="30≠24+25+26+27+28+29"</formula>
    </cfRule>
  </conditionalFormatting>
  <conditionalFormatting sqref="K34">
    <cfRule type="expression" dxfId="181" priority="42">
      <formula>#REF! ="35≠14+15+16+17+22+30+31+32+33+34"</formula>
    </cfRule>
  </conditionalFormatting>
  <conditionalFormatting sqref="K45">
    <cfRule type="expression" dxfId="180" priority="43">
      <formula>#REF! ="46≠35+38+39+40+43+45"</formula>
    </cfRule>
  </conditionalFormatting>
  <conditionalFormatting sqref="K14">
    <cfRule type="expression" dxfId="179" priority="44">
      <formula>#REF! ="14≠11+12+13"</formula>
    </cfRule>
  </conditionalFormatting>
  <conditionalFormatting sqref="K21">
    <cfRule type="expression" dxfId="178" priority="45">
      <formula>#REF! ="22≠19+20+21"</formula>
    </cfRule>
  </conditionalFormatting>
  <conditionalFormatting sqref="E29">
    <cfRule type="expression" dxfId="177" priority="31">
      <formula>#REF! ="30≠24+25+26+27+28+29"</formula>
    </cfRule>
  </conditionalFormatting>
  <conditionalFormatting sqref="E34">
    <cfRule type="expression" dxfId="176" priority="32">
      <formula>#REF! ="35≠14+15+16+17+22+30+31+32+33+34"</formula>
    </cfRule>
  </conditionalFormatting>
  <conditionalFormatting sqref="E45">
    <cfRule type="expression" dxfId="175" priority="33">
      <formula>#REF! ="46≠35+38+39+40+43+45"</formula>
    </cfRule>
  </conditionalFormatting>
  <conditionalFormatting sqref="E14">
    <cfRule type="expression" dxfId="174" priority="34">
      <formula>#REF! ="14≠11+12+13"</formula>
    </cfRule>
  </conditionalFormatting>
  <conditionalFormatting sqref="E21">
    <cfRule type="expression" dxfId="173" priority="35">
      <formula>#REF! ="22≠19+20+21"</formula>
    </cfRule>
  </conditionalFormatting>
  <conditionalFormatting sqref="Q29">
    <cfRule type="expression" dxfId="172" priority="21">
      <formula>#REF! ="30≠24+25+26+27+28+29"</formula>
    </cfRule>
  </conditionalFormatting>
  <conditionalFormatting sqref="Q34">
    <cfRule type="expression" dxfId="171" priority="22">
      <formula>#REF! ="35≠14+15+16+17+22+30+31+32+33+34"</formula>
    </cfRule>
  </conditionalFormatting>
  <conditionalFormatting sqref="Q45">
    <cfRule type="expression" dxfId="170" priority="23">
      <formula>#REF! ="46≠35+38+39+40+43+45"</formula>
    </cfRule>
  </conditionalFormatting>
  <conditionalFormatting sqref="Q14">
    <cfRule type="expression" dxfId="169" priority="24">
      <formula>#REF! ="14≠11+12+13"</formula>
    </cfRule>
  </conditionalFormatting>
  <conditionalFormatting sqref="Q21">
    <cfRule type="expression" dxfId="168" priority="25">
      <formula>#REF! ="22≠19+20+21"</formula>
    </cfRule>
  </conditionalFormatting>
  <conditionalFormatting sqref="AF29">
    <cfRule type="expression" dxfId="167" priority="11">
      <formula>#REF! ="30≠24+25+26+27+28+29"</formula>
    </cfRule>
  </conditionalFormatting>
  <conditionalFormatting sqref="AF34">
    <cfRule type="expression" dxfId="166" priority="12">
      <formula>#REF! ="35≠14+15+16+17+22+30+31+32+33+34"</formula>
    </cfRule>
  </conditionalFormatting>
  <conditionalFormatting sqref="AF45">
    <cfRule type="expression" dxfId="165" priority="13">
      <formula>#REF! ="46≠35+38+39+40+43+45"</formula>
    </cfRule>
  </conditionalFormatting>
  <conditionalFormatting sqref="AF14">
    <cfRule type="expression" dxfId="164" priority="14">
      <formula>#REF! ="14≠11+12+13"</formula>
    </cfRule>
  </conditionalFormatting>
  <conditionalFormatting sqref="AF21">
    <cfRule type="expression" dxfId="163" priority="15">
      <formula>#REF! ="22≠19+20+21"</formula>
    </cfRule>
  </conditionalFormatting>
  <conditionalFormatting sqref="W29">
    <cfRule type="expression" dxfId="162" priority="1">
      <formula>#REF! ="30≠24+25+26+27+28+29"</formula>
    </cfRule>
  </conditionalFormatting>
  <conditionalFormatting sqref="W34">
    <cfRule type="expression" dxfId="161" priority="2">
      <formula>#REF! ="35≠14+15+16+17+22+30+31+32+33+34"</formula>
    </cfRule>
  </conditionalFormatting>
  <conditionalFormatting sqref="W45">
    <cfRule type="expression" dxfId="160" priority="3">
      <formula>#REF! ="46≠35+38+39+40+43+45"</formula>
    </cfRule>
  </conditionalFormatting>
  <conditionalFormatting sqref="W14">
    <cfRule type="expression" dxfId="159" priority="4">
      <formula>#REF! ="14≠11+12+13"</formula>
    </cfRule>
  </conditionalFormatting>
  <conditionalFormatting sqref="W21">
    <cfRule type="expression" dxfId="158" priority="5">
      <formula>#REF! ="22≠19+20+21"</formula>
    </cfRule>
  </conditionalFormatting>
  <conditionalFormatting sqref="AR29:AS29 O29 AJ29 AM29 AA29 C29 U29 AD29 H29:I29 L29 F29 R29 AG29 X29">
    <cfRule type="expression" dxfId="157" priority="702">
      <formula>#REF! ="30≠24+25+26+27+28+29"</formula>
    </cfRule>
  </conditionalFormatting>
  <conditionalFormatting sqref="AR34:AS34 AO34:AP34 AO45:AP45 O34 AJ34 AM34 AA34 C34 U34 AD34 H34:I34 L34 F34 R34 AG34 X34">
    <cfRule type="expression" dxfId="156" priority="703">
      <formula>#REF! ="35≠14+15+16+17+22+30+31+32+33+34"</formula>
    </cfRule>
  </conditionalFormatting>
  <conditionalFormatting sqref="AR45:AS45 O45 AJ45 AM45 AA45 C45 U45 AD45 H45:I45 L45 F45 R45 AG45 X45">
    <cfRule type="expression" dxfId="155" priority="705">
      <formula>#REF! ="46≠35+38+39+40+43+45"</formula>
    </cfRule>
  </conditionalFormatting>
  <conditionalFormatting sqref="O14 AJ14 AM14 AA14 C14 U14 AD14 H14:I14 L14 F14 R14 AG14 X14">
    <cfRule type="expression" dxfId="154" priority="709">
      <formula>#REF! ="14≠11+12+13"</formula>
    </cfRule>
  </conditionalFormatting>
  <conditionalFormatting sqref="O21 AJ21 AM21 AA21 C21 U21 AD21 H21:I21 L21 F21 R21 AG21 X21">
    <cfRule type="expression" dxfId="153" priority="710">
      <formula>#REF! ="22≠19+20+21"</formula>
    </cfRule>
  </conditionalFormatting>
  <hyperlinks>
    <hyperlink ref="B1" location="Innhold!A1" display="Tilbake" xr:uid="{00000000-0004-0000-1E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4"/>
  <dimension ref="A1:BV130"/>
  <sheetViews>
    <sheetView showGridLines="0" zoomScale="60" zoomScaleNormal="60" workbookViewId="0">
      <pane xSplit="1" ySplit="8" topLeftCell="B9" activePane="bottomRight" state="frozen"/>
      <selection activeCell="AU39" sqref="AU39"/>
      <selection pane="topRight" activeCell="AU39" sqref="AU39"/>
      <selection pane="bottomLeft" activeCell="AU39" sqref="AU39"/>
      <selection pane="bottomRight" activeCell="A8" sqref="A8"/>
    </sheetView>
  </sheetViews>
  <sheetFormatPr baseColWidth="10" defaultColWidth="11.42578125" defaultRowHeight="12.75" x14ac:dyDescent="0.2"/>
  <cols>
    <col min="1" max="1" width="106.7109375" style="466" customWidth="1"/>
    <col min="2" max="40" width="11.7109375" style="466" customWidth="1"/>
    <col min="41" max="41" width="15.140625" style="466" customWidth="1"/>
    <col min="42" max="42" width="13" style="466" customWidth="1"/>
    <col min="43" max="43" width="11.7109375" style="466" customWidth="1"/>
    <col min="44" max="45" width="13" style="466" customWidth="1"/>
    <col min="46" max="46" width="11.7109375" style="466" customWidth="1"/>
    <col min="47" max="16384" width="11.42578125" style="466"/>
  </cols>
  <sheetData>
    <row r="1" spans="1:63" ht="20.25" customHeight="1" x14ac:dyDescent="0.3">
      <c r="A1" s="471" t="s">
        <v>174</v>
      </c>
      <c r="B1" s="472" t="s">
        <v>52</v>
      </c>
      <c r="C1" s="473"/>
      <c r="D1" s="473"/>
      <c r="E1" s="473"/>
      <c r="F1" s="473"/>
      <c r="G1" s="473"/>
      <c r="H1" s="473"/>
      <c r="I1" s="473"/>
      <c r="J1" s="473"/>
      <c r="K1" s="473"/>
      <c r="L1" s="473"/>
      <c r="M1" s="473"/>
      <c r="AU1" s="474"/>
    </row>
    <row r="2" spans="1:63" ht="20.100000000000001" customHeight="1" x14ac:dyDescent="0.3">
      <c r="A2" s="471" t="s">
        <v>175</v>
      </c>
      <c r="AU2" s="474"/>
    </row>
    <row r="3" spans="1:63" ht="20.100000000000001" customHeight="1" x14ac:dyDescent="0.3">
      <c r="A3" s="475" t="s">
        <v>176</v>
      </c>
      <c r="B3" s="476"/>
      <c r="C3" s="476"/>
      <c r="D3" s="476"/>
      <c r="E3" s="476"/>
      <c r="F3" s="476"/>
      <c r="G3" s="476"/>
      <c r="H3" s="476"/>
      <c r="I3" s="476"/>
      <c r="J3" s="476"/>
      <c r="K3" s="476"/>
      <c r="L3" s="476"/>
      <c r="M3" s="476"/>
      <c r="AU3" s="477"/>
    </row>
    <row r="4" spans="1:63" ht="18.75" customHeight="1" x14ac:dyDescent="0.25">
      <c r="A4" s="478" t="s">
        <v>425</v>
      </c>
      <c r="B4" s="479"/>
      <c r="C4" s="479"/>
      <c r="D4" s="480"/>
      <c r="E4" s="479"/>
      <c r="F4" s="479"/>
      <c r="G4" s="480"/>
      <c r="H4" s="481"/>
      <c r="I4" s="479"/>
      <c r="J4" s="480"/>
      <c r="K4" s="481"/>
      <c r="L4" s="479"/>
      <c r="M4" s="480"/>
      <c r="N4" s="482"/>
      <c r="O4" s="482"/>
      <c r="P4" s="482"/>
      <c r="Q4" s="483"/>
      <c r="R4" s="482"/>
      <c r="S4" s="484"/>
      <c r="T4" s="483"/>
      <c r="U4" s="482"/>
      <c r="V4" s="484"/>
      <c r="W4" s="483"/>
      <c r="X4" s="482"/>
      <c r="Y4" s="484"/>
      <c r="Z4" s="483"/>
      <c r="AA4" s="482"/>
      <c r="AB4" s="484"/>
      <c r="AC4" s="483"/>
      <c r="AD4" s="482"/>
      <c r="AE4" s="484"/>
      <c r="AF4" s="483"/>
      <c r="AG4" s="482"/>
      <c r="AH4" s="484"/>
      <c r="AI4" s="483"/>
      <c r="AJ4" s="482"/>
      <c r="AK4" s="484"/>
      <c r="AL4" s="483"/>
      <c r="AM4" s="482"/>
      <c r="AN4" s="484"/>
      <c r="AO4" s="483"/>
      <c r="AP4" s="482"/>
      <c r="AQ4" s="484"/>
      <c r="AR4" s="483"/>
      <c r="AS4" s="482"/>
      <c r="AT4" s="484"/>
      <c r="AU4" s="485"/>
      <c r="AV4" s="486"/>
      <c r="AW4" s="486"/>
      <c r="AX4" s="486"/>
      <c r="AY4" s="486"/>
      <c r="AZ4" s="486"/>
      <c r="BA4" s="486"/>
      <c r="BB4" s="486"/>
      <c r="BC4" s="486"/>
      <c r="BD4" s="486"/>
      <c r="BE4" s="486"/>
      <c r="BF4" s="486"/>
      <c r="BG4" s="486"/>
      <c r="BH4" s="486"/>
      <c r="BI4" s="486"/>
      <c r="BJ4" s="486"/>
      <c r="BK4" s="486"/>
    </row>
    <row r="5" spans="1:63" ht="18.75" customHeight="1" x14ac:dyDescent="0.3">
      <c r="A5" s="487" t="s">
        <v>102</v>
      </c>
      <c r="B5" s="749" t="s">
        <v>177</v>
      </c>
      <c r="C5" s="750"/>
      <c r="D5" s="751"/>
      <c r="E5" s="749" t="s">
        <v>178</v>
      </c>
      <c r="F5" s="750"/>
      <c r="G5" s="751"/>
      <c r="H5" s="749" t="s">
        <v>406</v>
      </c>
      <c r="I5" s="750"/>
      <c r="J5" s="751"/>
      <c r="K5" s="749" t="s">
        <v>179</v>
      </c>
      <c r="L5" s="750"/>
      <c r="M5" s="751"/>
      <c r="N5" s="749" t="s">
        <v>180</v>
      </c>
      <c r="O5" s="750"/>
      <c r="P5" s="751"/>
      <c r="Q5" s="749" t="s">
        <v>181</v>
      </c>
      <c r="R5" s="750"/>
      <c r="S5" s="751"/>
      <c r="T5" s="673" t="s">
        <v>181</v>
      </c>
      <c r="U5" s="674"/>
      <c r="V5" s="675"/>
      <c r="W5" s="749" t="s">
        <v>63</v>
      </c>
      <c r="X5" s="750"/>
      <c r="Y5" s="751"/>
      <c r="Z5" s="665"/>
      <c r="AA5" s="666"/>
      <c r="AB5" s="667"/>
      <c r="AC5" s="749" t="s">
        <v>182</v>
      </c>
      <c r="AD5" s="750"/>
      <c r="AE5" s="751"/>
      <c r="AF5" s="693"/>
      <c r="AG5" s="694"/>
      <c r="AH5" s="695"/>
      <c r="AI5" s="749"/>
      <c r="AJ5" s="750"/>
      <c r="AK5" s="751"/>
      <c r="AL5" s="749" t="s">
        <v>73</v>
      </c>
      <c r="AM5" s="750"/>
      <c r="AN5" s="751"/>
      <c r="AO5" s="749" t="s">
        <v>2</v>
      </c>
      <c r="AP5" s="750"/>
      <c r="AQ5" s="751"/>
      <c r="AR5" s="749" t="s">
        <v>2</v>
      </c>
      <c r="AS5" s="750"/>
      <c r="AT5" s="751"/>
      <c r="AU5" s="488"/>
      <c r="AV5" s="489"/>
      <c r="AW5" s="748"/>
      <c r="AX5" s="748"/>
      <c r="AY5" s="748"/>
      <c r="AZ5" s="748"/>
      <c r="BA5" s="748"/>
      <c r="BB5" s="748"/>
      <c r="BC5" s="748"/>
      <c r="BD5" s="748"/>
      <c r="BE5" s="748"/>
      <c r="BF5" s="748"/>
      <c r="BG5" s="748"/>
      <c r="BH5" s="748"/>
      <c r="BI5" s="748"/>
      <c r="BJ5" s="748"/>
      <c r="BK5" s="748"/>
    </row>
    <row r="6" spans="1:63" ht="21" customHeight="1" x14ac:dyDescent="0.3">
      <c r="A6" s="490"/>
      <c r="B6" s="745" t="s">
        <v>183</v>
      </c>
      <c r="C6" s="746"/>
      <c r="D6" s="747"/>
      <c r="E6" s="745" t="s">
        <v>184</v>
      </c>
      <c r="F6" s="746"/>
      <c r="G6" s="747"/>
      <c r="H6" s="745" t="s">
        <v>184</v>
      </c>
      <c r="I6" s="746"/>
      <c r="J6" s="747"/>
      <c r="K6" s="745" t="s">
        <v>184</v>
      </c>
      <c r="L6" s="746"/>
      <c r="M6" s="747"/>
      <c r="N6" s="745" t="s">
        <v>185</v>
      </c>
      <c r="O6" s="746"/>
      <c r="P6" s="747"/>
      <c r="Q6" s="745" t="s">
        <v>91</v>
      </c>
      <c r="R6" s="746"/>
      <c r="S6" s="747"/>
      <c r="T6" s="745" t="s">
        <v>63</v>
      </c>
      <c r="U6" s="746"/>
      <c r="V6" s="747"/>
      <c r="W6" s="745" t="s">
        <v>186</v>
      </c>
      <c r="X6" s="746"/>
      <c r="Y6" s="747"/>
      <c r="Z6" s="745" t="s">
        <v>66</v>
      </c>
      <c r="AA6" s="746"/>
      <c r="AB6" s="747"/>
      <c r="AC6" s="745" t="s">
        <v>183</v>
      </c>
      <c r="AD6" s="746"/>
      <c r="AE6" s="747"/>
      <c r="AF6" s="745" t="s">
        <v>72</v>
      </c>
      <c r="AG6" s="746"/>
      <c r="AH6" s="747"/>
      <c r="AI6" s="745" t="s">
        <v>68</v>
      </c>
      <c r="AJ6" s="746"/>
      <c r="AK6" s="747"/>
      <c r="AL6" s="745" t="s">
        <v>184</v>
      </c>
      <c r="AM6" s="746"/>
      <c r="AN6" s="747"/>
      <c r="AO6" s="745" t="s">
        <v>187</v>
      </c>
      <c r="AP6" s="746"/>
      <c r="AQ6" s="747"/>
      <c r="AR6" s="745" t="s">
        <v>188</v>
      </c>
      <c r="AS6" s="746"/>
      <c r="AT6" s="747"/>
      <c r="AU6" s="488"/>
      <c r="AV6" s="489"/>
      <c r="AW6" s="748"/>
      <c r="AX6" s="748"/>
      <c r="AY6" s="748"/>
      <c r="AZ6" s="748"/>
      <c r="BA6" s="748"/>
      <c r="BB6" s="748"/>
      <c r="BC6" s="748"/>
      <c r="BD6" s="748"/>
      <c r="BE6" s="748"/>
      <c r="BF6" s="748"/>
      <c r="BG6" s="748"/>
      <c r="BH6" s="748"/>
      <c r="BI6" s="748"/>
      <c r="BJ6" s="748"/>
      <c r="BK6" s="748"/>
    </row>
    <row r="7" spans="1:63" ht="18.75" customHeight="1" x14ac:dyDescent="0.3">
      <c r="A7" s="490"/>
      <c r="B7" s="522"/>
      <c r="C7" s="522"/>
      <c r="D7" s="491" t="s">
        <v>81</v>
      </c>
      <c r="E7" s="522"/>
      <c r="F7" s="522"/>
      <c r="G7" s="491" t="s">
        <v>81</v>
      </c>
      <c r="H7" s="522"/>
      <c r="I7" s="522"/>
      <c r="J7" s="491" t="s">
        <v>81</v>
      </c>
      <c r="K7" s="522"/>
      <c r="L7" s="522"/>
      <c r="M7" s="491" t="s">
        <v>81</v>
      </c>
      <c r="N7" s="522"/>
      <c r="O7" s="522"/>
      <c r="P7" s="491" t="s">
        <v>81</v>
      </c>
      <c r="Q7" s="522"/>
      <c r="R7" s="522"/>
      <c r="S7" s="491" t="s">
        <v>81</v>
      </c>
      <c r="T7" s="522"/>
      <c r="U7" s="522"/>
      <c r="V7" s="491" t="s">
        <v>81</v>
      </c>
      <c r="W7" s="522"/>
      <c r="X7" s="522"/>
      <c r="Y7" s="491" t="s">
        <v>81</v>
      </c>
      <c r="Z7" s="522"/>
      <c r="AA7" s="522"/>
      <c r="AB7" s="491" t="s">
        <v>81</v>
      </c>
      <c r="AC7" s="522"/>
      <c r="AD7" s="522"/>
      <c r="AE7" s="491" t="s">
        <v>81</v>
      </c>
      <c r="AF7" s="522"/>
      <c r="AG7" s="522"/>
      <c r="AH7" s="491" t="s">
        <v>81</v>
      </c>
      <c r="AI7" s="522"/>
      <c r="AJ7" s="522"/>
      <c r="AK7" s="491" t="s">
        <v>81</v>
      </c>
      <c r="AL7" s="522"/>
      <c r="AM7" s="522"/>
      <c r="AN7" s="491" t="s">
        <v>81</v>
      </c>
      <c r="AO7" s="522"/>
      <c r="AP7" s="522"/>
      <c r="AQ7" s="491" t="s">
        <v>81</v>
      </c>
      <c r="AR7" s="522"/>
      <c r="AS7" s="522"/>
      <c r="AT7" s="491" t="s">
        <v>81</v>
      </c>
      <c r="AU7" s="488"/>
      <c r="AV7" s="489"/>
      <c r="AW7" s="489"/>
      <c r="AX7" s="489"/>
      <c r="AY7" s="489"/>
      <c r="AZ7" s="489"/>
      <c r="BA7" s="489"/>
      <c r="BB7" s="489"/>
      <c r="BC7" s="489"/>
      <c r="BD7" s="489"/>
      <c r="BE7" s="489"/>
      <c r="BF7" s="489"/>
      <c r="BG7" s="489"/>
      <c r="BH7" s="489"/>
      <c r="BI7" s="489"/>
      <c r="BJ7" s="489"/>
      <c r="BK7" s="489"/>
    </row>
    <row r="8" spans="1:63" ht="18.75" customHeight="1" x14ac:dyDescent="0.25">
      <c r="A8" s="456" t="s">
        <v>189</v>
      </c>
      <c r="B8" s="671">
        <v>2019</v>
      </c>
      <c r="C8" s="671">
        <v>2020</v>
      </c>
      <c r="D8" s="457" t="s">
        <v>83</v>
      </c>
      <c r="E8" s="671">
        <v>2019</v>
      </c>
      <c r="F8" s="671">
        <v>2020</v>
      </c>
      <c r="G8" s="457" t="s">
        <v>83</v>
      </c>
      <c r="H8" s="671">
        <v>2019</v>
      </c>
      <c r="I8" s="671">
        <v>2020</v>
      </c>
      <c r="J8" s="457" t="s">
        <v>83</v>
      </c>
      <c r="K8" s="671">
        <v>2019</v>
      </c>
      <c r="L8" s="671">
        <v>2020</v>
      </c>
      <c r="M8" s="457" t="s">
        <v>83</v>
      </c>
      <c r="N8" s="606">
        <v>2019</v>
      </c>
      <c r="O8" s="606">
        <v>2020</v>
      </c>
      <c r="P8" s="457" t="s">
        <v>83</v>
      </c>
      <c r="Q8" s="671">
        <v>2019</v>
      </c>
      <c r="R8" s="671">
        <v>2020</v>
      </c>
      <c r="S8" s="457" t="s">
        <v>83</v>
      </c>
      <c r="T8" s="671">
        <v>2019</v>
      </c>
      <c r="U8" s="671">
        <v>2020</v>
      </c>
      <c r="V8" s="457" t="s">
        <v>83</v>
      </c>
      <c r="W8" s="671">
        <v>2019</v>
      </c>
      <c r="X8" s="671">
        <v>2020</v>
      </c>
      <c r="Y8" s="457" t="s">
        <v>83</v>
      </c>
      <c r="Z8" s="681">
        <v>2019</v>
      </c>
      <c r="AA8" s="681">
        <v>2020</v>
      </c>
      <c r="AB8" s="457" t="s">
        <v>83</v>
      </c>
      <c r="AC8" s="671">
        <v>2019</v>
      </c>
      <c r="AD8" s="671">
        <v>2020</v>
      </c>
      <c r="AE8" s="457" t="s">
        <v>83</v>
      </c>
      <c r="AF8" s="671">
        <v>2019</v>
      </c>
      <c r="AG8" s="671">
        <v>2020</v>
      </c>
      <c r="AH8" s="457" t="s">
        <v>83</v>
      </c>
      <c r="AI8" s="606">
        <v>2019</v>
      </c>
      <c r="AJ8" s="606">
        <v>2020</v>
      </c>
      <c r="AK8" s="457" t="s">
        <v>83</v>
      </c>
      <c r="AL8" s="671">
        <v>2019</v>
      </c>
      <c r="AM8" s="671">
        <v>2020</v>
      </c>
      <c r="AN8" s="457" t="s">
        <v>83</v>
      </c>
      <c r="AO8" s="671">
        <v>2019</v>
      </c>
      <c r="AP8" s="671">
        <v>2020</v>
      </c>
      <c r="AQ8" s="457" t="s">
        <v>83</v>
      </c>
      <c r="AR8" s="671">
        <v>2019</v>
      </c>
      <c r="AS8" s="671">
        <v>2020</v>
      </c>
      <c r="AT8" s="457" t="s">
        <v>83</v>
      </c>
      <c r="AU8" s="488"/>
      <c r="AV8" s="492"/>
      <c r="AW8" s="493"/>
      <c r="AX8" s="493"/>
      <c r="AY8" s="492"/>
      <c r="AZ8" s="493"/>
      <c r="BA8" s="493"/>
      <c r="BB8" s="492"/>
      <c r="BC8" s="493"/>
      <c r="BD8" s="493"/>
      <c r="BE8" s="492"/>
      <c r="BF8" s="493"/>
      <c r="BG8" s="493"/>
      <c r="BH8" s="492"/>
      <c r="BI8" s="493"/>
      <c r="BJ8" s="493"/>
      <c r="BK8" s="492"/>
    </row>
    <row r="9" spans="1:63" ht="18.75" customHeight="1" x14ac:dyDescent="0.3">
      <c r="A9" s="458"/>
      <c r="B9" s="684"/>
      <c r="C9" s="436"/>
      <c r="D9" s="436"/>
      <c r="E9" s="684"/>
      <c r="F9" s="436"/>
      <c r="G9" s="436"/>
      <c r="H9" s="436"/>
      <c r="I9" s="436"/>
      <c r="J9" s="436"/>
      <c r="K9" s="684"/>
      <c r="L9" s="436"/>
      <c r="M9" s="436"/>
      <c r="N9" s="617"/>
      <c r="O9" s="437"/>
      <c r="P9" s="437"/>
      <c r="Q9" s="697"/>
      <c r="R9" s="438"/>
      <c r="S9" s="338"/>
      <c r="T9" s="617"/>
      <c r="U9" s="437"/>
      <c r="V9" s="338"/>
      <c r="W9" s="617"/>
      <c r="X9" s="437"/>
      <c r="Y9" s="338"/>
      <c r="Z9" s="106"/>
      <c r="AA9" s="443"/>
      <c r="AB9" s="338"/>
      <c r="AC9" s="617"/>
      <c r="AD9" s="437"/>
      <c r="AE9" s="338"/>
      <c r="AF9" s="617"/>
      <c r="AG9" s="437"/>
      <c r="AH9" s="338"/>
      <c r="AI9" s="617"/>
      <c r="AJ9" s="437"/>
      <c r="AK9" s="338"/>
      <c r="AL9" s="617"/>
      <c r="AM9" s="437"/>
      <c r="AN9" s="338"/>
      <c r="AO9" s="439"/>
      <c r="AP9" s="439"/>
      <c r="AQ9" s="338"/>
      <c r="AR9" s="439"/>
      <c r="AS9" s="439"/>
      <c r="AT9" s="338"/>
      <c r="AU9" s="488"/>
      <c r="AV9" s="488"/>
    </row>
    <row r="10" spans="1:63" s="467" customFormat="1" ht="18.75" customHeight="1" x14ac:dyDescent="0.3">
      <c r="A10" s="459" t="s">
        <v>190</v>
      </c>
      <c r="B10" s="685"/>
      <c r="C10" s="440"/>
      <c r="D10" s="440"/>
      <c r="E10" s="685"/>
      <c r="F10" s="440"/>
      <c r="G10" s="440"/>
      <c r="H10" s="440"/>
      <c r="I10" s="440"/>
      <c r="J10" s="440"/>
      <c r="K10" s="685"/>
      <c r="L10" s="440"/>
      <c r="M10" s="440"/>
      <c r="N10" s="617"/>
      <c r="O10" s="437"/>
      <c r="P10" s="437"/>
      <c r="Q10" s="697"/>
      <c r="R10" s="438"/>
      <c r="S10" s="338"/>
      <c r="T10" s="617"/>
      <c r="U10" s="437"/>
      <c r="V10" s="338"/>
      <c r="W10" s="617"/>
      <c r="X10" s="437"/>
      <c r="Y10" s="338"/>
      <c r="Z10" s="106"/>
      <c r="AA10" s="443"/>
      <c r="AB10" s="338"/>
      <c r="AC10" s="617"/>
      <c r="AD10" s="437"/>
      <c r="AE10" s="338"/>
      <c r="AF10" s="617"/>
      <c r="AG10" s="437"/>
      <c r="AH10" s="338"/>
      <c r="AI10" s="617"/>
      <c r="AJ10" s="437"/>
      <c r="AK10" s="338"/>
      <c r="AL10" s="617"/>
      <c r="AM10" s="437"/>
      <c r="AN10" s="338"/>
      <c r="AO10" s="439"/>
      <c r="AP10" s="439"/>
      <c r="AQ10" s="338"/>
      <c r="AR10" s="439"/>
      <c r="AS10" s="439"/>
      <c r="AT10" s="338"/>
      <c r="AU10" s="494"/>
      <c r="AV10" s="494"/>
    </row>
    <row r="11" spans="1:63" s="467" customFormat="1" ht="18.75" customHeight="1" x14ac:dyDescent="0.3">
      <c r="A11" s="460"/>
      <c r="B11" s="685"/>
      <c r="C11" s="440"/>
      <c r="D11" s="440"/>
      <c r="E11" s="685"/>
      <c r="F11" s="440"/>
      <c r="G11" s="440"/>
      <c r="H11" s="440"/>
      <c r="I11" s="440"/>
      <c r="J11" s="440"/>
      <c r="K11" s="685"/>
      <c r="L11" s="440"/>
      <c r="M11" s="440"/>
      <c r="N11" s="617"/>
      <c r="O11" s="437"/>
      <c r="P11" s="437"/>
      <c r="Q11" s="697"/>
      <c r="R11" s="438"/>
      <c r="S11" s="338"/>
      <c r="T11" s="617"/>
      <c r="U11" s="437"/>
      <c r="V11" s="338"/>
      <c r="W11" s="617"/>
      <c r="X11" s="437"/>
      <c r="Y11" s="338"/>
      <c r="Z11" s="106"/>
      <c r="AA11" s="443"/>
      <c r="AB11" s="338"/>
      <c r="AC11" s="617"/>
      <c r="AD11" s="437"/>
      <c r="AE11" s="338"/>
      <c r="AF11" s="617"/>
      <c r="AG11" s="437"/>
      <c r="AH11" s="338"/>
      <c r="AI11" s="617"/>
      <c r="AJ11" s="437"/>
      <c r="AK11" s="338"/>
      <c r="AL11" s="617"/>
      <c r="AM11" s="437"/>
      <c r="AN11" s="338"/>
      <c r="AO11" s="439"/>
      <c r="AP11" s="439"/>
      <c r="AQ11" s="338"/>
      <c r="AR11" s="439"/>
      <c r="AS11" s="439"/>
      <c r="AT11" s="338"/>
      <c r="AU11" s="494"/>
      <c r="AV11" s="494"/>
    </row>
    <row r="12" spans="1:63" s="467" customFormat="1" ht="20.100000000000001" customHeight="1" x14ac:dyDescent="0.3">
      <c r="A12" s="459" t="s">
        <v>191</v>
      </c>
      <c r="B12" s="198"/>
      <c r="C12" s="441"/>
      <c r="D12" s="441"/>
      <c r="E12" s="198"/>
      <c r="F12" s="441"/>
      <c r="G12" s="441"/>
      <c r="H12" s="441"/>
      <c r="I12" s="441"/>
      <c r="J12" s="441"/>
      <c r="K12" s="198"/>
      <c r="L12" s="441"/>
      <c r="M12" s="441"/>
      <c r="N12" s="617"/>
      <c r="O12" s="437"/>
      <c r="P12" s="437"/>
      <c r="Q12" s="697"/>
      <c r="R12" s="438"/>
      <c r="S12" s="338"/>
      <c r="T12" s="617"/>
      <c r="U12" s="437"/>
      <c r="V12" s="338"/>
      <c r="W12" s="617"/>
      <c r="X12" s="437"/>
      <c r="Y12" s="338"/>
      <c r="Z12" s="106"/>
      <c r="AA12" s="443"/>
      <c r="AB12" s="338"/>
      <c r="AC12" s="617"/>
      <c r="AD12" s="437"/>
      <c r="AE12" s="338"/>
      <c r="AF12" s="617"/>
      <c r="AG12" s="437"/>
      <c r="AH12" s="338"/>
      <c r="AI12" s="617"/>
      <c r="AJ12" s="437"/>
      <c r="AK12" s="338"/>
      <c r="AL12" s="617"/>
      <c r="AM12" s="437"/>
      <c r="AN12" s="338"/>
      <c r="AO12" s="439"/>
      <c r="AP12" s="439"/>
      <c r="AQ12" s="338"/>
      <c r="AR12" s="439"/>
      <c r="AS12" s="439"/>
      <c r="AT12" s="338"/>
      <c r="AU12" s="494"/>
      <c r="AV12" s="494"/>
    </row>
    <row r="13" spans="1:63" s="496" customFormat="1" ht="20.100000000000001" customHeight="1" x14ac:dyDescent="0.3">
      <c r="A13" s="459" t="s">
        <v>192</v>
      </c>
      <c r="B13" s="198"/>
      <c r="C13" s="441"/>
      <c r="D13" s="442"/>
      <c r="E13" s="198"/>
      <c r="F13" s="441"/>
      <c r="G13" s="442"/>
      <c r="H13" s="441"/>
      <c r="I13" s="441"/>
      <c r="J13" s="442"/>
      <c r="K13" s="198"/>
      <c r="L13" s="441"/>
      <c r="M13" s="442"/>
      <c r="N13" s="104"/>
      <c r="O13" s="622"/>
      <c r="P13" s="443"/>
      <c r="Q13" s="698"/>
      <c r="R13" s="699"/>
      <c r="S13" s="444"/>
      <c r="T13" s="104"/>
      <c r="U13" s="622"/>
      <c r="V13" s="444"/>
      <c r="W13" s="104"/>
      <c r="X13" s="622"/>
      <c r="Y13" s="444"/>
      <c r="Z13" s="106"/>
      <c r="AA13" s="443"/>
      <c r="AB13" s="444"/>
      <c r="AC13" s="104"/>
      <c r="AD13" s="622"/>
      <c r="AE13" s="444"/>
      <c r="AF13" s="104"/>
      <c r="AG13" s="622"/>
      <c r="AH13" s="444"/>
      <c r="AI13" s="104"/>
      <c r="AJ13" s="622"/>
      <c r="AK13" s="444"/>
      <c r="AL13" s="104"/>
      <c r="AM13" s="622"/>
      <c r="AN13" s="444"/>
      <c r="AO13" s="445"/>
      <c r="AP13" s="445"/>
      <c r="AQ13" s="444"/>
      <c r="AR13" s="445"/>
      <c r="AS13" s="445"/>
      <c r="AT13" s="444"/>
      <c r="AU13" s="495"/>
      <c r="AV13" s="495"/>
    </row>
    <row r="14" spans="1:63" s="496" customFormat="1" ht="20.100000000000001" customHeight="1" x14ac:dyDescent="0.3">
      <c r="A14" s="461" t="s">
        <v>193</v>
      </c>
      <c r="B14" s="196"/>
      <c r="C14" s="447"/>
      <c r="D14" s="444"/>
      <c r="E14" s="196"/>
      <c r="F14" s="447"/>
      <c r="G14" s="444"/>
      <c r="H14" s="447"/>
      <c r="I14" s="447"/>
      <c r="J14" s="444"/>
      <c r="K14" s="196"/>
      <c r="L14" s="447"/>
      <c r="M14" s="444"/>
      <c r="N14" s="104">
        <v>27</v>
      </c>
      <c r="O14" s="622">
        <v>9.6</v>
      </c>
      <c r="P14" s="443">
        <f t="shared" ref="P14" si="0">IF(N14=0, "    ---- ", IF(ABS(ROUND(100/N14*O14-100,1))&lt;999,ROUND(100/N14*O14-100,1),IF(ROUND(100/N14*O14-100,1)&gt;999,999,-999)))</f>
        <v>-64.400000000000006</v>
      </c>
      <c r="Q14" s="698"/>
      <c r="R14" s="699"/>
      <c r="S14" s="444"/>
      <c r="T14" s="104">
        <v>956.27323775000002</v>
      </c>
      <c r="U14" s="622">
        <v>965.17340175000004</v>
      </c>
      <c r="V14" s="444">
        <f t="shared" ref="V14:V28" si="1">IF(T14=0, "    ---- ", IF(ABS(ROUND(100/T14*U14-100,1))&lt;999,ROUND(100/T14*U14-100,1),IF(ROUND(100/T14*U14-100,1)&gt;999,999,-999)))</f>
        <v>0.9</v>
      </c>
      <c r="W14" s="104"/>
      <c r="X14" s="622"/>
      <c r="Y14" s="444"/>
      <c r="Z14" s="106"/>
      <c r="AA14" s="443"/>
      <c r="AB14" s="444"/>
      <c r="AC14" s="104"/>
      <c r="AD14" s="622"/>
      <c r="AE14" s="444"/>
      <c r="AF14" s="104"/>
      <c r="AG14" s="622"/>
      <c r="AH14" s="444"/>
      <c r="AI14" s="104"/>
      <c r="AJ14" s="622"/>
      <c r="AK14" s="444"/>
      <c r="AL14" s="104"/>
      <c r="AM14" s="622"/>
      <c r="AN14" s="444"/>
      <c r="AO14" s="445">
        <f>B14+E14+H14+K14+N14+T14+W14+Z14+AC14+AI14+AL14</f>
        <v>983.27323775000002</v>
      </c>
      <c r="AP14" s="445">
        <f>C14+F14+I14+L14+O14+U14+X14+AA14+AD14+AJ14+AM14</f>
        <v>974.77340175000006</v>
      </c>
      <c r="AQ14" s="444">
        <f t="shared" ref="AQ14:AQ28" si="2">IF(AO14=0, "    ---- ", IF(ABS(ROUND(100/AO14*AP14-100,1))&lt;999,ROUND(100/AO14*AP14-100,1),IF(ROUND(100/AO14*AP14-100,1)&gt;999,999,-999)))</f>
        <v>-0.9</v>
      </c>
      <c r="AR14" s="445">
        <f>B14+E14+H14+K14+N14+Q14+T14+W14+Z14+AC14+AF14+AI14+AL14</f>
        <v>983.27323775000002</v>
      </c>
      <c r="AS14" s="445">
        <f>C14+F14+I14+L14+O14+R14+U14+X14+AA14+AD14+AG14+AJ14+AM14</f>
        <v>974.77340175000006</v>
      </c>
      <c r="AT14" s="444">
        <f t="shared" ref="AT14:AT29" si="3">IF(AR14=0, "    ---- ", IF(ABS(ROUND(100/AR14*AS14-100,1))&lt;999,ROUND(100/AR14*AS14-100,1),IF(ROUND(100/AR14*AS14-100,1)&gt;999,999,-999)))</f>
        <v>-0.9</v>
      </c>
      <c r="AU14" s="495"/>
      <c r="AV14" s="495"/>
    </row>
    <row r="15" spans="1:63" s="496" customFormat="1" ht="20.100000000000001" customHeight="1" x14ac:dyDescent="0.3">
      <c r="A15" s="461" t="s">
        <v>194</v>
      </c>
      <c r="B15" s="196"/>
      <c r="C15" s="447"/>
      <c r="D15" s="444"/>
      <c r="E15" s="196">
        <f>43.455+39.039</f>
        <v>82.494</v>
      </c>
      <c r="F15" s="447">
        <v>1533.37</v>
      </c>
      <c r="G15" s="444">
        <f t="shared" ref="G15:G28" si="4">IF(E15=0, "    ---- ", IF(ABS(ROUND(100/E15*F15-100,1))&lt;999,ROUND(100/E15*F15-100,1),IF(ROUND(100/E15*F15-100,1)&gt;999,999,-999)))</f>
        <v>999</v>
      </c>
      <c r="H15" s="447"/>
      <c r="I15" s="447"/>
      <c r="J15" s="444"/>
      <c r="K15" s="196"/>
      <c r="L15" s="447"/>
      <c r="M15" s="444"/>
      <c r="N15" s="104"/>
      <c r="O15" s="622"/>
      <c r="P15" s="443"/>
      <c r="Q15" s="698"/>
      <c r="R15" s="699"/>
      <c r="S15" s="444"/>
      <c r="T15" s="104">
        <v>7557.6194658199993</v>
      </c>
      <c r="U15" s="622">
        <v>8037.3522591400006</v>
      </c>
      <c r="V15" s="444">
        <f t="shared" si="1"/>
        <v>6.3</v>
      </c>
      <c r="W15" s="104"/>
      <c r="X15" s="622"/>
      <c r="Y15" s="444"/>
      <c r="Z15" s="106"/>
      <c r="AA15" s="443"/>
      <c r="AB15" s="444"/>
      <c r="AC15" s="104">
        <f>619+527</f>
        <v>1146</v>
      </c>
      <c r="AD15" s="622">
        <v>899</v>
      </c>
      <c r="AE15" s="444">
        <f t="shared" ref="AE15:AE28" si="5">IF(AC15=0, "    ---- ", IF(ABS(ROUND(100/AC15*AD15-100,1))&lt;999,ROUND(100/AC15*AD15-100,1),IF(ROUND(100/AC15*AD15-100,1)&gt;999,999,-999)))</f>
        <v>-21.6</v>
      </c>
      <c r="AF15" s="104"/>
      <c r="AG15" s="622"/>
      <c r="AH15" s="444"/>
      <c r="AI15" s="104">
        <v>2069.9690000000001</v>
      </c>
      <c r="AJ15" s="622">
        <v>1618.7940000000001</v>
      </c>
      <c r="AK15" s="444">
        <f t="shared" ref="AK15:AK28" si="6">IF(AI15=0, "    ---- ", IF(ABS(ROUND(100/AI15*AJ15-100,1))&lt;999,ROUND(100/AI15*AJ15-100,1),IF(ROUND(100/AI15*AJ15-100,1)&gt;999,999,-999)))</f>
        <v>-21.8</v>
      </c>
      <c r="AL15" s="104">
        <v>12752</v>
      </c>
      <c r="AM15" s="622">
        <v>13827</v>
      </c>
      <c r="AN15" s="444">
        <f t="shared" ref="AN15:AN28" si="7">IF(AL15=0, "    ---- ", IF(ABS(ROUND(100/AL15*AM15-100,1))&lt;999,ROUND(100/AL15*AM15-100,1),IF(ROUND(100/AL15*AM15-100,1)&gt;999,999,-999)))</f>
        <v>8.4</v>
      </c>
      <c r="AO15" s="445">
        <f t="shared" ref="AO15:AP29" si="8">B15+E15+H15+K15+N15+T15+W15+Z15+AC15+AI15+AL15</f>
        <v>23608.08246582</v>
      </c>
      <c r="AP15" s="445">
        <f t="shared" si="8"/>
        <v>25915.51625914</v>
      </c>
      <c r="AQ15" s="444">
        <f t="shared" si="2"/>
        <v>9.8000000000000007</v>
      </c>
      <c r="AR15" s="445">
        <f t="shared" ref="AR15:AS29" si="9">B15+E15+H15+K15+N15+Q15+T15+W15+Z15+AC15+AF15+AI15+AL15</f>
        <v>23608.08246582</v>
      </c>
      <c r="AS15" s="445">
        <f t="shared" si="9"/>
        <v>25915.51625914</v>
      </c>
      <c r="AT15" s="444">
        <f t="shared" si="3"/>
        <v>9.8000000000000007</v>
      </c>
      <c r="AU15" s="495"/>
      <c r="AV15" s="495"/>
    </row>
    <row r="16" spans="1:63" s="496" customFormat="1" ht="20.100000000000001" customHeight="1" x14ac:dyDescent="0.3">
      <c r="A16" s="461" t="s">
        <v>195</v>
      </c>
      <c r="B16" s="196"/>
      <c r="C16" s="447"/>
      <c r="D16" s="444"/>
      <c r="E16" s="196">
        <f>SUM(E17+E19)</f>
        <v>3994.1149999999998</v>
      </c>
      <c r="F16" s="447">
        <f>SUM(F17+F19)</f>
        <v>8417.1299999999992</v>
      </c>
      <c r="G16" s="444">
        <f t="shared" si="4"/>
        <v>110.7</v>
      </c>
      <c r="H16" s="447"/>
      <c r="I16" s="447"/>
      <c r="J16" s="444"/>
      <c r="K16" s="196">
        <f>SUM(K17+K19)</f>
        <v>35.313000000000002</v>
      </c>
      <c r="L16" s="447">
        <f>SUM(L17+L19)</f>
        <v>52.94</v>
      </c>
      <c r="M16" s="444">
        <f t="shared" ref="M16:M17" si="10">IF(K16=0, "    ---- ", IF(ABS(ROUND(100/K16*L16-100,1))&lt;999,ROUND(100/K16*L16-100,1),IF(ROUND(100/K16*L16-100,1)&gt;999,999,-999)))</f>
        <v>49.9</v>
      </c>
      <c r="N16" s="104">
        <f>SUM(N17+N19)</f>
        <v>236</v>
      </c>
      <c r="O16" s="622">
        <f>SUM(O17+O19)</f>
        <v>261.39999999999998</v>
      </c>
      <c r="P16" s="443">
        <f t="shared" ref="P16" si="11">IF(N16=0, "    ---- ", IF(ABS(ROUND(100/N16*O16-100,1))&lt;999,ROUND(100/N16*O16-100,1),IF(ROUND(100/N16*O16-100,1)&gt;999,999,-999)))</f>
        <v>10.8</v>
      </c>
      <c r="Q16" s="698"/>
      <c r="R16" s="699"/>
      <c r="S16" s="444"/>
      <c r="T16" s="104">
        <f>SUM(T17+T19)</f>
        <v>18144.996687179999</v>
      </c>
      <c r="U16" s="622">
        <v>19676.79327962</v>
      </c>
      <c r="V16" s="444">
        <f t="shared" si="1"/>
        <v>8.4</v>
      </c>
      <c r="W16" s="104">
        <f>SUM(W17+W19)</f>
        <v>253.2</v>
      </c>
      <c r="X16" s="622">
        <f>SUM(X17+X19)</f>
        <v>308.2</v>
      </c>
      <c r="Y16" s="444">
        <f t="shared" ref="Y16" si="12">IF(W16=0, "    ---- ", IF(ABS(ROUND(100/W16*X16-100,1))&lt;999,ROUND(100/W16*X16-100,1),IF(ROUND(100/W16*X16-100,1)&gt;999,999,-999)))</f>
        <v>21.7</v>
      </c>
      <c r="Z16" s="106"/>
      <c r="AA16" s="443"/>
      <c r="AB16" s="444"/>
      <c r="AC16" s="104">
        <f>SUM(AC17+AC19)</f>
        <v>4609</v>
      </c>
      <c r="AD16" s="622">
        <f>SUM(AD17+AD19)</f>
        <v>4422</v>
      </c>
      <c r="AE16" s="444">
        <f t="shared" si="5"/>
        <v>-4.0999999999999996</v>
      </c>
      <c r="AF16" s="104"/>
      <c r="AG16" s="622"/>
      <c r="AH16" s="444"/>
      <c r="AI16" s="104">
        <f>SUM(AI17+AI19)</f>
        <v>1243.837</v>
      </c>
      <c r="AJ16" s="622">
        <f>SUM(AJ17+AJ19)</f>
        <v>1145.8109999999999</v>
      </c>
      <c r="AK16" s="444">
        <f t="shared" si="6"/>
        <v>-7.9</v>
      </c>
      <c r="AL16" s="104">
        <f>SUM(AL17+AL19)</f>
        <v>8229</v>
      </c>
      <c r="AM16" s="622">
        <f>SUM(AM17+AM19)</f>
        <v>7324</v>
      </c>
      <c r="AN16" s="444">
        <f t="shared" si="7"/>
        <v>-11</v>
      </c>
      <c r="AO16" s="445">
        <f t="shared" si="8"/>
        <v>36745.461687179995</v>
      </c>
      <c r="AP16" s="445">
        <f t="shared" si="8"/>
        <v>41608.274279620004</v>
      </c>
      <c r="AQ16" s="444">
        <f t="shared" si="2"/>
        <v>13.2</v>
      </c>
      <c r="AR16" s="445">
        <f t="shared" si="9"/>
        <v>36745.461687179995</v>
      </c>
      <c r="AS16" s="445">
        <f t="shared" si="9"/>
        <v>41608.274279620004</v>
      </c>
      <c r="AT16" s="444">
        <f t="shared" si="3"/>
        <v>13.2</v>
      </c>
      <c r="AU16" s="495"/>
      <c r="AV16" s="495"/>
    </row>
    <row r="17" spans="1:49" s="496" customFormat="1" ht="20.100000000000001" customHeight="1" x14ac:dyDescent="0.3">
      <c r="A17" s="461" t="s">
        <v>196</v>
      </c>
      <c r="B17" s="196"/>
      <c r="C17" s="447"/>
      <c r="D17" s="444"/>
      <c r="E17" s="196">
        <v>2173.41</v>
      </c>
      <c r="F17" s="447">
        <v>5970.5069999999996</v>
      </c>
      <c r="G17" s="444">
        <f t="shared" si="4"/>
        <v>174.7</v>
      </c>
      <c r="H17" s="447"/>
      <c r="I17" s="447"/>
      <c r="J17" s="444"/>
      <c r="K17" s="196">
        <v>35.313000000000002</v>
      </c>
      <c r="L17" s="447">
        <v>52.94</v>
      </c>
      <c r="M17" s="444">
        <f t="shared" si="10"/>
        <v>49.9</v>
      </c>
      <c r="N17" s="104"/>
      <c r="O17" s="622"/>
      <c r="P17" s="443"/>
      <c r="Q17" s="698"/>
      <c r="R17" s="699"/>
      <c r="S17" s="444"/>
      <c r="T17" s="104">
        <v>6939.9568100299994</v>
      </c>
      <c r="U17" s="622">
        <v>7867.0217952900002</v>
      </c>
      <c r="V17" s="444">
        <f t="shared" si="1"/>
        <v>13.4</v>
      </c>
      <c r="W17" s="104"/>
      <c r="X17" s="622"/>
      <c r="Y17" s="444"/>
      <c r="Z17" s="106"/>
      <c r="AA17" s="443"/>
      <c r="AB17" s="444"/>
      <c r="AC17" s="104">
        <v>139</v>
      </c>
      <c r="AD17" s="622">
        <v>16</v>
      </c>
      <c r="AE17" s="444">
        <f t="shared" si="5"/>
        <v>-88.5</v>
      </c>
      <c r="AF17" s="104"/>
      <c r="AG17" s="622"/>
      <c r="AH17" s="444"/>
      <c r="AI17" s="104">
        <v>130.66200000000001</v>
      </c>
      <c r="AJ17" s="622">
        <v>76.474999999999994</v>
      </c>
      <c r="AK17" s="444">
        <f t="shared" si="6"/>
        <v>-41.5</v>
      </c>
      <c r="AL17" s="104"/>
      <c r="AM17" s="622"/>
      <c r="AN17" s="444"/>
      <c r="AO17" s="445">
        <f t="shared" si="8"/>
        <v>9418.3418100300005</v>
      </c>
      <c r="AP17" s="445">
        <f t="shared" si="8"/>
        <v>13982.943795289999</v>
      </c>
      <c r="AQ17" s="444">
        <f t="shared" si="2"/>
        <v>48.5</v>
      </c>
      <c r="AR17" s="445">
        <f t="shared" si="9"/>
        <v>9418.3418100300005</v>
      </c>
      <c r="AS17" s="445">
        <f t="shared" si="9"/>
        <v>13982.943795289999</v>
      </c>
      <c r="AT17" s="444">
        <f t="shared" si="3"/>
        <v>48.5</v>
      </c>
      <c r="AU17" s="495"/>
      <c r="AV17" s="495"/>
    </row>
    <row r="18" spans="1:49" s="496" customFormat="1" ht="20.100000000000001" customHeight="1" x14ac:dyDescent="0.3">
      <c r="A18" s="461" t="s">
        <v>197</v>
      </c>
      <c r="B18" s="196"/>
      <c r="C18" s="447"/>
      <c r="D18" s="444"/>
      <c r="E18" s="196">
        <v>2173.41</v>
      </c>
      <c r="F18" s="447">
        <v>5970.5069999999996</v>
      </c>
      <c r="G18" s="444">
        <f t="shared" si="4"/>
        <v>174.7</v>
      </c>
      <c r="H18" s="447"/>
      <c r="I18" s="447"/>
      <c r="J18" s="444"/>
      <c r="K18" s="196"/>
      <c r="L18" s="447"/>
      <c r="M18" s="444"/>
      <c r="N18" s="104"/>
      <c r="O18" s="622"/>
      <c r="P18" s="443"/>
      <c r="Q18" s="698"/>
      <c r="R18" s="699"/>
      <c r="S18" s="444"/>
      <c r="T18" s="104">
        <v>6939.9568100299994</v>
      </c>
      <c r="U18" s="622">
        <v>7867.0217952900002</v>
      </c>
      <c r="V18" s="444">
        <f t="shared" si="1"/>
        <v>13.4</v>
      </c>
      <c r="W18" s="104"/>
      <c r="X18" s="622"/>
      <c r="Y18" s="444"/>
      <c r="Z18" s="106"/>
      <c r="AA18" s="443"/>
      <c r="AB18" s="444"/>
      <c r="AC18" s="104"/>
      <c r="AD18" s="622"/>
      <c r="AE18" s="444"/>
      <c r="AF18" s="104"/>
      <c r="AG18" s="622"/>
      <c r="AH18" s="444"/>
      <c r="AI18" s="104">
        <v>27.989130860000113</v>
      </c>
      <c r="AJ18" s="622">
        <v>7.4999999999996723</v>
      </c>
      <c r="AK18" s="444">
        <f t="shared" si="6"/>
        <v>-73.2</v>
      </c>
      <c r="AL18" s="104"/>
      <c r="AM18" s="622"/>
      <c r="AN18" s="444"/>
      <c r="AO18" s="445">
        <f t="shared" si="8"/>
        <v>9141.3559408899982</v>
      </c>
      <c r="AP18" s="445">
        <f t="shared" si="8"/>
        <v>13845.02879529</v>
      </c>
      <c r="AQ18" s="444">
        <f t="shared" si="2"/>
        <v>51.5</v>
      </c>
      <c r="AR18" s="445">
        <f t="shared" si="9"/>
        <v>9141.3559408899982</v>
      </c>
      <c r="AS18" s="445">
        <f t="shared" si="9"/>
        <v>13845.02879529</v>
      </c>
      <c r="AT18" s="444">
        <f t="shared" si="3"/>
        <v>51.5</v>
      </c>
      <c r="AU18" s="495"/>
      <c r="AV18" s="495"/>
    </row>
    <row r="19" spans="1:49" s="496" customFormat="1" ht="20.100000000000001" customHeight="1" x14ac:dyDescent="0.3">
      <c r="A19" s="461" t="s">
        <v>198</v>
      </c>
      <c r="B19" s="196"/>
      <c r="C19" s="447"/>
      <c r="D19" s="444"/>
      <c r="E19" s="196">
        <v>1820.7049999999999</v>
      </c>
      <c r="F19" s="447">
        <v>2446.623</v>
      </c>
      <c r="G19" s="444">
        <f t="shared" si="4"/>
        <v>34.4</v>
      </c>
      <c r="H19" s="447"/>
      <c r="I19" s="447"/>
      <c r="J19" s="444"/>
      <c r="K19" s="196"/>
      <c r="L19" s="447"/>
      <c r="M19" s="444"/>
      <c r="N19" s="104">
        <v>236</v>
      </c>
      <c r="O19" s="622">
        <v>261.39999999999998</v>
      </c>
      <c r="P19" s="443">
        <f t="shared" ref="P19:P28" si="13">IF(N19=0, "    ---- ", IF(ABS(ROUND(100/N19*O19-100,1))&lt;999,ROUND(100/N19*O19-100,1),IF(ROUND(100/N19*O19-100,1)&gt;999,999,-999)))</f>
        <v>10.8</v>
      </c>
      <c r="Q19" s="698"/>
      <c r="R19" s="699"/>
      <c r="S19" s="444"/>
      <c r="T19" s="104">
        <v>11205.03987715</v>
      </c>
      <c r="U19" s="622">
        <v>11809.77148433</v>
      </c>
      <c r="V19" s="444">
        <f t="shared" si="1"/>
        <v>5.4</v>
      </c>
      <c r="W19" s="104">
        <v>253.2</v>
      </c>
      <c r="X19" s="622">
        <v>308.2</v>
      </c>
      <c r="Y19" s="444">
        <f t="shared" ref="Y19:Y28" si="14">IF(W19=0, "    ---- ", IF(ABS(ROUND(100/W19*X19-100,1))&lt;999,ROUND(100/W19*X19-100,1),IF(ROUND(100/W19*X19-100,1)&gt;999,999,-999)))</f>
        <v>21.7</v>
      </c>
      <c r="Z19" s="106"/>
      <c r="AA19" s="443"/>
      <c r="AB19" s="444"/>
      <c r="AC19" s="104">
        <v>4470</v>
      </c>
      <c r="AD19" s="622">
        <v>4406</v>
      </c>
      <c r="AE19" s="444">
        <f t="shared" si="5"/>
        <v>-1.4</v>
      </c>
      <c r="AF19" s="104"/>
      <c r="AG19" s="622"/>
      <c r="AH19" s="444"/>
      <c r="AI19" s="104">
        <v>1113.175</v>
      </c>
      <c r="AJ19" s="622">
        <v>1069.336</v>
      </c>
      <c r="AK19" s="444">
        <f t="shared" si="6"/>
        <v>-3.9</v>
      </c>
      <c r="AL19" s="104">
        <f>7777+452</f>
        <v>8229</v>
      </c>
      <c r="AM19" s="622">
        <f>1+6819+504</f>
        <v>7324</v>
      </c>
      <c r="AN19" s="444">
        <f t="shared" si="7"/>
        <v>-11</v>
      </c>
      <c r="AO19" s="445">
        <f t="shared" si="8"/>
        <v>27327.119877150002</v>
      </c>
      <c r="AP19" s="445">
        <f t="shared" si="8"/>
        <v>27625.330484329999</v>
      </c>
      <c r="AQ19" s="444">
        <f t="shared" si="2"/>
        <v>1.1000000000000001</v>
      </c>
      <c r="AR19" s="445">
        <f t="shared" si="9"/>
        <v>27327.119877150002</v>
      </c>
      <c r="AS19" s="445">
        <f t="shared" si="9"/>
        <v>27625.330484329999</v>
      </c>
      <c r="AT19" s="444">
        <f t="shared" si="3"/>
        <v>1.1000000000000001</v>
      </c>
      <c r="AU19" s="495"/>
      <c r="AV19" s="495"/>
    </row>
    <row r="20" spans="1:49" s="496" customFormat="1" ht="20.100000000000001" customHeight="1" x14ac:dyDescent="0.3">
      <c r="A20" s="461" t="s">
        <v>199</v>
      </c>
      <c r="B20" s="196">
        <f>SUM(B21:B25)</f>
        <v>245.852</v>
      </c>
      <c r="C20" s="447">
        <f>SUM(C21:C25)</f>
        <v>683.096</v>
      </c>
      <c r="D20" s="444">
        <f>IF(B20=0, "    ---- ", IF(ABS(ROUND(100/B20*C20-100,1))&lt;999,ROUND(100/B20*C20-100,1),IF(ROUND(100/B20*C20-100,1)&gt;999,999,-999)))</f>
        <v>177.8</v>
      </c>
      <c r="E20" s="196">
        <f>SUM(E21:E25)</f>
        <v>26704.371999999999</v>
      </c>
      <c r="F20" s="447">
        <f>SUM(F21:F25)</f>
        <v>21900.824000000001</v>
      </c>
      <c r="G20" s="444">
        <f t="shared" si="4"/>
        <v>-18</v>
      </c>
      <c r="H20" s="447"/>
      <c r="I20" s="447">
        <v>1422.2784909700003</v>
      </c>
      <c r="J20" s="444" t="str">
        <f t="shared" ref="J20:J22" si="15">IF(H20=0, "    ---- ", IF(ABS(ROUND(100/H20*I20-100,1))&lt;999,ROUND(100/H20*I20-100,1),IF(ROUND(100/H20*I20-100,1)&gt;999,999,-999)))</f>
        <v xml:space="preserve">    ---- </v>
      </c>
      <c r="K20" s="196">
        <f>SUM(K21:K25)</f>
        <v>135.696</v>
      </c>
      <c r="L20" s="447">
        <f>SUM(L21:L25)</f>
        <v>232.983</v>
      </c>
      <c r="M20" s="444">
        <f t="shared" ref="M20:M28" si="16">IF(K20=0, "    ---- ", IF(ABS(ROUND(100/K20*L20-100,1))&lt;999,ROUND(100/K20*L20-100,1),IF(ROUND(100/K20*L20-100,1)&gt;999,999,-999)))</f>
        <v>71.7</v>
      </c>
      <c r="N20" s="104">
        <f>SUM(N21:N25)</f>
        <v>799</v>
      </c>
      <c r="O20" s="622">
        <f>SUM(O21:O25)</f>
        <v>719.5</v>
      </c>
      <c r="P20" s="443">
        <f t="shared" si="13"/>
        <v>-9.9</v>
      </c>
      <c r="Q20" s="698"/>
      <c r="R20" s="699"/>
      <c r="S20" s="444"/>
      <c r="T20" s="104">
        <f>SUM(T21:T25)</f>
        <v>12428.542156610001</v>
      </c>
      <c r="U20" s="622">
        <v>14826.350470109999</v>
      </c>
      <c r="V20" s="444">
        <f t="shared" si="1"/>
        <v>19.3</v>
      </c>
      <c r="W20" s="104">
        <f>SUM(W21:W25)</f>
        <v>245.70000000000002</v>
      </c>
      <c r="X20" s="622">
        <f>SUM(X21:X25)</f>
        <v>275.90000000000003</v>
      </c>
      <c r="Y20" s="444">
        <f t="shared" si="14"/>
        <v>12.3</v>
      </c>
      <c r="Z20" s="443">
        <f>SUM(Z21:Z25)</f>
        <v>10140.1</v>
      </c>
      <c r="AA20" s="443">
        <f>SUM(AA21:AA25)</f>
        <v>10740.030542340115</v>
      </c>
      <c r="AB20" s="444">
        <f t="shared" ref="AB20:AB28" si="17">IF(Z20=0, "    ---- ", IF(ABS(ROUND(100/Z20*AA20-100,1))&lt;999,ROUND(100/Z20*AA20-100,1),IF(ROUND(100/Z20*AA20-100,1)&gt;999,999,-999)))</f>
        <v>5.9</v>
      </c>
      <c r="AC20" s="104">
        <f>SUM(AC21:AC25)</f>
        <v>3664</v>
      </c>
      <c r="AD20" s="622">
        <f>SUM(AD21:AD25)</f>
        <v>3781</v>
      </c>
      <c r="AE20" s="444">
        <f t="shared" si="5"/>
        <v>3.2</v>
      </c>
      <c r="AF20" s="104"/>
      <c r="AG20" s="622"/>
      <c r="AH20" s="338"/>
      <c r="AI20" s="104">
        <f>SUM(AI21:AI25)</f>
        <v>3264.346</v>
      </c>
      <c r="AJ20" s="622">
        <f>SUM(AJ21:AJ25)</f>
        <v>3415.6809999999996</v>
      </c>
      <c r="AK20" s="444">
        <f t="shared" si="6"/>
        <v>4.5999999999999996</v>
      </c>
      <c r="AL20" s="104">
        <f>SUM(AL21:AL25)</f>
        <v>12664</v>
      </c>
      <c r="AM20" s="622">
        <f>SUM(AM21:AM25)</f>
        <v>12447</v>
      </c>
      <c r="AN20" s="444">
        <f t="shared" si="7"/>
        <v>-1.7</v>
      </c>
      <c r="AO20" s="445">
        <f t="shared" si="8"/>
        <v>70291.608156609989</v>
      </c>
      <c r="AP20" s="445">
        <f t="shared" si="8"/>
        <v>70444.643503420113</v>
      </c>
      <c r="AQ20" s="444">
        <f t="shared" si="2"/>
        <v>0.2</v>
      </c>
      <c r="AR20" s="445">
        <f t="shared" si="9"/>
        <v>70291.608156609989</v>
      </c>
      <c r="AS20" s="445">
        <f t="shared" si="9"/>
        <v>70444.643503420113</v>
      </c>
      <c r="AT20" s="444">
        <f t="shared" si="3"/>
        <v>0.2</v>
      </c>
      <c r="AU20" s="495"/>
      <c r="AV20" s="495"/>
    </row>
    <row r="21" spans="1:49" s="496" customFormat="1" ht="20.100000000000001" customHeight="1" x14ac:dyDescent="0.3">
      <c r="A21" s="461" t="s">
        <v>200</v>
      </c>
      <c r="B21" s="196">
        <v>5.6619999999999999</v>
      </c>
      <c r="C21" s="447">
        <v>5.4989999999999997</v>
      </c>
      <c r="D21" s="444">
        <f>IF(B21=0, "    ---- ", IF(ABS(ROUND(100/B21*C21-100,1))&lt;999,ROUND(100/B21*C21-100,1),IF(ROUND(100/B21*C21-100,1)&gt;999,999,-999)))</f>
        <v>-2.9</v>
      </c>
      <c r="E21" s="196">
        <v>1484.5039999999999</v>
      </c>
      <c r="F21" s="447">
        <v>435.35599999999999</v>
      </c>
      <c r="G21" s="444">
        <f t="shared" si="4"/>
        <v>-70.7</v>
      </c>
      <c r="H21" s="447"/>
      <c r="I21" s="447"/>
      <c r="J21" s="444"/>
      <c r="K21" s="196">
        <v>17.960999999999999</v>
      </c>
      <c r="L21" s="447">
        <v>26.055</v>
      </c>
      <c r="M21" s="444">
        <f t="shared" si="16"/>
        <v>45.1</v>
      </c>
      <c r="N21" s="104">
        <v>99.3</v>
      </c>
      <c r="O21" s="622">
        <v>27.6</v>
      </c>
      <c r="P21" s="443">
        <f t="shared" si="13"/>
        <v>-72.2</v>
      </c>
      <c r="Q21" s="698"/>
      <c r="R21" s="699"/>
      <c r="S21" s="444"/>
      <c r="T21" s="104">
        <v>682.96540845000004</v>
      </c>
      <c r="U21" s="622">
        <v>5.2555584500000005</v>
      </c>
      <c r="V21" s="444">
        <f t="shared" si="1"/>
        <v>-99.2</v>
      </c>
      <c r="W21" s="104">
        <v>7.6</v>
      </c>
      <c r="X21" s="622">
        <v>6.6</v>
      </c>
      <c r="Y21" s="444">
        <f t="shared" si="14"/>
        <v>-13.2</v>
      </c>
      <c r="Z21" s="106"/>
      <c r="AA21" s="443"/>
      <c r="AB21" s="444"/>
      <c r="AC21" s="104">
        <v>1881</v>
      </c>
      <c r="AD21" s="622">
        <v>2006</v>
      </c>
      <c r="AE21" s="444"/>
      <c r="AF21" s="104"/>
      <c r="AG21" s="622"/>
      <c r="AH21" s="444"/>
      <c r="AI21" s="104">
        <v>0.48899999999999999</v>
      </c>
      <c r="AJ21" s="622">
        <v>0.48899999999999999</v>
      </c>
      <c r="AK21" s="444">
        <f t="shared" si="6"/>
        <v>0</v>
      </c>
      <c r="AL21" s="104">
        <v>15</v>
      </c>
      <c r="AM21" s="622">
        <v>14</v>
      </c>
      <c r="AN21" s="444">
        <f t="shared" si="7"/>
        <v>-6.7</v>
      </c>
      <c r="AO21" s="445">
        <f t="shared" si="8"/>
        <v>4194.4814084499994</v>
      </c>
      <c r="AP21" s="445">
        <f t="shared" si="8"/>
        <v>2526.8545584500002</v>
      </c>
      <c r="AQ21" s="444">
        <f t="shared" si="2"/>
        <v>-39.799999999999997</v>
      </c>
      <c r="AR21" s="445">
        <f t="shared" si="9"/>
        <v>4194.4814084499994</v>
      </c>
      <c r="AS21" s="445">
        <f t="shared" si="9"/>
        <v>2526.8545584500002</v>
      </c>
      <c r="AT21" s="444">
        <f t="shared" si="3"/>
        <v>-39.799999999999997</v>
      </c>
      <c r="AU21" s="495"/>
      <c r="AV21" s="495"/>
    </row>
    <row r="22" spans="1:49" s="496" customFormat="1" ht="20.100000000000001" customHeight="1" x14ac:dyDescent="0.3">
      <c r="A22" s="461" t="s">
        <v>201</v>
      </c>
      <c r="B22" s="196">
        <v>240.19</v>
      </c>
      <c r="C22" s="447">
        <v>677.59699999999998</v>
      </c>
      <c r="D22" s="444">
        <f>IF(B22=0, "    ---- ", IF(ABS(ROUND(100/B22*C22-100,1))&lt;999,ROUND(100/B22*C22-100,1),IF(ROUND(100/B22*C22-100,1)&gt;999,999,-999)))</f>
        <v>182.1</v>
      </c>
      <c r="E22" s="196">
        <v>25184.307000000001</v>
      </c>
      <c r="F22" s="447">
        <v>21138.149000000001</v>
      </c>
      <c r="G22" s="444">
        <f t="shared" si="4"/>
        <v>-16.100000000000001</v>
      </c>
      <c r="H22" s="447"/>
      <c r="I22" s="447">
        <v>1285.1678755100002</v>
      </c>
      <c r="J22" s="444" t="str">
        <f t="shared" si="15"/>
        <v xml:space="preserve">    ---- </v>
      </c>
      <c r="K22" s="196">
        <v>96.048000000000002</v>
      </c>
      <c r="L22" s="447">
        <v>164.62799999999999</v>
      </c>
      <c r="M22" s="444">
        <f t="shared" si="16"/>
        <v>71.400000000000006</v>
      </c>
      <c r="N22" s="104">
        <v>699.7</v>
      </c>
      <c r="O22" s="622">
        <v>691.9</v>
      </c>
      <c r="P22" s="443">
        <f t="shared" si="13"/>
        <v>-1.1000000000000001</v>
      </c>
      <c r="Q22" s="698"/>
      <c r="R22" s="699"/>
      <c r="S22" s="444"/>
      <c r="T22" s="104">
        <v>9579.40320307</v>
      </c>
      <c r="U22" s="622">
        <v>11535.956967799999</v>
      </c>
      <c r="V22" s="444">
        <f t="shared" si="1"/>
        <v>20.399999999999999</v>
      </c>
      <c r="W22" s="104">
        <v>220.3</v>
      </c>
      <c r="X22" s="622">
        <v>255</v>
      </c>
      <c r="Y22" s="444">
        <f t="shared" si="14"/>
        <v>15.8</v>
      </c>
      <c r="Z22" s="106">
        <v>10140.1</v>
      </c>
      <c r="AA22" s="443">
        <v>10740.030542340115</v>
      </c>
      <c r="AB22" s="444">
        <f t="shared" si="17"/>
        <v>5.9</v>
      </c>
      <c r="AC22" s="104">
        <v>1787</v>
      </c>
      <c r="AD22" s="622">
        <v>1970</v>
      </c>
      <c r="AE22" s="444">
        <f t="shared" si="5"/>
        <v>10.199999999999999</v>
      </c>
      <c r="AF22" s="104"/>
      <c r="AG22" s="622"/>
      <c r="AH22" s="444"/>
      <c r="AI22" s="104">
        <v>2697.8319999999999</v>
      </c>
      <c r="AJ22" s="622">
        <v>2572.8539999999998</v>
      </c>
      <c r="AK22" s="444">
        <f t="shared" si="6"/>
        <v>-4.5999999999999996</v>
      </c>
      <c r="AL22" s="104">
        <v>11387</v>
      </c>
      <c r="AM22" s="622">
        <v>10645</v>
      </c>
      <c r="AN22" s="444">
        <f t="shared" si="7"/>
        <v>-6.5</v>
      </c>
      <c r="AO22" s="445">
        <f t="shared" si="8"/>
        <v>62031.880203070003</v>
      </c>
      <c r="AP22" s="445">
        <f t="shared" si="8"/>
        <v>61676.283385650117</v>
      </c>
      <c r="AQ22" s="444">
        <f t="shared" si="2"/>
        <v>-0.6</v>
      </c>
      <c r="AR22" s="445">
        <f t="shared" si="9"/>
        <v>62031.880203070003</v>
      </c>
      <c r="AS22" s="445">
        <f t="shared" si="9"/>
        <v>61676.283385650117</v>
      </c>
      <c r="AT22" s="444">
        <f t="shared" si="3"/>
        <v>-0.6</v>
      </c>
      <c r="AU22" s="495"/>
      <c r="AV22" s="495"/>
    </row>
    <row r="23" spans="1:49" s="496" customFormat="1" ht="20.100000000000001" customHeight="1" x14ac:dyDescent="0.3">
      <c r="A23" s="461" t="s">
        <v>202</v>
      </c>
      <c r="B23" s="196"/>
      <c r="C23" s="447"/>
      <c r="D23" s="444"/>
      <c r="E23" s="196">
        <v>0.20599999999999999</v>
      </c>
      <c r="F23" s="447">
        <v>9.6210000000000004</v>
      </c>
      <c r="G23" s="444">
        <f t="shared" si="4"/>
        <v>999</v>
      </c>
      <c r="H23" s="447"/>
      <c r="I23" s="447">
        <v>136.12100986999999</v>
      </c>
      <c r="J23" s="444"/>
      <c r="K23" s="196"/>
      <c r="L23" s="447"/>
      <c r="M23" s="444"/>
      <c r="N23" s="104"/>
      <c r="O23" s="622"/>
      <c r="P23" s="443"/>
      <c r="Q23" s="698"/>
      <c r="R23" s="699"/>
      <c r="S23" s="444"/>
      <c r="T23" s="104">
        <v>1433.5513311500001</v>
      </c>
      <c r="U23" s="622">
        <v>1813.9550208599999</v>
      </c>
      <c r="V23" s="444">
        <f t="shared" si="1"/>
        <v>26.5</v>
      </c>
      <c r="W23" s="104">
        <v>17.8</v>
      </c>
      <c r="X23" s="622">
        <v>14.3</v>
      </c>
      <c r="Y23" s="444">
        <f t="shared" si="14"/>
        <v>-19.7</v>
      </c>
      <c r="Z23" s="106"/>
      <c r="AA23" s="443"/>
      <c r="AB23" s="444"/>
      <c r="AC23" s="104"/>
      <c r="AD23" s="622"/>
      <c r="AE23" s="444"/>
      <c r="AF23" s="104"/>
      <c r="AG23" s="622"/>
      <c r="AH23" s="444"/>
      <c r="AI23" s="104"/>
      <c r="AJ23" s="622"/>
      <c r="AK23" s="444"/>
      <c r="AL23" s="104"/>
      <c r="AM23" s="622"/>
      <c r="AN23" s="444"/>
      <c r="AO23" s="445">
        <f t="shared" si="8"/>
        <v>1451.55733115</v>
      </c>
      <c r="AP23" s="445">
        <f t="shared" si="8"/>
        <v>1973.9970307299998</v>
      </c>
      <c r="AQ23" s="444">
        <f t="shared" si="2"/>
        <v>36</v>
      </c>
      <c r="AR23" s="445">
        <f t="shared" si="9"/>
        <v>1451.55733115</v>
      </c>
      <c r="AS23" s="445">
        <f t="shared" si="9"/>
        <v>1973.9970307299998</v>
      </c>
      <c r="AT23" s="444">
        <f t="shared" si="3"/>
        <v>36</v>
      </c>
      <c r="AU23" s="495"/>
      <c r="AV23" s="495"/>
    </row>
    <row r="24" spans="1:49" s="496" customFormat="1" ht="20.100000000000001" customHeight="1" x14ac:dyDescent="0.3">
      <c r="A24" s="461" t="s">
        <v>203</v>
      </c>
      <c r="B24" s="196"/>
      <c r="C24" s="447"/>
      <c r="D24" s="444"/>
      <c r="E24" s="196">
        <v>0</v>
      </c>
      <c r="F24" s="447">
        <v>0.97899999999999998</v>
      </c>
      <c r="G24" s="444" t="str">
        <f t="shared" si="4"/>
        <v xml:space="preserve">    ---- </v>
      </c>
      <c r="H24" s="447"/>
      <c r="I24" s="447"/>
      <c r="J24" s="444"/>
      <c r="K24" s="196"/>
      <c r="L24" s="447"/>
      <c r="M24" s="444"/>
      <c r="N24" s="104"/>
      <c r="O24" s="622"/>
      <c r="P24" s="443"/>
      <c r="Q24" s="698"/>
      <c r="R24" s="699"/>
      <c r="S24" s="444"/>
      <c r="T24" s="104">
        <v>690.62990689000003</v>
      </c>
      <c r="U24" s="622">
        <v>1310.88053085</v>
      </c>
      <c r="V24" s="444">
        <f t="shared" si="1"/>
        <v>89.8</v>
      </c>
      <c r="W24" s="104"/>
      <c r="X24" s="622"/>
      <c r="Y24" s="444"/>
      <c r="Z24" s="106"/>
      <c r="AA24" s="443"/>
      <c r="AB24" s="444"/>
      <c r="AC24" s="104">
        <v>-4</v>
      </c>
      <c r="AD24" s="622">
        <v>-195</v>
      </c>
      <c r="AE24" s="444">
        <f t="shared" si="5"/>
        <v>999</v>
      </c>
      <c r="AF24" s="104"/>
      <c r="AG24" s="622"/>
      <c r="AH24" s="444"/>
      <c r="AI24" s="104">
        <v>0</v>
      </c>
      <c r="AJ24" s="622">
        <v>0.75</v>
      </c>
      <c r="AK24" s="444" t="str">
        <f t="shared" si="6"/>
        <v xml:space="preserve">    ---- </v>
      </c>
      <c r="AL24" s="104">
        <v>1262</v>
      </c>
      <c r="AM24" s="622">
        <v>1788</v>
      </c>
      <c r="AN24" s="444">
        <f t="shared" si="7"/>
        <v>41.7</v>
      </c>
      <c r="AO24" s="445">
        <f t="shared" si="8"/>
        <v>1948.62990689</v>
      </c>
      <c r="AP24" s="445">
        <f t="shared" si="8"/>
        <v>2905.6095308499998</v>
      </c>
      <c r="AQ24" s="444">
        <f t="shared" si="2"/>
        <v>49.1</v>
      </c>
      <c r="AR24" s="445">
        <f t="shared" si="9"/>
        <v>1948.62990689</v>
      </c>
      <c r="AS24" s="445">
        <f t="shared" si="9"/>
        <v>2905.6095308499998</v>
      </c>
      <c r="AT24" s="444">
        <f t="shared" si="3"/>
        <v>49.1</v>
      </c>
      <c r="AU24" s="495"/>
      <c r="AV24" s="495"/>
    </row>
    <row r="25" spans="1:49" s="496" customFormat="1" ht="20.100000000000001" customHeight="1" x14ac:dyDescent="0.3">
      <c r="A25" s="461" t="s">
        <v>204</v>
      </c>
      <c r="B25" s="196"/>
      <c r="C25" s="447"/>
      <c r="D25" s="444"/>
      <c r="E25" s="196">
        <v>35.354999999999997</v>
      </c>
      <c r="F25" s="447">
        <v>316.71899999999999</v>
      </c>
      <c r="G25" s="444">
        <f t="shared" si="4"/>
        <v>795.8</v>
      </c>
      <c r="H25" s="447"/>
      <c r="I25" s="447">
        <v>0.98960558999999981</v>
      </c>
      <c r="J25" s="444" t="str">
        <f t="shared" ref="J25" si="18">IF(H25=0, "    ---- ", IF(ABS(ROUND(100/H25*I25-100,1))&lt;999,ROUND(100/H25*I25-100,1),IF(ROUND(100/H25*I25-100,1)&gt;999,999,-999)))</f>
        <v xml:space="preserve">    ---- </v>
      </c>
      <c r="K25" s="196">
        <v>21.687000000000001</v>
      </c>
      <c r="L25" s="447">
        <v>42.3</v>
      </c>
      <c r="M25" s="444">
        <f t="shared" si="16"/>
        <v>95</v>
      </c>
      <c r="N25" s="104"/>
      <c r="O25" s="622"/>
      <c r="P25" s="443"/>
      <c r="Q25" s="698"/>
      <c r="R25" s="699"/>
      <c r="S25" s="444"/>
      <c r="T25" s="104">
        <v>41.992307049999994</v>
      </c>
      <c r="U25" s="622">
        <v>160.30239215</v>
      </c>
      <c r="V25" s="444">
        <f t="shared" si="1"/>
        <v>281.7</v>
      </c>
      <c r="W25" s="104"/>
      <c r="X25" s="622"/>
      <c r="Y25" s="444"/>
      <c r="Z25" s="106"/>
      <c r="AA25" s="443"/>
      <c r="AB25" s="444"/>
      <c r="AC25" s="104"/>
      <c r="AD25" s="622"/>
      <c r="AE25" s="444"/>
      <c r="AF25" s="104"/>
      <c r="AG25" s="622"/>
      <c r="AH25" s="338"/>
      <c r="AI25" s="104">
        <v>566.02499999999998</v>
      </c>
      <c r="AJ25" s="622">
        <v>841.58799999999997</v>
      </c>
      <c r="AK25" s="444">
        <f t="shared" si="6"/>
        <v>48.7</v>
      </c>
      <c r="AL25" s="104"/>
      <c r="AM25" s="622"/>
      <c r="AN25" s="444"/>
      <c r="AO25" s="445">
        <f t="shared" si="8"/>
        <v>665.05930704999992</v>
      </c>
      <c r="AP25" s="445">
        <f t="shared" si="8"/>
        <v>1361.8989977399999</v>
      </c>
      <c r="AQ25" s="444">
        <f t="shared" si="2"/>
        <v>104.8</v>
      </c>
      <c r="AR25" s="445">
        <f t="shared" si="9"/>
        <v>665.05930704999992</v>
      </c>
      <c r="AS25" s="445">
        <f t="shared" si="9"/>
        <v>1361.8989977399999</v>
      </c>
      <c r="AT25" s="444">
        <f t="shared" si="3"/>
        <v>104.8</v>
      </c>
      <c r="AU25" s="495"/>
      <c r="AV25" s="495"/>
    </row>
    <row r="26" spans="1:49" s="496" customFormat="1" ht="20.100000000000001" customHeight="1" x14ac:dyDescent="0.3">
      <c r="A26" s="461" t="s">
        <v>205</v>
      </c>
      <c r="B26" s="196"/>
      <c r="C26" s="447"/>
      <c r="D26" s="444"/>
      <c r="E26" s="196"/>
      <c r="F26" s="447"/>
      <c r="G26" s="444"/>
      <c r="H26" s="447"/>
      <c r="I26" s="447"/>
      <c r="J26" s="444"/>
      <c r="K26" s="196"/>
      <c r="L26" s="447"/>
      <c r="M26" s="444"/>
      <c r="N26" s="104"/>
      <c r="O26" s="622"/>
      <c r="P26" s="443"/>
      <c r="Q26" s="698"/>
      <c r="R26" s="699"/>
      <c r="S26" s="444"/>
      <c r="T26" s="104"/>
      <c r="U26" s="622"/>
      <c r="V26" s="444"/>
      <c r="W26" s="104"/>
      <c r="X26" s="622"/>
      <c r="Y26" s="444"/>
      <c r="Z26" s="106"/>
      <c r="AA26" s="443"/>
      <c r="AB26" s="444"/>
      <c r="AC26" s="104"/>
      <c r="AD26" s="622"/>
      <c r="AE26" s="444"/>
      <c r="AF26" s="104"/>
      <c r="AG26" s="622"/>
      <c r="AH26" s="444"/>
      <c r="AI26" s="104"/>
      <c r="AJ26" s="622"/>
      <c r="AK26" s="444"/>
      <c r="AL26" s="104"/>
      <c r="AM26" s="622"/>
      <c r="AN26" s="444"/>
      <c r="AO26" s="445">
        <f t="shared" si="8"/>
        <v>0</v>
      </c>
      <c r="AP26" s="445">
        <f t="shared" si="8"/>
        <v>0</v>
      </c>
      <c r="AQ26" s="444" t="str">
        <f t="shared" si="2"/>
        <v xml:space="preserve">    ---- </v>
      </c>
      <c r="AR26" s="445">
        <f t="shared" si="9"/>
        <v>0</v>
      </c>
      <c r="AS26" s="445">
        <f t="shared" si="9"/>
        <v>0</v>
      </c>
      <c r="AT26" s="444" t="str">
        <f t="shared" si="3"/>
        <v xml:space="preserve">    ---- </v>
      </c>
      <c r="AU26" s="495"/>
      <c r="AV26" s="495"/>
    </row>
    <row r="27" spans="1:49" s="496" customFormat="1" ht="20.100000000000001" customHeight="1" x14ac:dyDescent="0.3">
      <c r="A27" s="462" t="s">
        <v>206</v>
      </c>
      <c r="B27" s="196">
        <f>SUM(B14+B15+B16+B20+B26)</f>
        <v>245.852</v>
      </c>
      <c r="C27" s="447">
        <f>SUM(C14+C15+C16+C20+C26)</f>
        <v>683.096</v>
      </c>
      <c r="D27" s="444">
        <f>IF(B27=0, "    ---- ", IF(ABS(ROUND(100/B27*C27-100,1))&lt;999,ROUND(100/B27*C27-100,1),IF(ROUND(100/B27*C27-100,1)&gt;999,999,-999)))</f>
        <v>177.8</v>
      </c>
      <c r="E27" s="196">
        <f>SUM(E14+E15+E16+E20+E26)</f>
        <v>30780.981</v>
      </c>
      <c r="F27" s="447">
        <f>SUM(F14+F15+F16+F20+F26)</f>
        <v>31851.324000000001</v>
      </c>
      <c r="G27" s="444">
        <f t="shared" si="4"/>
        <v>3.5</v>
      </c>
      <c r="H27" s="447"/>
      <c r="I27" s="447">
        <v>1422.2784909700003</v>
      </c>
      <c r="J27" s="444" t="str">
        <f t="shared" ref="J27:J28" si="19">IF(H27=0, "    ---- ", IF(ABS(ROUND(100/H27*I27-100,1))&lt;999,ROUND(100/H27*I27-100,1),IF(ROUND(100/H27*I27-100,1)&gt;999,999,-999)))</f>
        <v xml:space="preserve">    ---- </v>
      </c>
      <c r="K27" s="196">
        <f>SUM(K14+K15+K16+K20+K26)</f>
        <v>171.00900000000001</v>
      </c>
      <c r="L27" s="447">
        <f>SUM(L14+L15+L16+L20+L26)</f>
        <v>285.923</v>
      </c>
      <c r="M27" s="444">
        <f t="shared" si="16"/>
        <v>67.2</v>
      </c>
      <c r="N27" s="104">
        <f>SUM(N14+N15+N16+N20+N26)</f>
        <v>1062</v>
      </c>
      <c r="O27" s="622">
        <f>SUM(O14+O15+O16+O20+O26)</f>
        <v>990.5</v>
      </c>
      <c r="P27" s="443">
        <f t="shared" si="13"/>
        <v>-6.7</v>
      </c>
      <c r="Q27" s="698"/>
      <c r="R27" s="699"/>
      <c r="S27" s="444"/>
      <c r="T27" s="104">
        <f>SUM(T14+T15+T16+T20+T26)</f>
        <v>39087.43154736</v>
      </c>
      <c r="U27" s="622">
        <v>43505.669410620001</v>
      </c>
      <c r="V27" s="444">
        <f t="shared" si="1"/>
        <v>11.3</v>
      </c>
      <c r="W27" s="104">
        <f>SUM(W14+W15+W16+W20+W26)</f>
        <v>498.9</v>
      </c>
      <c r="X27" s="622">
        <f>SUM(X14+X15+X16+X20+X26)</f>
        <v>584.1</v>
      </c>
      <c r="Y27" s="444">
        <f t="shared" si="14"/>
        <v>17.100000000000001</v>
      </c>
      <c r="Z27" s="106">
        <f>SUM(Z14+Z15+Z16+Z20+Z26)</f>
        <v>10140.1</v>
      </c>
      <c r="AA27" s="443">
        <f>SUM(AA14+AA15+AA16+AA20+AA26)</f>
        <v>10740.030542340115</v>
      </c>
      <c r="AB27" s="444">
        <f t="shared" si="17"/>
        <v>5.9</v>
      </c>
      <c r="AC27" s="104">
        <f>SUM(AC14+AC15+AC16+AC20+AC26)</f>
        <v>9419</v>
      </c>
      <c r="AD27" s="622">
        <f>SUM(AD14+AD15+AD16+AD20+AD26)</f>
        <v>9102</v>
      </c>
      <c r="AE27" s="444">
        <f t="shared" si="5"/>
        <v>-3.4</v>
      </c>
      <c r="AF27" s="104"/>
      <c r="AG27" s="622"/>
      <c r="AH27" s="338"/>
      <c r="AI27" s="104">
        <f>SUM(AI14+AI15+AI16+AI20+AI26)</f>
        <v>6578.152</v>
      </c>
      <c r="AJ27" s="622">
        <f>SUM(AJ14+AJ15+AJ16+AJ20+AJ26)</f>
        <v>6180.2860000000001</v>
      </c>
      <c r="AK27" s="444">
        <f t="shared" si="6"/>
        <v>-6</v>
      </c>
      <c r="AL27" s="104">
        <f>SUM(AL14+AL15+AL16+AL20+AL26)</f>
        <v>33645</v>
      </c>
      <c r="AM27" s="622">
        <f>SUM(AM14+AM15+AM16+AM20+AM26)</f>
        <v>33598</v>
      </c>
      <c r="AN27" s="444">
        <f t="shared" si="7"/>
        <v>-0.1</v>
      </c>
      <c r="AO27" s="445">
        <f t="shared" si="8"/>
        <v>131628.42554736001</v>
      </c>
      <c r="AP27" s="445">
        <f t="shared" si="8"/>
        <v>138943.20744393012</v>
      </c>
      <c r="AQ27" s="444">
        <f t="shared" si="2"/>
        <v>5.6</v>
      </c>
      <c r="AR27" s="445">
        <f t="shared" si="9"/>
        <v>131628.42554736001</v>
      </c>
      <c r="AS27" s="445">
        <f t="shared" si="9"/>
        <v>138943.20744393012</v>
      </c>
      <c r="AT27" s="444">
        <f t="shared" si="3"/>
        <v>5.6</v>
      </c>
      <c r="AU27" s="495"/>
      <c r="AV27" s="495"/>
    </row>
    <row r="28" spans="1:49" s="496" customFormat="1" ht="20.100000000000001" customHeight="1" x14ac:dyDescent="0.3">
      <c r="A28" s="461" t="s">
        <v>207</v>
      </c>
      <c r="B28" s="196">
        <f>33.291+212.273+1.205</f>
        <v>246.76900000000001</v>
      </c>
      <c r="C28" s="447">
        <f>52.072+229.733+5.039</f>
        <v>286.84399999999999</v>
      </c>
      <c r="D28" s="444">
        <f>IF(B28=0, "    ---- ", IF(ABS(ROUND(100/B28*C28-100,1))&lt;999,ROUND(100/B28*C28-100,1),IF(ROUND(100/B28*C28-100,1)&gt;999,999,-999)))</f>
        <v>16.2</v>
      </c>
      <c r="E28" s="196">
        <f>8.019+269.719+636.291+52.62</f>
        <v>966.649</v>
      </c>
      <c r="F28" s="447">
        <v>1105.9280000000001</v>
      </c>
      <c r="G28" s="444">
        <f t="shared" si="4"/>
        <v>14.4</v>
      </c>
      <c r="H28" s="447"/>
      <c r="I28" s="447">
        <v>1661.9759338200004</v>
      </c>
      <c r="J28" s="444" t="str">
        <f t="shared" si="19"/>
        <v xml:space="preserve">    ---- </v>
      </c>
      <c r="K28" s="196">
        <v>551.30799999999999</v>
      </c>
      <c r="L28" s="447">
        <v>653.84699999999998</v>
      </c>
      <c r="M28" s="444">
        <f t="shared" si="16"/>
        <v>18.600000000000001</v>
      </c>
      <c r="N28" s="104">
        <f>58.9+80.5+139.8+21.4</f>
        <v>300.60000000000002</v>
      </c>
      <c r="O28" s="622">
        <f>40.6+174.8+206.6+2.6</f>
        <v>424.6</v>
      </c>
      <c r="P28" s="443">
        <f t="shared" si="13"/>
        <v>41.3</v>
      </c>
      <c r="Q28" s="698">
        <v>145.92903175999999</v>
      </c>
      <c r="R28" s="699">
        <v>149.58546472</v>
      </c>
      <c r="S28" s="444">
        <f>IF(Q28=0, "    ---- ", IF(ABS(ROUND(100/Q28*R28-100,1))&lt;999,ROUND(100/Q28*R28-100,1),IF(ROUND(100/Q28*R28-100,1)&gt;999,999,-999)))</f>
        <v>2.5</v>
      </c>
      <c r="T28" s="104">
        <v>2378.3299435700001</v>
      </c>
      <c r="U28" s="622">
        <v>2563.9208323199996</v>
      </c>
      <c r="V28" s="444">
        <f t="shared" si="1"/>
        <v>7.8</v>
      </c>
      <c r="W28" s="104">
        <v>25.6</v>
      </c>
      <c r="X28" s="622">
        <v>28</v>
      </c>
      <c r="Y28" s="444">
        <f t="shared" si="14"/>
        <v>9.4</v>
      </c>
      <c r="Z28" s="106">
        <v>791</v>
      </c>
      <c r="AA28" s="443">
        <v>913</v>
      </c>
      <c r="AB28" s="444">
        <f t="shared" si="17"/>
        <v>15.4</v>
      </c>
      <c r="AC28" s="104">
        <f>79+560+32+17</f>
        <v>688</v>
      </c>
      <c r="AD28" s="622">
        <v>1887</v>
      </c>
      <c r="AE28" s="444">
        <f t="shared" si="5"/>
        <v>174.3</v>
      </c>
      <c r="AF28" s="104">
        <v>67.146963799999995</v>
      </c>
      <c r="AG28" s="622">
        <v>80.537290569999698</v>
      </c>
      <c r="AH28" s="444">
        <f>IF(AF28=0, "    ---- ", IF(ABS(ROUND(100/AF28*AG28-100,1))&lt;999,ROUND(100/AF28*AG28-100,1),IF(ROUND(100/AF28*AG28-100,1)&gt;999,999,-999)))</f>
        <v>19.899999999999999</v>
      </c>
      <c r="AI28" s="104">
        <v>498.52800000000002</v>
      </c>
      <c r="AJ28" s="622">
        <v>581.26400000000001</v>
      </c>
      <c r="AK28" s="444">
        <f t="shared" si="6"/>
        <v>16.600000000000001</v>
      </c>
      <c r="AL28" s="104">
        <f>338+2476+2705+47+1</f>
        <v>5567</v>
      </c>
      <c r="AM28" s="622">
        <f>351+9097+3443+54-1</f>
        <v>12944</v>
      </c>
      <c r="AN28" s="444">
        <f t="shared" si="7"/>
        <v>132.5</v>
      </c>
      <c r="AO28" s="445">
        <f t="shared" si="8"/>
        <v>12013.783943570001</v>
      </c>
      <c r="AP28" s="445">
        <f t="shared" si="8"/>
        <v>23050.379766140002</v>
      </c>
      <c r="AQ28" s="444">
        <f t="shared" si="2"/>
        <v>91.9</v>
      </c>
      <c r="AR28" s="445">
        <f t="shared" si="9"/>
        <v>12226.859939130001</v>
      </c>
      <c r="AS28" s="445">
        <f t="shared" si="9"/>
        <v>23280.50252143</v>
      </c>
      <c r="AT28" s="444">
        <f t="shared" si="3"/>
        <v>90.4</v>
      </c>
      <c r="AU28" s="495"/>
      <c r="AV28" s="495"/>
    </row>
    <row r="29" spans="1:49" s="496" customFormat="1" ht="20.100000000000001" customHeight="1" x14ac:dyDescent="0.3">
      <c r="A29" s="461" t="s">
        <v>208</v>
      </c>
      <c r="B29" s="196">
        <f>SUM(B27+B28)</f>
        <v>492.62099999999998</v>
      </c>
      <c r="C29" s="447">
        <f>SUM(C27+C28)</f>
        <v>969.94</v>
      </c>
      <c r="D29" s="444">
        <f>IF(B29=0, "    ---- ", IF(ABS(ROUND(100/B29*C29-100,1))&lt;999,ROUND(100/B29*C29-100,1),IF(ROUND(100/B29*C29-100,1)&gt;999,999,-999)))</f>
        <v>96.9</v>
      </c>
      <c r="E29" s="196">
        <f>SUM(E27+E28)</f>
        <v>31747.63</v>
      </c>
      <c r="F29" s="447">
        <f>SUM(F27+F28)</f>
        <v>32957.252</v>
      </c>
      <c r="G29" s="444">
        <f>IF(E29=0, "    ---- ", IF(ABS(ROUND(100/E29*F29-100,1))&lt;999,ROUND(100/E29*F29-100,1),IF(ROUND(100/E29*F29-100,1)&gt;999,999,-999)))</f>
        <v>3.8</v>
      </c>
      <c r="H29" s="447"/>
      <c r="I29" s="447">
        <v>3084.2544247900005</v>
      </c>
      <c r="J29" s="444" t="str">
        <f>IF(H29=0, "    ---- ", IF(ABS(ROUND(100/H29*I29-100,1))&lt;999,ROUND(100/H29*I29-100,1),IF(ROUND(100/H29*I29-100,1)&gt;999,999,-999)))</f>
        <v xml:space="preserve">    ---- </v>
      </c>
      <c r="K29" s="196">
        <f>SUM(K27+K28)</f>
        <v>722.31700000000001</v>
      </c>
      <c r="L29" s="447">
        <f>SUM(L27+L28)</f>
        <v>939.77</v>
      </c>
      <c r="M29" s="444">
        <f>IF(K29=0, "    ---- ", IF(ABS(ROUND(100/K29*L29-100,1))&lt;999,ROUND(100/K29*L29-100,1),IF(ROUND(100/K29*L29-100,1)&gt;999,999,-999)))</f>
        <v>30.1</v>
      </c>
      <c r="N29" s="196">
        <f>SUM(N27+N28)</f>
        <v>1362.6</v>
      </c>
      <c r="O29" s="447">
        <f>SUM(O27+O28)</f>
        <v>1415.1</v>
      </c>
      <c r="P29" s="444">
        <f>IF(N29=0, "    ---- ", IF(ABS(ROUND(100/N29*O29-100,1))&lt;999,ROUND(100/N29*O29-100,1),IF(ROUND(100/N29*O29-100,1)&gt;999,999,-999)))</f>
        <v>3.9</v>
      </c>
      <c r="Q29" s="196">
        <f>SUM(Q27+Q28)</f>
        <v>145.92903175999999</v>
      </c>
      <c r="R29" s="447">
        <f>SUM(R27+R28)</f>
        <v>149.58546472</v>
      </c>
      <c r="S29" s="444">
        <f>IF(Q29=0, "    ---- ", IF(ABS(ROUND(100/Q29*R29-100,1))&lt;999,ROUND(100/Q29*R29-100,1),IF(ROUND(100/Q29*R29-100,1)&gt;999,999,-999)))</f>
        <v>2.5</v>
      </c>
      <c r="T29" s="196">
        <f>SUM(T27+T28)</f>
        <v>41465.761490930003</v>
      </c>
      <c r="U29" s="447">
        <v>46069.590242940001</v>
      </c>
      <c r="V29" s="444">
        <f>IF(T29=0, "    ---- ", IF(ABS(ROUND(100/T29*U29-100,1))&lt;999,ROUND(100/T29*U29-100,1),IF(ROUND(100/T29*U29-100,1)&gt;999,999,-999)))</f>
        <v>11.1</v>
      </c>
      <c r="W29" s="196">
        <f>SUM(W27+W28)</f>
        <v>524.5</v>
      </c>
      <c r="X29" s="447">
        <f>SUM(X27+X28)</f>
        <v>612.1</v>
      </c>
      <c r="Y29" s="444">
        <f>IF(W29=0, "    ---- ", IF(ABS(ROUND(100/W29*X29-100,1))&lt;999,ROUND(100/W29*X29-100,1),IF(ROUND(100/W29*X29-100,1)&gt;999,999,-999)))</f>
        <v>16.7</v>
      </c>
      <c r="Z29" s="672">
        <f>SUM(Z27+Z28)</f>
        <v>10931.1</v>
      </c>
      <c r="AA29" s="444">
        <f>SUM(AA27+AA28)</f>
        <v>11653.030542340115</v>
      </c>
      <c r="AB29" s="444">
        <f>IF(Z29=0, "    ---- ", IF(ABS(ROUND(100/Z29*AA29-100,1))&lt;999,ROUND(100/Z29*AA29-100,1),IF(ROUND(100/Z29*AA29-100,1)&gt;999,999,-999)))</f>
        <v>6.6</v>
      </c>
      <c r="AC29" s="196">
        <f>SUM(AC27+AC28)</f>
        <v>10107</v>
      </c>
      <c r="AD29" s="447">
        <f>SUM(AD27+AD28)</f>
        <v>10989</v>
      </c>
      <c r="AE29" s="444">
        <f>IF(AC29=0, "    ---- ", IF(ABS(ROUND(100/AC29*AD29-100,1))&lt;999,ROUND(100/AC29*AD29-100,1),IF(ROUND(100/AC29*AD29-100,1)&gt;999,999,-999)))</f>
        <v>8.6999999999999993</v>
      </c>
      <c r="AF29" s="196">
        <f>SUM(AF27+AF28)</f>
        <v>67.146963799999995</v>
      </c>
      <c r="AG29" s="447">
        <f>SUM(AG27+AG28)</f>
        <v>80.537290569999698</v>
      </c>
      <c r="AH29" s="444">
        <f>IF(AF29=0, "    ---- ", IF(ABS(ROUND(100/AF29*AG29-100,1))&lt;999,ROUND(100/AF29*AG29-100,1),IF(ROUND(100/AF29*AG29-100,1)&gt;999,999,-999)))</f>
        <v>19.899999999999999</v>
      </c>
      <c r="AI29" s="196">
        <f>SUM(AI27+AI28)</f>
        <v>7076.68</v>
      </c>
      <c r="AJ29" s="447">
        <f>SUM(AJ27+AJ28)</f>
        <v>6761.55</v>
      </c>
      <c r="AK29" s="444">
        <f>IF(AI29=0, "    ---- ", IF(ABS(ROUND(100/AI29*AJ29-100,1))&lt;999,ROUND(100/AI29*AJ29-100,1),IF(ROUND(100/AI29*AJ29-100,1)&gt;999,999,-999)))</f>
        <v>-4.5</v>
      </c>
      <c r="AL29" s="196">
        <f>SUM(AL27+AL28)</f>
        <v>39212</v>
      </c>
      <c r="AM29" s="447">
        <f>SUM(AM27+AM28)</f>
        <v>46542</v>
      </c>
      <c r="AN29" s="444">
        <f>IF(AL29=0, "    ---- ", IF(ABS(ROUND(100/AL29*AM29-100,1))&lt;999,ROUND(100/AL29*AM29-100,1),IF(ROUND(100/AL29*AM29-100,1)&gt;999,999,-999)))</f>
        <v>18.7</v>
      </c>
      <c r="AO29" s="445">
        <f t="shared" si="8"/>
        <v>143642.20949092999</v>
      </c>
      <c r="AP29" s="445">
        <f t="shared" si="8"/>
        <v>161993.58721007011</v>
      </c>
      <c r="AQ29" s="444">
        <f>IF(AO29=0, "    ---- ", IF(ABS(ROUND(100/AO29*AP29-100,1))&lt;999,ROUND(100/AO29*AP29-100,1),IF(ROUND(100/AO29*AP29-100,1)&gt;999,999,-999)))</f>
        <v>12.8</v>
      </c>
      <c r="AR29" s="445">
        <f t="shared" si="9"/>
        <v>143855.28548649</v>
      </c>
      <c r="AS29" s="445">
        <f t="shared" si="9"/>
        <v>162223.70996536012</v>
      </c>
      <c r="AT29" s="446">
        <f t="shared" si="3"/>
        <v>12.8</v>
      </c>
      <c r="AU29" s="495"/>
      <c r="AV29" s="495"/>
      <c r="AW29" s="497"/>
    </row>
    <row r="30" spans="1:49" s="467" customFormat="1" ht="20.100000000000001" customHeight="1" x14ac:dyDescent="0.3">
      <c r="A30" s="461"/>
      <c r="B30" s="617"/>
      <c r="C30" s="437"/>
      <c r="D30" s="447"/>
      <c r="E30" s="617"/>
      <c r="F30" s="437"/>
      <c r="G30" s="447"/>
      <c r="H30" s="437"/>
      <c r="I30" s="437"/>
      <c r="J30" s="447"/>
      <c r="K30" s="617"/>
      <c r="L30" s="437"/>
      <c r="M30" s="447"/>
      <c r="N30" s="196"/>
      <c r="O30" s="447"/>
      <c r="P30" s="437"/>
      <c r="Q30" s="617"/>
      <c r="R30" s="437"/>
      <c r="S30" s="338"/>
      <c r="T30" s="617"/>
      <c r="U30" s="437"/>
      <c r="V30" s="338"/>
      <c r="W30" s="617"/>
      <c r="X30" s="437"/>
      <c r="Y30" s="338"/>
      <c r="Z30" s="106"/>
      <c r="AA30" s="443"/>
      <c r="AB30" s="338"/>
      <c r="AC30" s="617"/>
      <c r="AD30" s="437"/>
      <c r="AE30" s="338"/>
      <c r="AF30" s="617"/>
      <c r="AG30" s="437"/>
      <c r="AH30" s="338"/>
      <c r="AI30" s="617"/>
      <c r="AJ30" s="437"/>
      <c r="AK30" s="338"/>
      <c r="AL30" s="617"/>
      <c r="AM30" s="437"/>
      <c r="AN30" s="338"/>
      <c r="AO30" s="439"/>
      <c r="AP30" s="439"/>
      <c r="AQ30" s="338"/>
      <c r="AR30" s="439"/>
      <c r="AS30" s="439"/>
      <c r="AT30" s="448"/>
      <c r="AU30" s="494"/>
      <c r="AV30" s="494"/>
    </row>
    <row r="31" spans="1:49" s="467" customFormat="1" ht="20.100000000000001" customHeight="1" x14ac:dyDescent="0.3">
      <c r="A31" s="459" t="s">
        <v>209</v>
      </c>
      <c r="B31" s="196"/>
      <c r="C31" s="447"/>
      <c r="D31" s="447"/>
      <c r="E31" s="196"/>
      <c r="F31" s="447"/>
      <c r="G31" s="447"/>
      <c r="H31" s="447"/>
      <c r="I31" s="447"/>
      <c r="J31" s="447"/>
      <c r="K31" s="196"/>
      <c r="L31" s="447"/>
      <c r="M31" s="447"/>
      <c r="N31" s="196"/>
      <c r="O31" s="447"/>
      <c r="P31" s="437"/>
      <c r="Q31" s="196"/>
      <c r="R31" s="447"/>
      <c r="S31" s="338"/>
      <c r="T31" s="196"/>
      <c r="U31" s="447"/>
      <c r="V31" s="338"/>
      <c r="W31" s="196"/>
      <c r="X31" s="447"/>
      <c r="Y31" s="338"/>
      <c r="Z31" s="672"/>
      <c r="AA31" s="444"/>
      <c r="AB31" s="338"/>
      <c r="AC31" s="196"/>
      <c r="AD31" s="447"/>
      <c r="AE31" s="338"/>
      <c r="AF31" s="196"/>
      <c r="AG31" s="447"/>
      <c r="AH31" s="338"/>
      <c r="AI31" s="196"/>
      <c r="AJ31" s="447"/>
      <c r="AK31" s="338"/>
      <c r="AL31" s="196"/>
      <c r="AM31" s="447"/>
      <c r="AN31" s="338"/>
      <c r="AO31" s="439"/>
      <c r="AP31" s="439"/>
      <c r="AQ31" s="338"/>
      <c r="AR31" s="439"/>
      <c r="AS31" s="439"/>
      <c r="AT31" s="448"/>
      <c r="AU31" s="494"/>
      <c r="AV31" s="494"/>
    </row>
    <row r="32" spans="1:49" s="467" customFormat="1" ht="20.100000000000001" customHeight="1" x14ac:dyDescent="0.3">
      <c r="A32" s="459" t="s">
        <v>210</v>
      </c>
      <c r="B32" s="196"/>
      <c r="C32" s="447"/>
      <c r="D32" s="338"/>
      <c r="E32" s="196"/>
      <c r="F32" s="447"/>
      <c r="G32" s="338"/>
      <c r="H32" s="447"/>
      <c r="I32" s="447"/>
      <c r="J32" s="338"/>
      <c r="K32" s="196"/>
      <c r="L32" s="447"/>
      <c r="M32" s="338"/>
      <c r="N32" s="196"/>
      <c r="O32" s="447"/>
      <c r="P32" s="437"/>
      <c r="Q32" s="196"/>
      <c r="R32" s="447"/>
      <c r="S32" s="338"/>
      <c r="T32" s="196"/>
      <c r="U32" s="447"/>
      <c r="V32" s="338"/>
      <c r="W32" s="196"/>
      <c r="X32" s="447"/>
      <c r="Y32" s="338"/>
      <c r="Z32" s="672"/>
      <c r="AA32" s="444"/>
      <c r="AB32" s="338"/>
      <c r="AC32" s="196"/>
      <c r="AD32" s="447"/>
      <c r="AE32" s="338"/>
      <c r="AF32" s="196"/>
      <c r="AG32" s="447"/>
      <c r="AH32" s="338"/>
      <c r="AI32" s="196"/>
      <c r="AJ32" s="447"/>
      <c r="AK32" s="338"/>
      <c r="AL32" s="196"/>
      <c r="AM32" s="447"/>
      <c r="AN32" s="338"/>
      <c r="AO32" s="439"/>
      <c r="AP32" s="439"/>
      <c r="AQ32" s="338"/>
      <c r="AR32" s="439"/>
      <c r="AS32" s="439"/>
      <c r="AT32" s="448"/>
      <c r="AU32" s="494"/>
      <c r="AV32" s="494"/>
    </row>
    <row r="33" spans="1:49" s="467" customFormat="1" ht="20.100000000000001" customHeight="1" x14ac:dyDescent="0.3">
      <c r="A33" s="461" t="s">
        <v>211</v>
      </c>
      <c r="B33" s="196"/>
      <c r="C33" s="447"/>
      <c r="D33" s="447"/>
      <c r="E33" s="196">
        <v>33.442</v>
      </c>
      <c r="F33" s="447">
        <v>26.204000000000001</v>
      </c>
      <c r="G33" s="447">
        <f t="shared" ref="G33:G91" si="20">IF(E33=0, "    ---- ", IF(ABS(ROUND(100/E33*F33-100,1))&lt;999,ROUND(100/E33*F33-100,1),IF(ROUND(100/E33*F33-100,1)&gt;999,999,-999)))</f>
        <v>-21.6</v>
      </c>
      <c r="H33" s="447"/>
      <c r="I33" s="447"/>
      <c r="J33" s="447"/>
      <c r="K33" s="196"/>
      <c r="L33" s="447"/>
      <c r="M33" s="447"/>
      <c r="N33" s="196"/>
      <c r="O33" s="447"/>
      <c r="P33" s="437"/>
      <c r="Q33" s="196"/>
      <c r="R33" s="447"/>
      <c r="S33" s="338"/>
      <c r="T33" s="196"/>
      <c r="U33" s="447"/>
      <c r="V33" s="338"/>
      <c r="W33" s="196"/>
      <c r="X33" s="447"/>
      <c r="Y33" s="338"/>
      <c r="Z33" s="672"/>
      <c r="AA33" s="444"/>
      <c r="AB33" s="338"/>
      <c r="AC33" s="196"/>
      <c r="AD33" s="447"/>
      <c r="AE33" s="338"/>
      <c r="AF33" s="196"/>
      <c r="AG33" s="447"/>
      <c r="AH33" s="338"/>
      <c r="AI33" s="196"/>
      <c r="AJ33" s="447"/>
      <c r="AK33" s="338"/>
      <c r="AL33" s="196"/>
      <c r="AM33" s="447"/>
      <c r="AN33" s="338"/>
      <c r="AO33" s="445">
        <f t="shared" ref="AO33:AP46" si="21">B33+E33+H33+K33+N33+T33+W33+Z33+AC33+AI33+AL33</f>
        <v>33.442</v>
      </c>
      <c r="AP33" s="445">
        <f t="shared" si="21"/>
        <v>26.204000000000001</v>
      </c>
      <c r="AQ33" s="338">
        <f t="shared" ref="AQ33:AQ91" si="22">IF(AO33=0, "    ---- ", IF(ABS(ROUND(100/AO33*AP33-100,1))&lt;999,ROUND(100/AO33*AP33-100,1),IF(ROUND(100/AO33*AP33-100,1)&gt;999,999,-999)))</f>
        <v>-21.6</v>
      </c>
      <c r="AR33" s="445">
        <f t="shared" ref="AR33:AS46" si="23">B33+E33+H33+K33+N33+Q33+T33+W33+Z33+AC33+AF33+AI33+AL33</f>
        <v>33.442</v>
      </c>
      <c r="AS33" s="445">
        <f t="shared" si="23"/>
        <v>26.204000000000001</v>
      </c>
      <c r="AT33" s="448">
        <f t="shared" ref="AT33:AT91" si="24">IF(AR33=0, "    ---- ", IF(ABS(ROUND(100/AR33*AS33-100,1))&lt;999,ROUND(100/AR33*AS33-100,1),IF(ROUND(100/AR33*AS33-100,1)&gt;999,999,-999)))</f>
        <v>-21.6</v>
      </c>
      <c r="AU33" s="494"/>
      <c r="AV33" s="494"/>
      <c r="AW33" s="498"/>
    </row>
    <row r="34" spans="1:49" s="467" customFormat="1" ht="20.100000000000001" customHeight="1" x14ac:dyDescent="0.3">
      <c r="A34" s="461" t="s">
        <v>212</v>
      </c>
      <c r="B34" s="196"/>
      <c r="C34" s="447"/>
      <c r="D34" s="447"/>
      <c r="E34" s="196">
        <v>21645.466</v>
      </c>
      <c r="F34" s="447">
        <v>27996.891</v>
      </c>
      <c r="G34" s="447">
        <f t="shared" si="20"/>
        <v>29.3</v>
      </c>
      <c r="H34" s="447"/>
      <c r="I34" s="447"/>
      <c r="J34" s="447"/>
      <c r="K34" s="196"/>
      <c r="L34" s="447"/>
      <c r="M34" s="447"/>
      <c r="N34" s="196">
        <v>920.6</v>
      </c>
      <c r="O34" s="447">
        <v>982.5</v>
      </c>
      <c r="P34" s="437">
        <f>IF(N34=0, "    ---- ", IF(ABS(ROUND(100/N34*O34-100,1))&lt;999,ROUND(100/N34*O34-100,1),IF(ROUND(100/N34*O34-100,1)&gt;999,999,-999)))</f>
        <v>6.7</v>
      </c>
      <c r="Q34" s="196"/>
      <c r="R34" s="447"/>
      <c r="S34" s="338"/>
      <c r="T34" s="196">
        <v>62695.63663922</v>
      </c>
      <c r="U34" s="447">
        <v>74978.618349700002</v>
      </c>
      <c r="V34" s="338">
        <f>IF(T34=0, "    ---- ", IF(ABS(ROUND(100/T34*U34-100,1))&lt;999,ROUND(100/T34*U34-100,1),IF(ROUND(100/T34*U34-100,1)&gt;999,999,-999)))</f>
        <v>19.600000000000001</v>
      </c>
      <c r="W34" s="196">
        <v>204.8</v>
      </c>
      <c r="X34" s="447">
        <v>205.2</v>
      </c>
      <c r="Y34" s="338">
        <f>IF(W34=0, "    ---- ", IF(ABS(ROUND(100/W34*X34-100,1))&lt;999,ROUND(100/W34*X34-100,1),IF(ROUND(100/W34*X34-100,1)&gt;999,999,-999)))</f>
        <v>0.2</v>
      </c>
      <c r="Z34" s="672">
        <v>7149.0107743200006</v>
      </c>
      <c r="AA34" s="444">
        <v>7443.57485817</v>
      </c>
      <c r="AB34" s="338">
        <f t="shared" ref="AB34:AB91" si="25">IF(Z34=0, "    ---- ", IF(ABS(ROUND(100/Z34*AA34-100,1))&lt;999,ROUND(100/Z34*AA34-100,1),IF(ROUND(100/Z34*AA34-100,1)&gt;999,999,-999)))</f>
        <v>4.0999999999999996</v>
      </c>
      <c r="AC34" s="196">
        <v>14201</v>
      </c>
      <c r="AD34" s="447">
        <f>9740+5785</f>
        <v>15525</v>
      </c>
      <c r="AE34" s="338">
        <f t="shared" ref="AE34:AE42" si="26">IF(AC34=0, "    ---- ", IF(ABS(ROUND(100/AC34*AD34-100,1))&lt;999,ROUND(100/AC34*AD34-100,1),IF(ROUND(100/AC34*AD34-100,1)&gt;999,999,-999)))</f>
        <v>9.3000000000000007</v>
      </c>
      <c r="AF34" s="196"/>
      <c r="AG34" s="447"/>
      <c r="AH34" s="338"/>
      <c r="AI34" s="196">
        <v>3897.0790000000002</v>
      </c>
      <c r="AJ34" s="447">
        <v>4798.1850000000004</v>
      </c>
      <c r="AK34" s="338">
        <f t="shared" ref="AK34:AK91" si="27">IF(AI34=0, "    ---- ", IF(ABS(ROUND(100/AI34*AJ34-100,1))&lt;999,ROUND(100/AI34*AJ34-100,1),IF(ROUND(100/AI34*AJ34-100,1)&gt;999,999,-999)))</f>
        <v>23.1</v>
      </c>
      <c r="AL34" s="196">
        <v>27119</v>
      </c>
      <c r="AM34" s="447">
        <v>29032</v>
      </c>
      <c r="AN34" s="338">
        <f t="shared" ref="AN34:AN91" si="28">IF(AL34=0, "    ---- ", IF(ABS(ROUND(100/AL34*AM34-100,1))&lt;999,ROUND(100/AL34*AM34-100,1),IF(ROUND(100/AL34*AM34-100,1)&gt;999,999,-999)))</f>
        <v>7.1</v>
      </c>
      <c r="AO34" s="445">
        <f t="shared" si="21"/>
        <v>137832.59241354</v>
      </c>
      <c r="AP34" s="445">
        <f t="shared" si="21"/>
        <v>160961.96920787002</v>
      </c>
      <c r="AQ34" s="338">
        <f t="shared" si="22"/>
        <v>16.8</v>
      </c>
      <c r="AR34" s="445">
        <f t="shared" si="23"/>
        <v>137832.59241354</v>
      </c>
      <c r="AS34" s="445">
        <f t="shared" si="23"/>
        <v>160961.96920787002</v>
      </c>
      <c r="AT34" s="448">
        <f t="shared" si="24"/>
        <v>16.8</v>
      </c>
      <c r="AU34" s="494"/>
      <c r="AV34" s="494"/>
      <c r="AW34" s="498"/>
    </row>
    <row r="35" spans="1:49" s="467" customFormat="1" ht="20.100000000000001" customHeight="1" x14ac:dyDescent="0.3">
      <c r="A35" s="461" t="s">
        <v>213</v>
      </c>
      <c r="B35" s="196"/>
      <c r="C35" s="447"/>
      <c r="D35" s="447"/>
      <c r="E35" s="196">
        <f>SUM(E36+E38)</f>
        <v>106987.96100000001</v>
      </c>
      <c r="F35" s="447">
        <f>SUM(F36+F38)</f>
        <v>99822.248999999996</v>
      </c>
      <c r="G35" s="447">
        <f t="shared" si="20"/>
        <v>-6.7</v>
      </c>
      <c r="H35" s="447"/>
      <c r="I35" s="447"/>
      <c r="J35" s="447"/>
      <c r="K35" s="196">
        <f>SUM(K36+K38)</f>
        <v>218.50200000000001</v>
      </c>
      <c r="L35" s="447">
        <f>SUM(L36+L38)</f>
        <v>213.87799999999999</v>
      </c>
      <c r="M35" s="444">
        <f t="shared" ref="M35:M36" si="29">IF(K35=0, "    ---- ", IF(ABS(ROUND(100/K35*L35-100,1))&lt;999,ROUND(100/K35*L35-100,1),IF(ROUND(100/K35*L35-100,1)&gt;999,999,-999)))</f>
        <v>-2.1</v>
      </c>
      <c r="N35" s="196">
        <f>SUM(N36+N38)</f>
        <v>4841.8999999999996</v>
      </c>
      <c r="O35" s="447">
        <f>SUM(O36+O38)</f>
        <v>5173</v>
      </c>
      <c r="P35" s="437">
        <f>IF(N35=0, "    ---- ", IF(ABS(ROUND(100/N35*O35-100,1))&lt;999,ROUND(100/N35*O35-100,1),IF(ROUND(100/N35*O35-100,1)&gt;999,999,-999)))</f>
        <v>6.8</v>
      </c>
      <c r="Q35" s="196"/>
      <c r="R35" s="447"/>
      <c r="S35" s="338"/>
      <c r="T35" s="196">
        <f>SUM(T36+T38)</f>
        <v>215757.00591527999</v>
      </c>
      <c r="U35" s="447">
        <v>246488.24231474998</v>
      </c>
      <c r="V35" s="338">
        <f>IF(T35=0, "    ---- ", IF(ABS(ROUND(100/T35*U35-100,1))&lt;999,ROUND(100/T35*U35-100,1),IF(ROUND(100/T35*U35-100,1)&gt;999,999,-999)))</f>
        <v>14.2</v>
      </c>
      <c r="W35" s="196">
        <f>SUM(W36+W38)</f>
        <v>1416.7</v>
      </c>
      <c r="X35" s="447">
        <f>SUM(X36+X38)</f>
        <v>1452.6</v>
      </c>
      <c r="Y35" s="338">
        <f>IF(W35=0, "    ---- ", IF(ABS(ROUND(100/W35*X35-100,1))&lt;999,ROUND(100/W35*X35-100,1),IF(ROUND(100/W35*X35-100,1)&gt;999,999,-999)))</f>
        <v>2.5</v>
      </c>
      <c r="Z35" s="672">
        <f>SUM(Z36+Z38)</f>
        <v>31580.441784319901</v>
      </c>
      <c r="AA35" s="444">
        <f>SUM(AA36+AA38)</f>
        <v>31694.931311549899</v>
      </c>
      <c r="AB35" s="338">
        <f t="shared" si="25"/>
        <v>0.4</v>
      </c>
      <c r="AC35" s="196">
        <f>SUM(AC36+AC38)</f>
        <v>22986</v>
      </c>
      <c r="AD35" s="447">
        <f>SUM(AD36+AD38)</f>
        <v>20515</v>
      </c>
      <c r="AE35" s="338">
        <f t="shared" si="26"/>
        <v>-10.8</v>
      </c>
      <c r="AF35" s="196"/>
      <c r="AG35" s="447"/>
      <c r="AH35" s="338"/>
      <c r="AI35" s="196">
        <f>SUM(AI36+AI38)</f>
        <v>8593.3160000000007</v>
      </c>
      <c r="AJ35" s="447">
        <f>SUM(AJ36+AJ38)</f>
        <v>7894.0820000000003</v>
      </c>
      <c r="AK35" s="338">
        <f t="shared" si="27"/>
        <v>-8.1</v>
      </c>
      <c r="AL35" s="196">
        <f>SUM(AL36+AL38)</f>
        <v>130441</v>
      </c>
      <c r="AM35" s="447">
        <f>SUM(AM36+AM38)</f>
        <v>133895</v>
      </c>
      <c r="AN35" s="338">
        <f t="shared" si="28"/>
        <v>2.6</v>
      </c>
      <c r="AO35" s="445">
        <f t="shared" si="21"/>
        <v>522822.82669959986</v>
      </c>
      <c r="AP35" s="445">
        <f t="shared" si="21"/>
        <v>547148.98262629984</v>
      </c>
      <c r="AQ35" s="338">
        <f t="shared" si="22"/>
        <v>4.7</v>
      </c>
      <c r="AR35" s="445">
        <f t="shared" si="23"/>
        <v>522822.82669959986</v>
      </c>
      <c r="AS35" s="445">
        <f t="shared" si="23"/>
        <v>547148.98262629984</v>
      </c>
      <c r="AT35" s="448">
        <f t="shared" si="24"/>
        <v>4.7</v>
      </c>
      <c r="AU35" s="494"/>
      <c r="AV35" s="494"/>
      <c r="AW35" s="498"/>
    </row>
    <row r="36" spans="1:49" s="467" customFormat="1" ht="20.100000000000001" customHeight="1" x14ac:dyDescent="0.3">
      <c r="A36" s="461" t="s">
        <v>214</v>
      </c>
      <c r="B36" s="196"/>
      <c r="C36" s="447"/>
      <c r="D36" s="338"/>
      <c r="E36" s="196">
        <v>74339.884000000005</v>
      </c>
      <c r="F36" s="447">
        <v>71417.97</v>
      </c>
      <c r="G36" s="338">
        <f t="shared" si="20"/>
        <v>-3.9</v>
      </c>
      <c r="H36" s="447"/>
      <c r="I36" s="447"/>
      <c r="J36" s="338"/>
      <c r="K36" s="196">
        <v>218.50200000000001</v>
      </c>
      <c r="L36" s="447">
        <v>213.87799999999999</v>
      </c>
      <c r="M36" s="444">
        <f t="shared" si="29"/>
        <v>-2.1</v>
      </c>
      <c r="N36" s="196"/>
      <c r="O36" s="447"/>
      <c r="P36" s="437"/>
      <c r="Q36" s="196"/>
      <c r="R36" s="447"/>
      <c r="S36" s="338"/>
      <c r="T36" s="196">
        <v>22789.722324709997</v>
      </c>
      <c r="U36" s="447">
        <v>25280.873593230001</v>
      </c>
      <c r="V36" s="338">
        <f>IF(T36=0, "    ---- ", IF(ABS(ROUND(100/T36*U36-100,1))&lt;999,ROUND(100/T36*U36-100,1),IF(ROUND(100/T36*U36-100,1)&gt;999,999,-999)))</f>
        <v>10.9</v>
      </c>
      <c r="W36" s="196">
        <v>115.5</v>
      </c>
      <c r="X36" s="447">
        <v>94.1</v>
      </c>
      <c r="Y36" s="338">
        <f>IF(W36=0, "    ---- ", IF(ABS(ROUND(100/W36*X36-100,1))&lt;999,ROUND(100/W36*X36-100,1),IF(ROUND(100/W36*X36-100,1)&gt;999,999,-999)))</f>
        <v>-18.5</v>
      </c>
      <c r="Z36" s="672">
        <v>795.96711547000007</v>
      </c>
      <c r="AA36" s="444">
        <v>517.27915186000007</v>
      </c>
      <c r="AB36" s="338">
        <f t="shared" si="25"/>
        <v>-35</v>
      </c>
      <c r="AC36" s="196">
        <v>786</v>
      </c>
      <c r="AD36" s="447">
        <v>0</v>
      </c>
      <c r="AE36" s="338">
        <f t="shared" si="26"/>
        <v>-100</v>
      </c>
      <c r="AF36" s="196"/>
      <c r="AG36" s="447"/>
      <c r="AH36" s="338"/>
      <c r="AI36" s="196">
        <v>1113.645</v>
      </c>
      <c r="AJ36" s="447">
        <v>592.23699999999997</v>
      </c>
      <c r="AK36" s="338">
        <f t="shared" si="27"/>
        <v>-46.8</v>
      </c>
      <c r="AL36" s="196">
        <v>14433</v>
      </c>
      <c r="AM36" s="447">
        <v>13396</v>
      </c>
      <c r="AN36" s="338">
        <f t="shared" si="28"/>
        <v>-7.2</v>
      </c>
      <c r="AO36" s="445">
        <f t="shared" si="21"/>
        <v>114592.22044018</v>
      </c>
      <c r="AP36" s="445">
        <f t="shared" si="21"/>
        <v>111512.33774509</v>
      </c>
      <c r="AQ36" s="338">
        <f t="shared" si="22"/>
        <v>-2.7</v>
      </c>
      <c r="AR36" s="445">
        <f t="shared" si="23"/>
        <v>114592.22044018</v>
      </c>
      <c r="AS36" s="445">
        <f t="shared" si="23"/>
        <v>111512.33774509</v>
      </c>
      <c r="AT36" s="448">
        <f t="shared" si="24"/>
        <v>-2.7</v>
      </c>
      <c r="AU36" s="494"/>
      <c r="AV36" s="494"/>
      <c r="AW36" s="498"/>
    </row>
    <row r="37" spans="1:49" s="467" customFormat="1" ht="20.100000000000001" customHeight="1" x14ac:dyDescent="0.3">
      <c r="A37" s="461" t="s">
        <v>197</v>
      </c>
      <c r="B37" s="196"/>
      <c r="C37" s="447"/>
      <c r="D37" s="447"/>
      <c r="E37" s="196">
        <v>74339.884000000005</v>
      </c>
      <c r="F37" s="447">
        <v>71417.97</v>
      </c>
      <c r="G37" s="447">
        <f t="shared" si="20"/>
        <v>-3.9</v>
      </c>
      <c r="H37" s="447"/>
      <c r="I37" s="447"/>
      <c r="J37" s="447"/>
      <c r="K37" s="196"/>
      <c r="L37" s="447"/>
      <c r="M37" s="447"/>
      <c r="N37" s="196"/>
      <c r="O37" s="447"/>
      <c r="P37" s="437"/>
      <c r="Q37" s="196"/>
      <c r="R37" s="447"/>
      <c r="S37" s="338"/>
      <c r="T37" s="196">
        <v>22789.722324709997</v>
      </c>
      <c r="U37" s="447">
        <v>25280.873593230001</v>
      </c>
      <c r="V37" s="338">
        <f>IF(T37=0, "    ---- ", IF(ABS(ROUND(100/T37*U37-100,1))&lt;999,ROUND(100/T37*U37-100,1),IF(ROUND(100/T37*U37-100,1)&gt;999,999,-999)))</f>
        <v>10.9</v>
      </c>
      <c r="W37" s="196"/>
      <c r="X37" s="447"/>
      <c r="Y37" s="338"/>
      <c r="Z37" s="672">
        <v>795.96711547000007</v>
      </c>
      <c r="AA37" s="444">
        <v>517.27915186000007</v>
      </c>
      <c r="AB37" s="338">
        <f t="shared" si="25"/>
        <v>-35</v>
      </c>
      <c r="AC37" s="196"/>
      <c r="AD37" s="447"/>
      <c r="AE37" s="338"/>
      <c r="AF37" s="196"/>
      <c r="AG37" s="447"/>
      <c r="AH37" s="338"/>
      <c r="AI37" s="196">
        <v>180.97219614999895</v>
      </c>
      <c r="AJ37" s="447">
        <v>34.499999999999318</v>
      </c>
      <c r="AK37" s="338">
        <f t="shared" si="27"/>
        <v>-80.900000000000006</v>
      </c>
      <c r="AL37" s="196">
        <v>14433</v>
      </c>
      <c r="AM37" s="447">
        <v>13396</v>
      </c>
      <c r="AN37" s="338">
        <f t="shared" si="28"/>
        <v>-7.2</v>
      </c>
      <c r="AO37" s="445">
        <f t="shared" si="21"/>
        <v>112539.54563633002</v>
      </c>
      <c r="AP37" s="445">
        <f t="shared" si="21"/>
        <v>110646.62274509</v>
      </c>
      <c r="AQ37" s="338">
        <f t="shared" si="22"/>
        <v>-1.7</v>
      </c>
      <c r="AR37" s="445">
        <f t="shared" si="23"/>
        <v>112539.54563633002</v>
      </c>
      <c r="AS37" s="445">
        <f t="shared" si="23"/>
        <v>110646.62274509</v>
      </c>
      <c r="AT37" s="448">
        <f t="shared" si="24"/>
        <v>-1.7</v>
      </c>
      <c r="AU37" s="494"/>
      <c r="AV37" s="494"/>
      <c r="AW37" s="498"/>
    </row>
    <row r="38" spans="1:49" s="467" customFormat="1" ht="20.100000000000001" customHeight="1" x14ac:dyDescent="0.3">
      <c r="A38" s="461" t="s">
        <v>215</v>
      </c>
      <c r="B38" s="196"/>
      <c r="C38" s="447"/>
      <c r="D38" s="447"/>
      <c r="E38" s="196">
        <v>32648.077000000001</v>
      </c>
      <c r="F38" s="447">
        <v>28404.278999999999</v>
      </c>
      <c r="G38" s="444">
        <f t="shared" si="20"/>
        <v>-13</v>
      </c>
      <c r="H38" s="447"/>
      <c r="I38" s="447"/>
      <c r="J38" s="447"/>
      <c r="K38" s="196"/>
      <c r="L38" s="447"/>
      <c r="M38" s="447"/>
      <c r="N38" s="196">
        <v>4841.8999999999996</v>
      </c>
      <c r="O38" s="447">
        <v>5173</v>
      </c>
      <c r="P38" s="437">
        <f t="shared" ref="P38:P56" si="30">IF(N38=0, "    ---- ", IF(ABS(ROUND(100/N38*O38-100,1))&lt;999,ROUND(100/N38*O38-100,1),IF(ROUND(100/N38*O38-100,1)&gt;999,999,-999)))</f>
        <v>6.8</v>
      </c>
      <c r="Q38" s="196"/>
      <c r="R38" s="447"/>
      <c r="S38" s="338"/>
      <c r="T38" s="196">
        <v>192967.28359057</v>
      </c>
      <c r="U38" s="447">
        <v>221207.36872151998</v>
      </c>
      <c r="V38" s="338">
        <f t="shared" ref="V38:V45" si="31">IF(T38=0, "    ---- ", IF(ABS(ROUND(100/T38*U38-100,1))&lt;999,ROUND(100/T38*U38-100,1),IF(ROUND(100/T38*U38-100,1)&gt;999,999,-999)))</f>
        <v>14.6</v>
      </c>
      <c r="W38" s="196">
        <v>1301.2</v>
      </c>
      <c r="X38" s="447">
        <v>1358.5</v>
      </c>
      <c r="Y38" s="338">
        <f>IF(W38=0, "    ---- ", IF(ABS(ROUND(100/W38*X38-100,1))&lt;999,ROUND(100/W38*X38-100,1),IF(ROUND(100/W38*X38-100,1)&gt;999,999,-999)))</f>
        <v>4.4000000000000004</v>
      </c>
      <c r="Z38" s="672">
        <v>30784.4746688499</v>
      </c>
      <c r="AA38" s="444">
        <v>31177.6521596899</v>
      </c>
      <c r="AB38" s="338">
        <f t="shared" si="25"/>
        <v>1.3</v>
      </c>
      <c r="AC38" s="196">
        <v>22200</v>
      </c>
      <c r="AD38" s="447">
        <v>20515</v>
      </c>
      <c r="AE38" s="338">
        <f t="shared" si="26"/>
        <v>-7.6</v>
      </c>
      <c r="AF38" s="196"/>
      <c r="AG38" s="447"/>
      <c r="AH38" s="338"/>
      <c r="AI38" s="196">
        <v>7479.6710000000003</v>
      </c>
      <c r="AJ38" s="447">
        <v>7301.8450000000003</v>
      </c>
      <c r="AK38" s="338">
        <f t="shared" si="27"/>
        <v>-2.4</v>
      </c>
      <c r="AL38" s="196">
        <f>88783+23910+3315</f>
        <v>116008</v>
      </c>
      <c r="AM38" s="447">
        <f>86842+23586+10071</f>
        <v>120499</v>
      </c>
      <c r="AN38" s="338">
        <f t="shared" si="28"/>
        <v>3.9</v>
      </c>
      <c r="AO38" s="445">
        <f t="shared" si="21"/>
        <v>408230.60625941987</v>
      </c>
      <c r="AP38" s="445">
        <f t="shared" si="21"/>
        <v>435636.64488120988</v>
      </c>
      <c r="AQ38" s="338">
        <f t="shared" si="22"/>
        <v>6.7</v>
      </c>
      <c r="AR38" s="445">
        <f t="shared" si="23"/>
        <v>408230.60625941987</v>
      </c>
      <c r="AS38" s="445">
        <f t="shared" si="23"/>
        <v>435636.64488120988</v>
      </c>
      <c r="AT38" s="448">
        <f t="shared" si="24"/>
        <v>6.7</v>
      </c>
      <c r="AU38" s="494"/>
      <c r="AV38" s="494"/>
      <c r="AW38" s="498"/>
    </row>
    <row r="39" spans="1:49" s="467" customFormat="1" ht="20.100000000000001" customHeight="1" x14ac:dyDescent="0.3">
      <c r="A39" s="461" t="s">
        <v>216</v>
      </c>
      <c r="B39" s="196">
        <f>SUM(B40:B44)</f>
        <v>1186.5480000000002</v>
      </c>
      <c r="C39" s="447">
        <f>SUM(C40:C44)</f>
        <v>1183.7910000000002</v>
      </c>
      <c r="D39" s="447">
        <f>IF(B39=0, "    ---- ", IF(ABS(ROUND(100/B39*C39-100,1))&lt;999,ROUND(100/B39*C39-100,1),IF(ROUND(100/B39*C39-100,1)&gt;999,999,-999)))</f>
        <v>-0.2</v>
      </c>
      <c r="E39" s="196">
        <f>SUM(E40:E44)</f>
        <v>78291.75499999999</v>
      </c>
      <c r="F39" s="447">
        <f>SUM(F40:F44)</f>
        <v>73819.790000000008</v>
      </c>
      <c r="G39" s="447">
        <f t="shared" si="20"/>
        <v>-5.7</v>
      </c>
      <c r="H39" s="447"/>
      <c r="I39" s="447">
        <v>5948.0066489199999</v>
      </c>
      <c r="J39" s="447" t="str">
        <f t="shared" ref="J39" si="32">IF(H39=0, "    ---- ", IF(ABS(ROUND(100/H39*I39-100,1))&lt;999,ROUND(100/H39*I39-100,1),IF(ROUND(100/H39*I39-100,1)&gt;999,999,-999)))</f>
        <v xml:space="preserve">    ---- </v>
      </c>
      <c r="K39" s="196">
        <f>SUM(K40:K44)</f>
        <v>839.62699999999995</v>
      </c>
      <c r="L39" s="447">
        <f>SUM(L40:L44)</f>
        <v>941.25200000000007</v>
      </c>
      <c r="M39" s="447">
        <f t="shared" ref="M39:M46" si="33">IF(K39=0, "    ---- ", IF(ABS(ROUND(100/K39*L39-100,1))&lt;999,ROUND(100/K39*L39-100,1),IF(ROUND(100/K39*L39-100,1)&gt;999,999,-999)))</f>
        <v>12.1</v>
      </c>
      <c r="N39" s="196">
        <f>SUM(N40:N44)</f>
        <v>677.5</v>
      </c>
      <c r="O39" s="447">
        <f>SUM(O40:O44)</f>
        <v>701.9</v>
      </c>
      <c r="P39" s="437">
        <f t="shared" si="30"/>
        <v>3.6</v>
      </c>
      <c r="Q39" s="196"/>
      <c r="R39" s="447"/>
      <c r="S39" s="338"/>
      <c r="T39" s="196">
        <f>SUM(T40:T44)</f>
        <v>251447.81304654002</v>
      </c>
      <c r="U39" s="447">
        <v>249182.58662958999</v>
      </c>
      <c r="V39" s="338">
        <f t="shared" si="31"/>
        <v>-0.9</v>
      </c>
      <c r="W39" s="196">
        <f>SUM(W40:W44)</f>
        <v>120.30000000000001</v>
      </c>
      <c r="X39" s="447">
        <f>SUM(X40:X44)</f>
        <v>162.9</v>
      </c>
      <c r="Y39" s="338">
        <f>IF(W39=0, "    ---- ", IF(ABS(ROUND(100/W39*X39-100,1))&lt;999,ROUND(100/W39*X39-100,1),IF(ROUND(100/W39*X39-100,1)&gt;999,999,-999)))</f>
        <v>35.4</v>
      </c>
      <c r="Z39" s="672">
        <f>SUM(Z40:Z44)</f>
        <v>12595.739309869998</v>
      </c>
      <c r="AA39" s="444">
        <f>SUM(AA40:AA44)</f>
        <v>13458.523285970001</v>
      </c>
      <c r="AB39" s="338">
        <f t="shared" si="25"/>
        <v>6.8</v>
      </c>
      <c r="AC39" s="196">
        <f>SUM(AC40:AC44)</f>
        <v>51581</v>
      </c>
      <c r="AD39" s="447">
        <f>SUM(AD40:AD44)</f>
        <v>53275</v>
      </c>
      <c r="AE39" s="338">
        <f t="shared" si="26"/>
        <v>3.3</v>
      </c>
      <c r="AF39" s="196"/>
      <c r="AG39" s="447"/>
      <c r="AH39" s="338"/>
      <c r="AI39" s="196">
        <f>SUM(AI40:AI44)</f>
        <v>11253.580000000002</v>
      </c>
      <c r="AJ39" s="447">
        <f>SUM(AJ40:AJ44)</f>
        <v>8433.012999999999</v>
      </c>
      <c r="AK39" s="338">
        <f t="shared" si="27"/>
        <v>-25.1</v>
      </c>
      <c r="AL39" s="196">
        <f>SUM(AL40:AL44)</f>
        <v>31613</v>
      </c>
      <c r="AM39" s="447">
        <f>SUM(AM40:AM44)</f>
        <v>31173</v>
      </c>
      <c r="AN39" s="338">
        <f t="shared" si="28"/>
        <v>-1.4</v>
      </c>
      <c r="AO39" s="445">
        <f t="shared" si="21"/>
        <v>439606.86235641001</v>
      </c>
      <c r="AP39" s="445">
        <f t="shared" si="21"/>
        <v>438279.76256447996</v>
      </c>
      <c r="AQ39" s="338">
        <f t="shared" si="22"/>
        <v>-0.3</v>
      </c>
      <c r="AR39" s="445">
        <f t="shared" si="23"/>
        <v>439606.86235641001</v>
      </c>
      <c r="AS39" s="445">
        <f t="shared" si="23"/>
        <v>438279.76256447996</v>
      </c>
      <c r="AT39" s="448">
        <f t="shared" si="24"/>
        <v>-0.3</v>
      </c>
      <c r="AU39" s="494"/>
      <c r="AV39" s="494"/>
      <c r="AW39" s="498"/>
    </row>
    <row r="40" spans="1:49" s="467" customFormat="1" ht="20.100000000000001" customHeight="1" x14ac:dyDescent="0.3">
      <c r="A40" s="461" t="s">
        <v>217</v>
      </c>
      <c r="B40" s="196">
        <v>30.754999999999999</v>
      </c>
      <c r="C40" s="447">
        <v>33.402000000000001</v>
      </c>
      <c r="D40" s="338">
        <f>IF(B40=0, "    ---- ", IF(ABS(ROUND(100/B40*C40-100,1))&lt;999,ROUND(100/B40*C40-100,1),IF(ROUND(100/B40*C40-100,1)&gt;999,999,-999)))</f>
        <v>8.6</v>
      </c>
      <c r="E40" s="196">
        <v>18960.866000000002</v>
      </c>
      <c r="F40" s="447">
        <v>5556.4719999999998</v>
      </c>
      <c r="G40" s="338">
        <f t="shared" si="20"/>
        <v>-70.7</v>
      </c>
      <c r="H40" s="447"/>
      <c r="I40" s="447"/>
      <c r="J40" s="338"/>
      <c r="K40" s="196">
        <v>111.134</v>
      </c>
      <c r="L40" s="447">
        <v>105.26300000000001</v>
      </c>
      <c r="M40" s="338">
        <f t="shared" si="33"/>
        <v>-5.3</v>
      </c>
      <c r="N40" s="196"/>
      <c r="O40" s="447"/>
      <c r="P40" s="437"/>
      <c r="Q40" s="196"/>
      <c r="R40" s="447"/>
      <c r="S40" s="338"/>
      <c r="T40" s="196">
        <v>123603.18212577001</v>
      </c>
      <c r="U40" s="447">
        <v>112240.6651494</v>
      </c>
      <c r="V40" s="338">
        <f t="shared" si="31"/>
        <v>-9.1999999999999993</v>
      </c>
      <c r="W40" s="196">
        <v>50.9</v>
      </c>
      <c r="X40" s="447">
        <v>47.4</v>
      </c>
      <c r="Y40" s="338">
        <f>IF(W40=0, "    ---- ", IF(ABS(ROUND(100/W40*X40-100,1))&lt;999,ROUND(100/W40*X40-100,1),IF(ROUND(100/W40*X40-100,1)&gt;999,999,-999)))</f>
        <v>-6.9</v>
      </c>
      <c r="Z40" s="672">
        <v>4924.4394575400001</v>
      </c>
      <c r="AA40" s="444">
        <v>5108.87098255</v>
      </c>
      <c r="AB40" s="338">
        <f t="shared" si="25"/>
        <v>3.7</v>
      </c>
      <c r="AC40" s="196">
        <v>31368</v>
      </c>
      <c r="AD40" s="447">
        <v>36334</v>
      </c>
      <c r="AE40" s="338">
        <f t="shared" si="26"/>
        <v>15.8</v>
      </c>
      <c r="AF40" s="196"/>
      <c r="AG40" s="447"/>
      <c r="AH40" s="338"/>
      <c r="AI40" s="196">
        <v>2834.9409999999998</v>
      </c>
      <c r="AJ40" s="447">
        <v>2723.5680000000002</v>
      </c>
      <c r="AK40" s="338">
        <f t="shared" si="27"/>
        <v>-3.9</v>
      </c>
      <c r="AL40" s="196">
        <v>7327</v>
      </c>
      <c r="AM40" s="447">
        <v>4779</v>
      </c>
      <c r="AN40" s="338">
        <f t="shared" si="28"/>
        <v>-34.799999999999997</v>
      </c>
      <c r="AO40" s="445">
        <f t="shared" si="21"/>
        <v>189211.21758330998</v>
      </c>
      <c r="AP40" s="445">
        <f t="shared" si="21"/>
        <v>166928.64113194999</v>
      </c>
      <c r="AQ40" s="338">
        <f t="shared" si="22"/>
        <v>-11.8</v>
      </c>
      <c r="AR40" s="445">
        <f t="shared" si="23"/>
        <v>189211.21758330998</v>
      </c>
      <c r="AS40" s="445">
        <f t="shared" si="23"/>
        <v>166928.64113194999</v>
      </c>
      <c r="AT40" s="448">
        <f t="shared" si="24"/>
        <v>-11.8</v>
      </c>
      <c r="AU40" s="494"/>
      <c r="AV40" s="494"/>
      <c r="AW40" s="498"/>
    </row>
    <row r="41" spans="1:49" s="467" customFormat="1" ht="20.100000000000001" customHeight="1" x14ac:dyDescent="0.3">
      <c r="A41" s="461" t="s">
        <v>218</v>
      </c>
      <c r="B41" s="196">
        <v>1055.127</v>
      </c>
      <c r="C41" s="447">
        <v>1090.4670000000001</v>
      </c>
      <c r="D41" s="447">
        <f>IF(B41=0, "    ---- ", IF(ABS(ROUND(100/B41*C41-100,1))&lt;999,ROUND(100/B41*C41-100,1),IF(ROUND(100/B41*C41-100,1)&gt;999,999,-999)))</f>
        <v>3.3</v>
      </c>
      <c r="E41" s="196">
        <v>56579.065999999999</v>
      </c>
      <c r="F41" s="447">
        <v>63018.946000000004</v>
      </c>
      <c r="G41" s="447">
        <f t="shared" si="20"/>
        <v>11.4</v>
      </c>
      <c r="H41" s="447"/>
      <c r="I41" s="447">
        <v>5579.513293</v>
      </c>
      <c r="J41" s="447" t="str">
        <f>IF(H41=0, "    ---- ", IF(ABS(ROUND(100/H41*I41-100,1))&lt;999,ROUND(100/H41*I41-100,1),IF(ROUND(100/H41*I41-100,1)&gt;999,999,-999)))</f>
        <v xml:space="preserve">    ---- </v>
      </c>
      <c r="K41" s="196">
        <v>594.303</v>
      </c>
      <c r="L41" s="447">
        <v>665.096</v>
      </c>
      <c r="M41" s="447">
        <f>IF(K41=0, "    ---- ", IF(ABS(ROUND(100/K41*L41-100,1))&lt;999,ROUND(100/K41*L41-100,1),IF(ROUND(100/K41*L41-100,1)&gt;999,999,-999)))</f>
        <v>11.9</v>
      </c>
      <c r="N41" s="196">
        <v>649.29999999999995</v>
      </c>
      <c r="O41" s="447">
        <v>571.9</v>
      </c>
      <c r="P41" s="437">
        <f t="shared" si="30"/>
        <v>-11.9</v>
      </c>
      <c r="Q41" s="196"/>
      <c r="R41" s="447"/>
      <c r="S41" s="338"/>
      <c r="T41" s="196">
        <v>121534.79302639001</v>
      </c>
      <c r="U41" s="447">
        <v>109217.93044655</v>
      </c>
      <c r="V41" s="338">
        <f t="shared" si="31"/>
        <v>-10.1</v>
      </c>
      <c r="W41" s="196">
        <v>35</v>
      </c>
      <c r="X41" s="447">
        <v>35.5</v>
      </c>
      <c r="Y41" s="338">
        <f>IF(W41=0, "    ---- ", IF(ABS(ROUND(100/W41*X41-100,1))&lt;999,ROUND(100/W41*X41-100,1),IF(ROUND(100/W41*X41-100,1)&gt;999,999,-999)))</f>
        <v>1.4</v>
      </c>
      <c r="Z41" s="672">
        <v>7402.9505633599993</v>
      </c>
      <c r="AA41" s="444">
        <v>8125.1042715600006</v>
      </c>
      <c r="AB41" s="338">
        <f t="shared" si="25"/>
        <v>9.8000000000000007</v>
      </c>
      <c r="AC41" s="196">
        <v>18328</v>
      </c>
      <c r="AD41" s="447">
        <v>17911</v>
      </c>
      <c r="AE41" s="338">
        <f t="shared" si="26"/>
        <v>-2.2999999999999998</v>
      </c>
      <c r="AF41" s="196"/>
      <c r="AG41" s="447"/>
      <c r="AH41" s="338"/>
      <c r="AI41" s="196">
        <v>8380.9740000000002</v>
      </c>
      <c r="AJ41" s="447">
        <v>5114.3639999999996</v>
      </c>
      <c r="AK41" s="338">
        <f t="shared" si="27"/>
        <v>-39</v>
      </c>
      <c r="AL41" s="196">
        <v>23334</v>
      </c>
      <c r="AM41" s="447">
        <v>21891</v>
      </c>
      <c r="AN41" s="338">
        <f t="shared" si="28"/>
        <v>-6.2</v>
      </c>
      <c r="AO41" s="445">
        <f t="shared" si="21"/>
        <v>237893.51358974999</v>
      </c>
      <c r="AP41" s="445">
        <f t="shared" si="21"/>
        <v>233220.82101111001</v>
      </c>
      <c r="AQ41" s="338">
        <f t="shared" si="22"/>
        <v>-2</v>
      </c>
      <c r="AR41" s="445">
        <f t="shared" si="23"/>
        <v>237893.51358974999</v>
      </c>
      <c r="AS41" s="445">
        <f t="shared" si="23"/>
        <v>233220.82101111001</v>
      </c>
      <c r="AT41" s="448">
        <f t="shared" si="24"/>
        <v>-2</v>
      </c>
      <c r="AU41" s="494"/>
      <c r="AV41" s="494"/>
      <c r="AW41" s="498"/>
    </row>
    <row r="42" spans="1:49" s="467" customFormat="1" ht="20.100000000000001" customHeight="1" x14ac:dyDescent="0.3">
      <c r="A42" s="461" t="s">
        <v>219</v>
      </c>
      <c r="B42" s="196"/>
      <c r="C42" s="447"/>
      <c r="D42" s="447"/>
      <c r="E42" s="196">
        <v>1885.19</v>
      </c>
      <c r="F42" s="447">
        <v>4267.1180000000004</v>
      </c>
      <c r="G42" s="447">
        <f t="shared" si="20"/>
        <v>126.3</v>
      </c>
      <c r="H42" s="447"/>
      <c r="I42" s="447">
        <v>-136.12100986999999</v>
      </c>
      <c r="J42" s="447"/>
      <c r="K42" s="196"/>
      <c r="L42" s="447"/>
      <c r="M42" s="447"/>
      <c r="N42" s="196"/>
      <c r="O42" s="447"/>
      <c r="P42" s="437"/>
      <c r="Q42" s="196"/>
      <c r="R42" s="447"/>
      <c r="S42" s="338"/>
      <c r="T42" s="196">
        <v>5003.1003932200001</v>
      </c>
      <c r="U42" s="447">
        <v>20257.78993938</v>
      </c>
      <c r="V42" s="338">
        <f t="shared" si="31"/>
        <v>304.89999999999998</v>
      </c>
      <c r="W42" s="196">
        <v>34.4</v>
      </c>
      <c r="X42" s="447">
        <v>80</v>
      </c>
      <c r="Y42" s="338">
        <f>IF(W42=0, "    ---- ", IF(ABS(ROUND(100/W42*X42-100,1))&lt;999,ROUND(100/W42*X42-100,1),IF(ROUND(100/W42*X42-100,1)&gt;999,999,-999)))</f>
        <v>132.6</v>
      </c>
      <c r="Z42" s="672"/>
      <c r="AA42" s="444"/>
      <c r="AB42" s="338"/>
      <c r="AC42" s="196">
        <v>104</v>
      </c>
      <c r="AD42" s="447">
        <v>0</v>
      </c>
      <c r="AE42" s="338">
        <f t="shared" si="26"/>
        <v>-100</v>
      </c>
      <c r="AF42" s="196"/>
      <c r="AG42" s="447"/>
      <c r="AH42" s="338"/>
      <c r="AI42" s="196"/>
      <c r="AJ42" s="447"/>
      <c r="AK42" s="338"/>
      <c r="AL42" s="196"/>
      <c r="AM42" s="447"/>
      <c r="AN42" s="338"/>
      <c r="AO42" s="445">
        <f t="shared" si="21"/>
        <v>7026.6903932200003</v>
      </c>
      <c r="AP42" s="445">
        <f t="shared" si="21"/>
        <v>24468.786929509999</v>
      </c>
      <c r="AQ42" s="338">
        <f t="shared" si="22"/>
        <v>248.2</v>
      </c>
      <c r="AR42" s="445">
        <f t="shared" si="23"/>
        <v>7026.6903932200003</v>
      </c>
      <c r="AS42" s="445">
        <f t="shared" si="23"/>
        <v>24468.786929509999</v>
      </c>
      <c r="AT42" s="448">
        <f t="shared" si="24"/>
        <v>248.2</v>
      </c>
      <c r="AU42" s="494"/>
      <c r="AV42" s="494"/>
      <c r="AW42" s="498"/>
    </row>
    <row r="43" spans="1:49" s="467" customFormat="1" ht="20.100000000000001" customHeight="1" x14ac:dyDescent="0.3">
      <c r="A43" s="461" t="s">
        <v>220</v>
      </c>
      <c r="B43" s="196">
        <v>0.56399999999999995</v>
      </c>
      <c r="C43" s="447">
        <v>0.56499999999999995</v>
      </c>
      <c r="D43" s="447">
        <f>IF(B43=0, "    ---- ", IF(ABS(ROUND(100/B43*C43-100,1))&lt;999,ROUND(100/B43*C43-100,1),IF(ROUND(100/B43*C43-100,1)&gt;999,999,-999)))</f>
        <v>0.2</v>
      </c>
      <c r="E43" s="196">
        <v>114.358</v>
      </c>
      <c r="F43" s="447">
        <v>288.56</v>
      </c>
      <c r="G43" s="447">
        <f t="shared" si="20"/>
        <v>152.30000000000001</v>
      </c>
      <c r="H43" s="447"/>
      <c r="I43" s="447"/>
      <c r="J43" s="447"/>
      <c r="K43" s="196"/>
      <c r="L43" s="447"/>
      <c r="M43" s="447"/>
      <c r="N43" s="196"/>
      <c r="O43" s="447"/>
      <c r="P43" s="437"/>
      <c r="Q43" s="196"/>
      <c r="R43" s="447"/>
      <c r="S43" s="338"/>
      <c r="T43" s="196">
        <v>621.13880247999998</v>
      </c>
      <c r="U43" s="447">
        <v>1746.71206932</v>
      </c>
      <c r="V43" s="338">
        <f t="shared" si="31"/>
        <v>181.2</v>
      </c>
      <c r="W43" s="196"/>
      <c r="X43" s="447"/>
      <c r="Y43" s="338"/>
      <c r="Z43" s="672">
        <v>9.4064386300000002</v>
      </c>
      <c r="AA43" s="444">
        <v>87.47988513</v>
      </c>
      <c r="AB43" s="338">
        <f t="shared" si="25"/>
        <v>830</v>
      </c>
      <c r="AC43" s="196">
        <v>31</v>
      </c>
      <c r="AD43" s="447">
        <v>-5225</v>
      </c>
      <c r="AE43" s="338">
        <f>IF(AC43=0, "    ---- ", IF(ABS(ROUND(100/AC43*AD43-100,1))&lt;999,ROUND(100/AC43*AD43-100,1),IF(ROUND(100/AC43*AD43-100,1)&gt;999,999,-999)))</f>
        <v>-999</v>
      </c>
      <c r="AF43" s="196"/>
      <c r="AG43" s="447"/>
      <c r="AH43" s="338"/>
      <c r="AI43" s="196">
        <v>11.03</v>
      </c>
      <c r="AJ43" s="447">
        <v>14.772</v>
      </c>
      <c r="AK43" s="338">
        <f t="shared" si="27"/>
        <v>33.9</v>
      </c>
      <c r="AL43" s="196">
        <v>952</v>
      </c>
      <c r="AM43" s="447">
        <v>4503</v>
      </c>
      <c r="AN43" s="338">
        <f t="shared" si="28"/>
        <v>373</v>
      </c>
      <c r="AO43" s="445">
        <f t="shared" si="21"/>
        <v>1739.49724111</v>
      </c>
      <c r="AP43" s="445">
        <f t="shared" si="21"/>
        <v>1416.0889544500001</v>
      </c>
      <c r="AQ43" s="338">
        <f t="shared" si="22"/>
        <v>-18.600000000000001</v>
      </c>
      <c r="AR43" s="445">
        <f t="shared" si="23"/>
        <v>1739.49724111</v>
      </c>
      <c r="AS43" s="445">
        <f t="shared" si="23"/>
        <v>1416.0889544500001</v>
      </c>
      <c r="AT43" s="448">
        <f t="shared" si="24"/>
        <v>-18.600000000000001</v>
      </c>
      <c r="AU43" s="494"/>
      <c r="AV43" s="494"/>
      <c r="AW43" s="498"/>
    </row>
    <row r="44" spans="1:49" s="467" customFormat="1" ht="20.100000000000001" customHeight="1" x14ac:dyDescent="0.3">
      <c r="A44" s="461" t="s">
        <v>221</v>
      </c>
      <c r="B44" s="196">
        <v>100.102</v>
      </c>
      <c r="C44" s="447">
        <v>59.356999999999999</v>
      </c>
      <c r="D44" s="447">
        <f>IF(B44=0, "    ---- ", IF(ABS(ROUND(100/B44*C44-100,1))&lt;999,ROUND(100/B44*C44-100,1),IF(ROUND(100/B44*C44-100,1)&gt;999,999,-999)))</f>
        <v>-40.700000000000003</v>
      </c>
      <c r="E44" s="196">
        <v>752.27499999999998</v>
      </c>
      <c r="F44" s="447">
        <v>688.69399999999996</v>
      </c>
      <c r="G44" s="447">
        <f t="shared" si="20"/>
        <v>-8.5</v>
      </c>
      <c r="H44" s="447"/>
      <c r="I44" s="447">
        <v>504.61436578999997</v>
      </c>
      <c r="J44" s="447" t="str">
        <f t="shared" ref="J44:J46" si="34">IF(H44=0, "    ---- ", IF(ABS(ROUND(100/H44*I44-100,1))&lt;999,ROUND(100/H44*I44-100,1),IF(ROUND(100/H44*I44-100,1)&gt;999,999,-999)))</f>
        <v xml:space="preserve">    ---- </v>
      </c>
      <c r="K44" s="196">
        <v>134.19</v>
      </c>
      <c r="L44" s="447">
        <v>170.893</v>
      </c>
      <c r="M44" s="447">
        <f t="shared" si="33"/>
        <v>27.4</v>
      </c>
      <c r="N44" s="196">
        <v>28.2</v>
      </c>
      <c r="O44" s="447">
        <v>130</v>
      </c>
      <c r="P44" s="437">
        <f t="shared" si="30"/>
        <v>361</v>
      </c>
      <c r="Q44" s="196"/>
      <c r="R44" s="447"/>
      <c r="S44" s="338"/>
      <c r="T44" s="196">
        <v>685.59869867999998</v>
      </c>
      <c r="U44" s="447">
        <v>5719.4890249399996</v>
      </c>
      <c r="V44" s="338">
        <f t="shared" si="31"/>
        <v>734.2</v>
      </c>
      <c r="W44" s="196"/>
      <c r="X44" s="447"/>
      <c r="Y44" s="338"/>
      <c r="Z44" s="672">
        <v>258.94285034000001</v>
      </c>
      <c r="AA44" s="444">
        <v>137.06814673</v>
      </c>
      <c r="AB44" s="338">
        <f t="shared" si="25"/>
        <v>-47.1</v>
      </c>
      <c r="AC44" s="196">
        <v>1750</v>
      </c>
      <c r="AD44" s="447">
        <v>4255</v>
      </c>
      <c r="AE44" s="338">
        <f>IF(AC44=0, "    ---- ", IF(ABS(ROUND(100/AC44*AD44-100,1))&lt;999,ROUND(100/AC44*AD44-100,1),IF(ROUND(100/AC44*AD44-100,1)&gt;999,999,-999)))</f>
        <v>143.1</v>
      </c>
      <c r="AF44" s="196"/>
      <c r="AG44" s="447"/>
      <c r="AH44" s="338"/>
      <c r="AI44" s="196">
        <v>26.635000000000002</v>
      </c>
      <c r="AJ44" s="447">
        <v>580.30899999999997</v>
      </c>
      <c r="AK44" s="338">
        <f t="shared" si="27"/>
        <v>999</v>
      </c>
      <c r="AL44" s="196"/>
      <c r="AM44" s="447"/>
      <c r="AN44" s="338"/>
      <c r="AO44" s="445">
        <f t="shared" si="21"/>
        <v>3735.9435490200003</v>
      </c>
      <c r="AP44" s="445">
        <f t="shared" si="21"/>
        <v>12245.424537459998</v>
      </c>
      <c r="AQ44" s="338">
        <f t="shared" si="22"/>
        <v>227.8</v>
      </c>
      <c r="AR44" s="445">
        <f t="shared" si="23"/>
        <v>3735.9435490200003</v>
      </c>
      <c r="AS44" s="445">
        <f t="shared" si="23"/>
        <v>12245.424537459998</v>
      </c>
      <c r="AT44" s="448">
        <f t="shared" si="24"/>
        <v>227.8</v>
      </c>
      <c r="AU44" s="494"/>
      <c r="AV44" s="494"/>
      <c r="AW44" s="498"/>
    </row>
    <row r="45" spans="1:49" s="467" customFormat="1" ht="20.100000000000001" customHeight="1" x14ac:dyDescent="0.3">
      <c r="A45" s="462" t="s">
        <v>222</v>
      </c>
      <c r="B45" s="196">
        <f>SUM(B33+B34+B35+B39)</f>
        <v>1186.5480000000002</v>
      </c>
      <c r="C45" s="447">
        <f>SUM(C33+C34+C35+C39)</f>
        <v>1183.7910000000002</v>
      </c>
      <c r="D45" s="338">
        <f>IF(B45=0, "    ---- ", IF(ABS(ROUND(100/B45*C45-100,1))&lt;999,ROUND(100/B45*C45-100,1),IF(ROUND(100/B45*C45-100,1)&gt;999,999,-999)))</f>
        <v>-0.2</v>
      </c>
      <c r="E45" s="196">
        <f>SUM(E33+E34+E35+E39)</f>
        <v>206958.62400000001</v>
      </c>
      <c r="F45" s="447">
        <f>SUM(F33+F34+F35+F39)</f>
        <v>201665.13400000002</v>
      </c>
      <c r="G45" s="338">
        <f t="shared" si="20"/>
        <v>-2.6</v>
      </c>
      <c r="H45" s="447"/>
      <c r="I45" s="447">
        <v>5948.0066489199999</v>
      </c>
      <c r="J45" s="338" t="str">
        <f t="shared" si="34"/>
        <v xml:space="preserve">    ---- </v>
      </c>
      <c r="K45" s="196">
        <f>SUM(K33+K34+K35+K39)</f>
        <v>1058.1289999999999</v>
      </c>
      <c r="L45" s="447">
        <f>SUM(L33+L34+L35+L39)</f>
        <v>1155.1300000000001</v>
      </c>
      <c r="M45" s="338">
        <f t="shared" si="33"/>
        <v>9.1999999999999993</v>
      </c>
      <c r="N45" s="196">
        <f>SUM(N33+N34+N35+N39)</f>
        <v>6440</v>
      </c>
      <c r="O45" s="447">
        <f>SUM(O33+O34+O35+O39)</f>
        <v>6857.4</v>
      </c>
      <c r="P45" s="437">
        <f t="shared" si="30"/>
        <v>6.5</v>
      </c>
      <c r="Q45" s="196"/>
      <c r="R45" s="447"/>
      <c r="S45" s="338"/>
      <c r="T45" s="196">
        <f>SUM(T33+T34+T35+T39)</f>
        <v>529900.45560104004</v>
      </c>
      <c r="U45" s="447">
        <v>570649.44729404</v>
      </c>
      <c r="V45" s="338">
        <f t="shared" si="31"/>
        <v>7.7</v>
      </c>
      <c r="W45" s="196">
        <f>SUM(W33+W34+W35+W39)</f>
        <v>1741.8</v>
      </c>
      <c r="X45" s="447">
        <f>SUM(X33+X34+X35+X39)</f>
        <v>1820.7</v>
      </c>
      <c r="Y45" s="338">
        <f>IF(W45=0, "    ---- ", IF(ABS(ROUND(100/W45*X45-100,1))&lt;999,ROUND(100/W45*X45-100,1),IF(ROUND(100/W45*X45-100,1)&gt;999,999,-999)))</f>
        <v>4.5</v>
      </c>
      <c r="Z45" s="672">
        <f>SUM(Z33+Z34+Z35+Z39)</f>
        <v>51325.191868509901</v>
      </c>
      <c r="AA45" s="444">
        <f>SUM(AA33+AA34+AA35+AA39)</f>
        <v>52597.029455689903</v>
      </c>
      <c r="AB45" s="338">
        <f t="shared" si="25"/>
        <v>2.5</v>
      </c>
      <c r="AC45" s="196">
        <f>SUM(AC33+AC34+AC35+AC39)</f>
        <v>88768</v>
      </c>
      <c r="AD45" s="447">
        <f>SUM(AD33+AD34+AD35+AD39)</f>
        <v>89315</v>
      </c>
      <c r="AE45" s="338">
        <f>IF(AC45=0, "    ---- ", IF(ABS(ROUND(100/AC45*AD45-100,1))&lt;999,ROUND(100/AC45*AD45-100,1),IF(ROUND(100/AC45*AD45-100,1)&gt;999,999,-999)))</f>
        <v>0.6</v>
      </c>
      <c r="AF45" s="196"/>
      <c r="AG45" s="447"/>
      <c r="AH45" s="338"/>
      <c r="AI45" s="196">
        <f>SUM(AI33+AI34+AI35+AI39)</f>
        <v>23743.975000000002</v>
      </c>
      <c r="AJ45" s="447">
        <f>SUM(AJ33+AJ34+AJ35+AJ39)</f>
        <v>21125.279999999999</v>
      </c>
      <c r="AK45" s="338">
        <f t="shared" si="27"/>
        <v>-11</v>
      </c>
      <c r="AL45" s="196">
        <f>SUM(AL33+AL34+AL35+AL39)</f>
        <v>189173</v>
      </c>
      <c r="AM45" s="447">
        <f>SUM(AM33+AM34+AM35+AM39)</f>
        <v>194100</v>
      </c>
      <c r="AN45" s="338">
        <f t="shared" si="28"/>
        <v>2.6</v>
      </c>
      <c r="AO45" s="445">
        <f t="shared" si="21"/>
        <v>1100295.7234695498</v>
      </c>
      <c r="AP45" s="445">
        <f t="shared" si="21"/>
        <v>1146416.9183986499</v>
      </c>
      <c r="AQ45" s="338">
        <f t="shared" si="22"/>
        <v>4.2</v>
      </c>
      <c r="AR45" s="445">
        <f t="shared" si="23"/>
        <v>1100295.7234695498</v>
      </c>
      <c r="AS45" s="445">
        <f t="shared" si="23"/>
        <v>1146416.9183986499</v>
      </c>
      <c r="AT45" s="448">
        <f t="shared" si="24"/>
        <v>4.2</v>
      </c>
      <c r="AU45" s="494"/>
      <c r="AV45" s="494"/>
      <c r="AW45" s="498"/>
    </row>
    <row r="46" spans="1:49" s="467" customFormat="1" ht="20.100000000000001" customHeight="1" x14ac:dyDescent="0.3">
      <c r="A46" s="459" t="s">
        <v>341</v>
      </c>
      <c r="B46" s="196">
        <v>147.261</v>
      </c>
      <c r="C46" s="447">
        <v>146.934</v>
      </c>
      <c r="D46" s="338">
        <f>IF(B46=0, "    ---- ", IF(ABS(ROUND(100/B46*C46-100,1))&lt;999,ROUND(100/B46*C46-100,1),IF(ROUND(100/B46*C46-100,1)&gt;999,999,-999)))</f>
        <v>-0.2</v>
      </c>
      <c r="E46" s="196">
        <v>241.40600000000001</v>
      </c>
      <c r="F46" s="447">
        <v>218.928</v>
      </c>
      <c r="G46" s="444">
        <f t="shared" si="20"/>
        <v>-9.3000000000000007</v>
      </c>
      <c r="H46" s="447"/>
      <c r="I46" s="447">
        <v>521.37427322999997</v>
      </c>
      <c r="J46" s="338" t="str">
        <f t="shared" si="34"/>
        <v xml:space="preserve">    ---- </v>
      </c>
      <c r="K46" s="196">
        <v>108.571</v>
      </c>
      <c r="L46" s="447">
        <v>65.257999999999996</v>
      </c>
      <c r="M46" s="338">
        <f t="shared" si="33"/>
        <v>-39.9</v>
      </c>
      <c r="N46" s="196">
        <v>401.2</v>
      </c>
      <c r="O46" s="447">
        <v>476.6</v>
      </c>
      <c r="P46" s="437">
        <f t="shared" si="30"/>
        <v>18.8</v>
      </c>
      <c r="Q46" s="196"/>
      <c r="R46" s="447"/>
      <c r="S46" s="338"/>
      <c r="T46" s="196"/>
      <c r="U46" s="447"/>
      <c r="V46" s="338"/>
      <c r="W46" s="196"/>
      <c r="X46" s="447"/>
      <c r="Y46" s="338"/>
      <c r="Z46" s="672">
        <v>49.87</v>
      </c>
      <c r="AA46" s="444">
        <v>51.49</v>
      </c>
      <c r="AB46" s="338">
        <f t="shared" si="25"/>
        <v>3.2</v>
      </c>
      <c r="AC46" s="196"/>
      <c r="AD46" s="447"/>
      <c r="AE46" s="338"/>
      <c r="AF46" s="196"/>
      <c r="AG46" s="447"/>
      <c r="AH46" s="338"/>
      <c r="AI46" s="196">
        <v>516.36599999999999</v>
      </c>
      <c r="AJ46" s="447"/>
      <c r="AK46" s="338">
        <f t="shared" si="27"/>
        <v>-100</v>
      </c>
      <c r="AL46" s="672">
        <v>85.6</v>
      </c>
      <c r="AM46" s="447">
        <v>25</v>
      </c>
      <c r="AN46" s="338">
        <f t="shared" si="28"/>
        <v>-70.8</v>
      </c>
      <c r="AO46" s="445">
        <f t="shared" si="21"/>
        <v>1550.2739999999999</v>
      </c>
      <c r="AP46" s="445">
        <f t="shared" si="21"/>
        <v>1505.58427323</v>
      </c>
      <c r="AQ46" s="338">
        <f t="shared" si="22"/>
        <v>-2.9</v>
      </c>
      <c r="AR46" s="445">
        <f t="shared" si="23"/>
        <v>1550.2739999999999</v>
      </c>
      <c r="AS46" s="445">
        <f t="shared" si="23"/>
        <v>1505.58427323</v>
      </c>
      <c r="AT46" s="448">
        <f t="shared" si="24"/>
        <v>-2.9</v>
      </c>
      <c r="AU46" s="494"/>
      <c r="AV46" s="494"/>
      <c r="AW46" s="498"/>
    </row>
    <row r="47" spans="1:49" s="467" customFormat="1" ht="20.100000000000001" customHeight="1" x14ac:dyDescent="0.3">
      <c r="A47" s="459" t="s">
        <v>223</v>
      </c>
      <c r="B47" s="196"/>
      <c r="C47" s="447"/>
      <c r="D47" s="447"/>
      <c r="E47" s="196"/>
      <c r="F47" s="447"/>
      <c r="G47" s="447"/>
      <c r="H47" s="447"/>
      <c r="I47" s="447"/>
      <c r="J47" s="447"/>
      <c r="K47" s="196"/>
      <c r="L47" s="447"/>
      <c r="M47" s="447"/>
      <c r="N47" s="196"/>
      <c r="O47" s="447"/>
      <c r="P47" s="437"/>
      <c r="Q47" s="196"/>
      <c r="R47" s="447"/>
      <c r="S47" s="338"/>
      <c r="T47" s="196"/>
      <c r="U47" s="447"/>
      <c r="V47" s="338"/>
      <c r="W47" s="196"/>
      <c r="X47" s="447"/>
      <c r="Y47" s="338"/>
      <c r="Z47" s="672"/>
      <c r="AA47" s="444"/>
      <c r="AB47" s="338"/>
      <c r="AC47" s="196"/>
      <c r="AD47" s="447"/>
      <c r="AE47" s="338"/>
      <c r="AF47" s="196"/>
      <c r="AG47" s="447"/>
      <c r="AH47" s="338"/>
      <c r="AI47" s="196"/>
      <c r="AJ47" s="447"/>
      <c r="AK47" s="338"/>
      <c r="AL47" s="196"/>
      <c r="AM47" s="447"/>
      <c r="AN47" s="338"/>
      <c r="AO47" s="439"/>
      <c r="AP47" s="439"/>
      <c r="AQ47" s="338"/>
      <c r="AR47" s="439"/>
      <c r="AS47" s="439"/>
      <c r="AT47" s="448"/>
      <c r="AU47" s="494"/>
      <c r="AV47" s="494"/>
      <c r="AW47" s="498"/>
    </row>
    <row r="48" spans="1:49" s="467" customFormat="1" ht="20.100000000000001" customHeight="1" x14ac:dyDescent="0.3">
      <c r="A48" s="461" t="s">
        <v>224</v>
      </c>
      <c r="B48" s="196"/>
      <c r="C48" s="447"/>
      <c r="D48" s="447"/>
      <c r="E48" s="196"/>
      <c r="F48" s="447"/>
      <c r="G48" s="447"/>
      <c r="H48" s="447"/>
      <c r="I48" s="447"/>
      <c r="J48" s="447"/>
      <c r="K48" s="196"/>
      <c r="L48" s="447"/>
      <c r="M48" s="447"/>
      <c r="N48" s="196"/>
      <c r="O48" s="447"/>
      <c r="P48" s="437"/>
      <c r="Q48" s="196"/>
      <c r="R48" s="447"/>
      <c r="S48" s="338"/>
      <c r="T48" s="196"/>
      <c r="U48" s="447"/>
      <c r="V48" s="338"/>
      <c r="W48" s="196"/>
      <c r="X48" s="447"/>
      <c r="Y48" s="338"/>
      <c r="Z48" s="672"/>
      <c r="AA48" s="444"/>
      <c r="AB48" s="338"/>
      <c r="AC48" s="196"/>
      <c r="AD48" s="447"/>
      <c r="AE48" s="338"/>
      <c r="AF48" s="196"/>
      <c r="AG48" s="447"/>
      <c r="AH48" s="338"/>
      <c r="AI48" s="196"/>
      <c r="AJ48" s="447"/>
      <c r="AK48" s="338"/>
      <c r="AL48" s="196"/>
      <c r="AM48" s="447"/>
      <c r="AN48" s="338"/>
      <c r="AO48" s="445">
        <f t="shared" ref="AO48:AP62" si="35">B48+E48+H48+K48+N48+T48+W48+Z48+AC48+AI48+AL48</f>
        <v>0</v>
      </c>
      <c r="AP48" s="445">
        <f t="shared" si="35"/>
        <v>0</v>
      </c>
      <c r="AQ48" s="338" t="str">
        <f t="shared" si="22"/>
        <v xml:space="preserve">    ---- </v>
      </c>
      <c r="AR48" s="445">
        <f t="shared" ref="AR48:AS62" si="36">B48+E48+H48+K48+N48+Q48+T48+W48+Z48+AC48+AF48+AI48+AL48</f>
        <v>0</v>
      </c>
      <c r="AS48" s="445">
        <f t="shared" si="36"/>
        <v>0</v>
      </c>
      <c r="AT48" s="448" t="str">
        <f t="shared" si="24"/>
        <v xml:space="preserve">    ---- </v>
      </c>
      <c r="AU48" s="494"/>
      <c r="AV48" s="494"/>
      <c r="AW48" s="498"/>
    </row>
    <row r="49" spans="1:49" s="467" customFormat="1" ht="20.100000000000001" customHeight="1" x14ac:dyDescent="0.3">
      <c r="A49" s="461" t="s">
        <v>225</v>
      </c>
      <c r="B49" s="196"/>
      <c r="C49" s="447"/>
      <c r="D49" s="447"/>
      <c r="E49" s="196"/>
      <c r="F49" s="447"/>
      <c r="G49" s="447"/>
      <c r="H49" s="447"/>
      <c r="I49" s="447"/>
      <c r="J49" s="447"/>
      <c r="K49" s="196"/>
      <c r="L49" s="447"/>
      <c r="M49" s="447"/>
      <c r="N49" s="196">
        <v>826.6</v>
      </c>
      <c r="O49" s="447">
        <v>1546.2</v>
      </c>
      <c r="P49" s="437">
        <f t="shared" si="30"/>
        <v>87.1</v>
      </c>
      <c r="Q49" s="196"/>
      <c r="R49" s="447"/>
      <c r="S49" s="338"/>
      <c r="T49" s="196">
        <v>302.17106688000001</v>
      </c>
      <c r="U49" s="447">
        <v>352.68829787999999</v>
      </c>
      <c r="V49" s="338">
        <f t="shared" ref="V49:V60" si="37">IF(T49=0, "    ---- ", IF(ABS(ROUND(100/T49*U49-100,1))&lt;999,ROUND(100/T49*U49-100,1),IF(ROUND(100/T49*U49-100,1)&gt;999,999,-999)))</f>
        <v>16.7</v>
      </c>
      <c r="W49" s="196"/>
      <c r="X49" s="447"/>
      <c r="Y49" s="338"/>
      <c r="Z49" s="672"/>
      <c r="AA49" s="444"/>
      <c r="AB49" s="338"/>
      <c r="AC49" s="196"/>
      <c r="AD49" s="447"/>
      <c r="AE49" s="338"/>
      <c r="AF49" s="196"/>
      <c r="AG49" s="447"/>
      <c r="AH49" s="338"/>
      <c r="AI49" s="196"/>
      <c r="AJ49" s="447"/>
      <c r="AK49" s="338"/>
      <c r="AL49" s="196">
        <v>17390</v>
      </c>
      <c r="AM49" s="447">
        <v>19464</v>
      </c>
      <c r="AN49" s="338">
        <f t="shared" si="28"/>
        <v>11.9</v>
      </c>
      <c r="AO49" s="445">
        <f t="shared" si="35"/>
        <v>18518.771066879999</v>
      </c>
      <c r="AP49" s="445">
        <f t="shared" si="35"/>
        <v>21362.888297879999</v>
      </c>
      <c r="AQ49" s="338">
        <f t="shared" si="22"/>
        <v>15.4</v>
      </c>
      <c r="AR49" s="445">
        <f t="shared" si="36"/>
        <v>18518.771066879999</v>
      </c>
      <c r="AS49" s="445">
        <f t="shared" si="36"/>
        <v>21362.888297879999</v>
      </c>
      <c r="AT49" s="448">
        <f t="shared" si="24"/>
        <v>15.4</v>
      </c>
      <c r="AU49" s="494"/>
      <c r="AV49" s="494"/>
      <c r="AW49" s="498"/>
    </row>
    <row r="50" spans="1:49" s="467" customFormat="1" ht="20.100000000000001" customHeight="1" x14ac:dyDescent="0.3">
      <c r="A50" s="461" t="s">
        <v>226</v>
      </c>
      <c r="B50" s="196"/>
      <c r="C50" s="447"/>
      <c r="D50" s="447"/>
      <c r="E50" s="196"/>
      <c r="F50" s="447"/>
      <c r="G50" s="447"/>
      <c r="H50" s="447"/>
      <c r="I50" s="447"/>
      <c r="J50" s="447"/>
      <c r="K50" s="196"/>
      <c r="L50" s="447"/>
      <c r="M50" s="447"/>
      <c r="N50" s="196"/>
      <c r="O50" s="447"/>
      <c r="P50" s="437"/>
      <c r="Q50" s="196"/>
      <c r="R50" s="447"/>
      <c r="S50" s="338"/>
      <c r="T50" s="196">
        <f>SUM(T51+T53)</f>
        <v>884.80892838</v>
      </c>
      <c r="U50" s="447">
        <v>715.35781163000001</v>
      </c>
      <c r="V50" s="338">
        <f t="shared" si="37"/>
        <v>-19.2</v>
      </c>
      <c r="W50" s="196"/>
      <c r="X50" s="447"/>
      <c r="Y50" s="338"/>
      <c r="Z50" s="672"/>
      <c r="AA50" s="444"/>
      <c r="AB50" s="338"/>
      <c r="AC50" s="196"/>
      <c r="AD50" s="447"/>
      <c r="AE50" s="338"/>
      <c r="AF50" s="196"/>
      <c r="AG50" s="447"/>
      <c r="AH50" s="338"/>
      <c r="AI50" s="196"/>
      <c r="AJ50" s="447"/>
      <c r="AK50" s="338"/>
      <c r="AL50" s="196">
        <f>SUM(AL51+AL53)</f>
        <v>587</v>
      </c>
      <c r="AM50" s="447">
        <f>SUM(AM51+AM53)</f>
        <v>1316</v>
      </c>
      <c r="AN50" s="338">
        <f t="shared" si="28"/>
        <v>124.2</v>
      </c>
      <c r="AO50" s="445">
        <f t="shared" si="35"/>
        <v>1471.80892838</v>
      </c>
      <c r="AP50" s="445">
        <f t="shared" si="35"/>
        <v>2031.35781163</v>
      </c>
      <c r="AQ50" s="338">
        <f t="shared" si="22"/>
        <v>38</v>
      </c>
      <c r="AR50" s="445">
        <f t="shared" si="36"/>
        <v>1471.80892838</v>
      </c>
      <c r="AS50" s="445">
        <f t="shared" si="36"/>
        <v>2031.35781163</v>
      </c>
      <c r="AT50" s="448">
        <f t="shared" si="24"/>
        <v>38</v>
      </c>
      <c r="AU50" s="494"/>
      <c r="AV50" s="494"/>
      <c r="AW50" s="498"/>
    </row>
    <row r="51" spans="1:49" s="467" customFormat="1" ht="20.100000000000001" customHeight="1" x14ac:dyDescent="0.3">
      <c r="A51" s="461" t="s">
        <v>227</v>
      </c>
      <c r="B51" s="196"/>
      <c r="C51" s="447"/>
      <c r="D51" s="338"/>
      <c r="E51" s="196"/>
      <c r="F51" s="447"/>
      <c r="G51" s="338"/>
      <c r="H51" s="447"/>
      <c r="I51" s="447"/>
      <c r="J51" s="338"/>
      <c r="K51" s="196"/>
      <c r="L51" s="447"/>
      <c r="M51" s="338"/>
      <c r="N51" s="196"/>
      <c r="O51" s="447"/>
      <c r="P51" s="437"/>
      <c r="Q51" s="196"/>
      <c r="R51" s="447"/>
      <c r="S51" s="338"/>
      <c r="T51" s="196">
        <v>81.664443840000004</v>
      </c>
      <c r="U51" s="447">
        <v>50.048898649999998</v>
      </c>
      <c r="V51" s="338">
        <f t="shared" si="37"/>
        <v>-38.700000000000003</v>
      </c>
      <c r="W51" s="196"/>
      <c r="X51" s="447"/>
      <c r="Y51" s="338"/>
      <c r="Z51" s="672"/>
      <c r="AA51" s="444"/>
      <c r="AB51" s="338"/>
      <c r="AC51" s="196"/>
      <c r="AD51" s="447"/>
      <c r="AE51" s="338"/>
      <c r="AF51" s="196"/>
      <c r="AG51" s="447"/>
      <c r="AH51" s="338"/>
      <c r="AI51" s="196"/>
      <c r="AJ51" s="447"/>
      <c r="AK51" s="338"/>
      <c r="AL51" s="196"/>
      <c r="AM51" s="447"/>
      <c r="AN51" s="338"/>
      <c r="AO51" s="445">
        <f t="shared" si="35"/>
        <v>81.664443840000004</v>
      </c>
      <c r="AP51" s="445">
        <f t="shared" si="35"/>
        <v>50.048898649999998</v>
      </c>
      <c r="AQ51" s="338">
        <f t="shared" si="22"/>
        <v>-38.700000000000003</v>
      </c>
      <c r="AR51" s="445">
        <f t="shared" si="36"/>
        <v>81.664443840000004</v>
      </c>
      <c r="AS51" s="445">
        <f t="shared" si="36"/>
        <v>50.048898649999998</v>
      </c>
      <c r="AT51" s="448">
        <f t="shared" si="24"/>
        <v>-38.700000000000003</v>
      </c>
      <c r="AU51" s="494"/>
      <c r="AV51" s="494"/>
      <c r="AW51" s="498"/>
    </row>
    <row r="52" spans="1:49" s="496" customFormat="1" ht="20.100000000000001" customHeight="1" x14ac:dyDescent="0.3">
      <c r="A52" s="461" t="s">
        <v>197</v>
      </c>
      <c r="B52" s="196"/>
      <c r="C52" s="447"/>
      <c r="D52" s="444"/>
      <c r="E52" s="196"/>
      <c r="F52" s="447"/>
      <c r="G52" s="444"/>
      <c r="H52" s="447"/>
      <c r="I52" s="447"/>
      <c r="J52" s="444"/>
      <c r="K52" s="196"/>
      <c r="L52" s="447"/>
      <c r="M52" s="444"/>
      <c r="N52" s="196"/>
      <c r="O52" s="447"/>
      <c r="P52" s="443"/>
      <c r="Q52" s="196"/>
      <c r="R52" s="447"/>
      <c r="S52" s="444"/>
      <c r="T52" s="196">
        <v>81.664443840000004</v>
      </c>
      <c r="U52" s="447">
        <v>50.048898649999998</v>
      </c>
      <c r="V52" s="338">
        <f t="shared" si="37"/>
        <v>-38.700000000000003</v>
      </c>
      <c r="W52" s="196"/>
      <c r="X52" s="447"/>
      <c r="Y52" s="444"/>
      <c r="Z52" s="672"/>
      <c r="AA52" s="444"/>
      <c r="AB52" s="444"/>
      <c r="AC52" s="196"/>
      <c r="AD52" s="447"/>
      <c r="AE52" s="444"/>
      <c r="AF52" s="196"/>
      <c r="AG52" s="447"/>
      <c r="AH52" s="444"/>
      <c r="AI52" s="196"/>
      <c r="AJ52" s="447"/>
      <c r="AK52" s="444"/>
      <c r="AL52" s="196"/>
      <c r="AM52" s="447"/>
      <c r="AN52" s="444"/>
      <c r="AO52" s="445">
        <f t="shared" si="35"/>
        <v>81.664443840000004</v>
      </c>
      <c r="AP52" s="445">
        <f t="shared" si="35"/>
        <v>50.048898649999998</v>
      </c>
      <c r="AQ52" s="444">
        <f t="shared" si="22"/>
        <v>-38.700000000000003</v>
      </c>
      <c r="AR52" s="445">
        <f t="shared" si="36"/>
        <v>81.664443840000004</v>
      </c>
      <c r="AS52" s="445">
        <f t="shared" si="36"/>
        <v>50.048898649999998</v>
      </c>
      <c r="AT52" s="446">
        <f t="shared" si="24"/>
        <v>-38.700000000000003</v>
      </c>
      <c r="AU52" s="495"/>
      <c r="AV52" s="495"/>
      <c r="AW52" s="497"/>
    </row>
    <row r="53" spans="1:49" s="467" customFormat="1" ht="20.100000000000001" customHeight="1" x14ac:dyDescent="0.3">
      <c r="A53" s="461" t="s">
        <v>228</v>
      </c>
      <c r="B53" s="196"/>
      <c r="C53" s="447"/>
      <c r="D53" s="447"/>
      <c r="E53" s="196"/>
      <c r="F53" s="447"/>
      <c r="G53" s="447"/>
      <c r="H53" s="447"/>
      <c r="I53" s="447"/>
      <c r="J53" s="447"/>
      <c r="K53" s="196"/>
      <c r="L53" s="447"/>
      <c r="M53" s="447"/>
      <c r="N53" s="196"/>
      <c r="O53" s="447"/>
      <c r="P53" s="437"/>
      <c r="Q53" s="196"/>
      <c r="R53" s="447"/>
      <c r="S53" s="338"/>
      <c r="T53" s="196">
        <v>803.14448454000001</v>
      </c>
      <c r="U53" s="447">
        <v>665.30891298000006</v>
      </c>
      <c r="V53" s="338">
        <f t="shared" si="37"/>
        <v>-17.2</v>
      </c>
      <c r="W53" s="196"/>
      <c r="X53" s="447"/>
      <c r="Y53" s="338"/>
      <c r="Z53" s="672"/>
      <c r="AA53" s="444"/>
      <c r="AB53" s="338"/>
      <c r="AC53" s="196"/>
      <c r="AD53" s="447"/>
      <c r="AE53" s="338"/>
      <c r="AF53" s="196"/>
      <c r="AG53" s="447"/>
      <c r="AH53" s="338"/>
      <c r="AI53" s="196"/>
      <c r="AJ53" s="447"/>
      <c r="AK53" s="338"/>
      <c r="AL53" s="196">
        <v>587</v>
      </c>
      <c r="AM53" s="447">
        <f>43+1273</f>
        <v>1316</v>
      </c>
      <c r="AN53" s="338">
        <f t="shared" si="28"/>
        <v>124.2</v>
      </c>
      <c r="AO53" s="445">
        <f t="shared" si="35"/>
        <v>1390.1444845400001</v>
      </c>
      <c r="AP53" s="445">
        <f t="shared" si="35"/>
        <v>1981.3089129800001</v>
      </c>
      <c r="AQ53" s="338">
        <f t="shared" si="22"/>
        <v>42.5</v>
      </c>
      <c r="AR53" s="445">
        <f t="shared" si="36"/>
        <v>1390.1444845400001</v>
      </c>
      <c r="AS53" s="445">
        <f t="shared" si="36"/>
        <v>1981.3089129800001</v>
      </c>
      <c r="AT53" s="448">
        <f t="shared" si="24"/>
        <v>42.5</v>
      </c>
      <c r="AU53" s="494"/>
      <c r="AV53" s="494"/>
      <c r="AW53" s="498"/>
    </row>
    <row r="54" spans="1:49" s="467" customFormat="1" ht="20.100000000000001" customHeight="1" x14ac:dyDescent="0.3">
      <c r="A54" s="461" t="s">
        <v>229</v>
      </c>
      <c r="B54" s="196">
        <f>SUM(B55:B59)</f>
        <v>18231.059000000001</v>
      </c>
      <c r="C54" s="447">
        <f>SUM(C55:C59)</f>
        <v>18526.27</v>
      </c>
      <c r="D54" s="447">
        <f>IF(B54=0, "    ---- ", IF(ABS(ROUND(100/B54*C54-100,1))&lt;999,ROUND(100/B54*C54-100,1),IF(ROUND(100/B54*C54-100,1)&gt;999,999,-999)))</f>
        <v>1.6</v>
      </c>
      <c r="E54" s="196">
        <f>SUM(E55:E59)</f>
        <v>85192.428</v>
      </c>
      <c r="F54" s="447">
        <f>SUM(F55:F59)</f>
        <v>84790.630999999994</v>
      </c>
      <c r="G54" s="447">
        <f t="shared" si="20"/>
        <v>-0.5</v>
      </c>
      <c r="H54" s="447"/>
      <c r="I54" s="447"/>
      <c r="J54" s="447"/>
      <c r="K54" s="196">
        <f>SUM(K55:K59)</f>
        <v>3631.1309999999999</v>
      </c>
      <c r="L54" s="447">
        <f>SUM(L55:L59)</f>
        <v>3863.942</v>
      </c>
      <c r="M54" s="447">
        <f>IF(K54=0, "    ---- ", IF(ABS(ROUND(100/K54*L54-100,1))&lt;999,ROUND(100/K54*L54-100,1),IF(ROUND(100/K54*L54-100,1)&gt;999,999,-999)))</f>
        <v>6.4</v>
      </c>
      <c r="N54" s="196">
        <f>SUM(N55:N59)</f>
        <v>26055.5</v>
      </c>
      <c r="O54" s="447">
        <f>SUM(O55:O59)</f>
        <v>24660.9</v>
      </c>
      <c r="P54" s="437">
        <f t="shared" si="30"/>
        <v>-5.4</v>
      </c>
      <c r="Q54" s="196"/>
      <c r="R54" s="447"/>
      <c r="S54" s="338"/>
      <c r="T54" s="196">
        <f>SUM(T55:T59)</f>
        <v>1304.2761852000001</v>
      </c>
      <c r="U54" s="447">
        <v>1013.5707076600002</v>
      </c>
      <c r="V54" s="338">
        <f t="shared" si="37"/>
        <v>-22.3</v>
      </c>
      <c r="W54" s="196">
        <f>SUM(W55:W59)</f>
        <v>3950.6</v>
      </c>
      <c r="X54" s="447">
        <f>SUM(X55:X59)</f>
        <v>4551.3</v>
      </c>
      <c r="Y54" s="338">
        <f>IF(W54=0, "    ---- ", IF(ABS(ROUND(100/W54*X54-100,1))&lt;999,ROUND(100/W54*X54-100,1),IF(ROUND(100/W54*X54-100,1)&gt;999,999,-999)))</f>
        <v>15.2</v>
      </c>
      <c r="Z54" s="672">
        <f>SUM(Z55:Z59)</f>
        <v>64970.060000000005</v>
      </c>
      <c r="AA54" s="444">
        <f>SUM(AA55:AA59)</f>
        <v>70145.17</v>
      </c>
      <c r="AB54" s="338">
        <f t="shared" si="25"/>
        <v>8</v>
      </c>
      <c r="AC54" s="196"/>
      <c r="AD54" s="447"/>
      <c r="AE54" s="338"/>
      <c r="AF54" s="196">
        <f>SUM(AF55:AF59)</f>
        <v>2236.8637755899999</v>
      </c>
      <c r="AG54" s="447">
        <f>SUM(AG55:AG59)</f>
        <v>2275.8192309999999</v>
      </c>
      <c r="AH54" s="338">
        <f>IF(AF54=0, "    ---- ", IF(ABS(ROUND(100/AF54*AG54-100,1))&lt;999,ROUND(100/AF54*AG54-100,1),IF(ROUND(100/AF54*AG54-100,1)&gt;999,999,-999)))</f>
        <v>1.7</v>
      </c>
      <c r="AI54" s="196">
        <f>SUM(AI55:AI59)</f>
        <v>30789.231000000003</v>
      </c>
      <c r="AJ54" s="447">
        <f>SUM(AJ55:AJ59)</f>
        <v>32912.025000000001</v>
      </c>
      <c r="AK54" s="338">
        <f t="shared" si="27"/>
        <v>6.9</v>
      </c>
      <c r="AL54" s="196">
        <f>SUM(AL55:AL59)</f>
        <v>81957.799999999988</v>
      </c>
      <c r="AM54" s="447">
        <f>SUM(AM55:AM59)</f>
        <v>88818</v>
      </c>
      <c r="AN54" s="338">
        <f t="shared" si="28"/>
        <v>8.4</v>
      </c>
      <c r="AO54" s="445">
        <f t="shared" si="35"/>
        <v>316082.08518519998</v>
      </c>
      <c r="AP54" s="445">
        <f t="shared" si="35"/>
        <v>329281.80870765995</v>
      </c>
      <c r="AQ54" s="338">
        <f t="shared" si="22"/>
        <v>4.2</v>
      </c>
      <c r="AR54" s="445">
        <f t="shared" si="36"/>
        <v>318318.94896078994</v>
      </c>
      <c r="AS54" s="445">
        <f t="shared" si="36"/>
        <v>331557.62793865998</v>
      </c>
      <c r="AT54" s="448">
        <f t="shared" si="24"/>
        <v>4.2</v>
      </c>
      <c r="AU54" s="494"/>
      <c r="AV54" s="494"/>
      <c r="AW54" s="498"/>
    </row>
    <row r="55" spans="1:49" s="467" customFormat="1" ht="20.100000000000001" customHeight="1" x14ac:dyDescent="0.3">
      <c r="A55" s="461" t="s">
        <v>230</v>
      </c>
      <c r="B55" s="196">
        <v>10925.012000000001</v>
      </c>
      <c r="C55" s="447">
        <v>11633.403</v>
      </c>
      <c r="D55" s="447">
        <f>IF(B55=0, "    ---- ", IF(ABS(ROUND(100/B55*C55-100,1))&lt;999,ROUND(100/B55*C55-100,1),IF(ROUND(100/B55*C55-100,1)&gt;999,999,-999)))</f>
        <v>6.5</v>
      </c>
      <c r="E55" s="196">
        <v>46742.811999999998</v>
      </c>
      <c r="F55" s="447">
        <v>46655.093000000001</v>
      </c>
      <c r="G55" s="447">
        <f t="shared" si="20"/>
        <v>-0.2</v>
      </c>
      <c r="H55" s="447"/>
      <c r="I55" s="447"/>
      <c r="J55" s="447"/>
      <c r="K55" s="196">
        <f>3631.131-K59</f>
        <v>2372.7739999999999</v>
      </c>
      <c r="L55" s="447">
        <f>3863.942-L59</f>
        <v>2487.0299999999997</v>
      </c>
      <c r="M55" s="447">
        <f>IF(K55=0, "    ---- ", IF(ABS(ROUND(100/K55*L55-100,1))&lt;999,ROUND(100/K55*L55-100,1),IF(ROUND(100/K55*L55-100,1)&gt;999,999,-999)))</f>
        <v>4.8</v>
      </c>
      <c r="N55" s="196">
        <v>22165.3</v>
      </c>
      <c r="O55" s="447">
        <v>20862.2</v>
      </c>
      <c r="P55" s="437">
        <f t="shared" si="30"/>
        <v>-5.9</v>
      </c>
      <c r="Q55" s="196"/>
      <c r="R55" s="447"/>
      <c r="S55" s="338"/>
      <c r="T55" s="196">
        <v>669.68168179999998</v>
      </c>
      <c r="U55" s="447">
        <v>454.72793344000002</v>
      </c>
      <c r="V55" s="338">
        <f t="shared" si="37"/>
        <v>-32.1</v>
      </c>
      <c r="W55" s="196">
        <v>3945.9</v>
      </c>
      <c r="X55" s="447">
        <v>4545.1000000000004</v>
      </c>
      <c r="Y55" s="338">
        <f>IF(W55=0, "    ---- ", IF(ABS(ROUND(100/W55*X55-100,1))&lt;999,ROUND(100/W55*X55-100,1),IF(ROUND(100/W55*X55-100,1)&gt;999,999,-999)))</f>
        <v>15.2</v>
      </c>
      <c r="Z55" s="672">
        <v>32757.65</v>
      </c>
      <c r="AA55" s="444">
        <v>36501.5</v>
      </c>
      <c r="AB55" s="338">
        <f t="shared" si="25"/>
        <v>11.4</v>
      </c>
      <c r="AC55" s="196"/>
      <c r="AD55" s="447"/>
      <c r="AE55" s="338"/>
      <c r="AF55" s="196">
        <v>2236.8637755899999</v>
      </c>
      <c r="AG55" s="447">
        <v>2275.8192309999999</v>
      </c>
      <c r="AH55" s="338">
        <f>IF(AF55=0, "    ---- ", IF(ABS(ROUND(100/AF55*AG55-100,1))&lt;999,ROUND(100/AF55*AG55-100,1),IF(ROUND(100/AF55*AG55-100,1)&gt;999,999,-999)))</f>
        <v>1.7</v>
      </c>
      <c r="AI55" s="196">
        <v>18551.686000000002</v>
      </c>
      <c r="AJ55" s="447">
        <v>18730.8</v>
      </c>
      <c r="AK55" s="338">
        <f t="shared" si="27"/>
        <v>1</v>
      </c>
      <c r="AL55" s="196">
        <v>46674</v>
      </c>
      <c r="AM55" s="447">
        <v>49691</v>
      </c>
      <c r="AN55" s="338">
        <f t="shared" si="28"/>
        <v>6.5</v>
      </c>
      <c r="AO55" s="445">
        <f t="shared" si="35"/>
        <v>184804.81568180001</v>
      </c>
      <c r="AP55" s="445">
        <f t="shared" si="35"/>
        <v>191560.85393344</v>
      </c>
      <c r="AQ55" s="338">
        <f t="shared" si="22"/>
        <v>3.7</v>
      </c>
      <c r="AR55" s="445">
        <f t="shared" si="36"/>
        <v>187041.67945738998</v>
      </c>
      <c r="AS55" s="445">
        <f t="shared" si="36"/>
        <v>193836.67316444</v>
      </c>
      <c r="AT55" s="448">
        <f t="shared" si="24"/>
        <v>3.6</v>
      </c>
      <c r="AU55" s="494"/>
      <c r="AV55" s="494"/>
      <c r="AW55" s="498"/>
    </row>
    <row r="56" spans="1:49" s="467" customFormat="1" ht="20.100000000000001" customHeight="1" x14ac:dyDescent="0.3">
      <c r="A56" s="461" t="s">
        <v>231</v>
      </c>
      <c r="B56" s="196">
        <v>6941.3320000000003</v>
      </c>
      <c r="C56" s="447">
        <v>6834.5519999999997</v>
      </c>
      <c r="D56" s="447">
        <f>IF(B56=0, "    ---- ", IF(ABS(ROUND(100/B56*C56-100,1))&lt;999,ROUND(100/B56*C56-100,1),IF(ROUND(100/B56*C56-100,1)&gt;999,999,-999)))</f>
        <v>-1.5</v>
      </c>
      <c r="E56" s="196">
        <v>36992.75</v>
      </c>
      <c r="F56" s="447">
        <v>36439.962</v>
      </c>
      <c r="G56" s="447">
        <f t="shared" si="20"/>
        <v>-1.5</v>
      </c>
      <c r="H56" s="447"/>
      <c r="I56" s="447"/>
      <c r="J56" s="447"/>
      <c r="K56" s="196"/>
      <c r="L56" s="447"/>
      <c r="M56" s="447"/>
      <c r="N56" s="196">
        <v>3653.3</v>
      </c>
      <c r="O56" s="447">
        <v>3731.4</v>
      </c>
      <c r="P56" s="437">
        <f t="shared" si="30"/>
        <v>2.1</v>
      </c>
      <c r="Q56" s="196"/>
      <c r="R56" s="447"/>
      <c r="S56" s="338"/>
      <c r="T56" s="196">
        <v>581.96458432000009</v>
      </c>
      <c r="U56" s="447">
        <v>388.73707048</v>
      </c>
      <c r="V56" s="338">
        <f t="shared" si="37"/>
        <v>-33.200000000000003</v>
      </c>
      <c r="W56" s="196"/>
      <c r="X56" s="447"/>
      <c r="Y56" s="338"/>
      <c r="Z56" s="672">
        <v>31207.11</v>
      </c>
      <c r="AA56" s="444">
        <v>33874.03</v>
      </c>
      <c r="AB56" s="338">
        <f t="shared" si="25"/>
        <v>8.5</v>
      </c>
      <c r="AC56" s="196"/>
      <c r="AD56" s="447"/>
      <c r="AE56" s="338"/>
      <c r="AF56" s="196"/>
      <c r="AG56" s="447"/>
      <c r="AH56" s="338"/>
      <c r="AI56" s="196">
        <v>12219.591</v>
      </c>
      <c r="AJ56" s="447">
        <v>12373.337</v>
      </c>
      <c r="AK56" s="338">
        <f t="shared" si="27"/>
        <v>1.3</v>
      </c>
      <c r="AL56" s="196">
        <f>34846+344+0.4</f>
        <v>35190.400000000001</v>
      </c>
      <c r="AM56" s="447">
        <v>38202</v>
      </c>
      <c r="AN56" s="338">
        <f t="shared" si="28"/>
        <v>8.6</v>
      </c>
      <c r="AO56" s="445">
        <f t="shared" si="35"/>
        <v>126786.44758432001</v>
      </c>
      <c r="AP56" s="445">
        <f t="shared" si="35"/>
        <v>131844.01807048</v>
      </c>
      <c r="AQ56" s="338">
        <f t="shared" si="22"/>
        <v>4</v>
      </c>
      <c r="AR56" s="445">
        <f t="shared" si="36"/>
        <v>126786.44758432001</v>
      </c>
      <c r="AS56" s="445">
        <f t="shared" si="36"/>
        <v>131844.01807048</v>
      </c>
      <c r="AT56" s="448">
        <f t="shared" si="24"/>
        <v>4</v>
      </c>
      <c r="AU56" s="494"/>
      <c r="AV56" s="494"/>
      <c r="AW56" s="498"/>
    </row>
    <row r="57" spans="1:49" s="467" customFormat="1" ht="20.100000000000001" customHeight="1" x14ac:dyDescent="0.3">
      <c r="A57" s="461" t="s">
        <v>232</v>
      </c>
      <c r="B57" s="196"/>
      <c r="C57" s="447"/>
      <c r="D57" s="338"/>
      <c r="E57" s="196">
        <v>1456.866</v>
      </c>
      <c r="F57" s="447">
        <v>1695.576</v>
      </c>
      <c r="G57" s="338">
        <f t="shared" si="20"/>
        <v>16.399999999999999</v>
      </c>
      <c r="H57" s="447"/>
      <c r="I57" s="447"/>
      <c r="J57" s="338"/>
      <c r="K57" s="196"/>
      <c r="L57" s="447"/>
      <c r="M57" s="338"/>
      <c r="N57" s="196"/>
      <c r="O57" s="447"/>
      <c r="P57" s="338"/>
      <c r="Q57" s="196"/>
      <c r="R57" s="447"/>
      <c r="S57" s="338"/>
      <c r="T57" s="196">
        <v>50.725631189999994</v>
      </c>
      <c r="U57" s="447">
        <v>145.41603559000001</v>
      </c>
      <c r="V57" s="338">
        <f t="shared" si="37"/>
        <v>186.7</v>
      </c>
      <c r="W57" s="196">
        <v>4.7</v>
      </c>
      <c r="X57" s="447">
        <v>6.2</v>
      </c>
      <c r="Y57" s="338">
        <f>IF(W57=0, "    ---- ", IF(ABS(ROUND(100/W57*X57-100,1))&lt;999,ROUND(100/W57*X57-100,1),IF(ROUND(100/W57*X57-100,1)&gt;999,999,-999)))</f>
        <v>31.9</v>
      </c>
      <c r="Z57" s="672"/>
      <c r="AA57" s="444"/>
      <c r="AB57" s="338"/>
      <c r="AC57" s="196"/>
      <c r="AD57" s="447"/>
      <c r="AE57" s="338"/>
      <c r="AF57" s="196"/>
      <c r="AG57" s="447"/>
      <c r="AH57" s="338"/>
      <c r="AI57" s="196"/>
      <c r="AJ57" s="447"/>
      <c r="AK57" s="338"/>
      <c r="AL57" s="196"/>
      <c r="AM57" s="447">
        <v>385</v>
      </c>
      <c r="AN57" s="338" t="str">
        <f t="shared" si="28"/>
        <v xml:space="preserve">    ---- </v>
      </c>
      <c r="AO57" s="445">
        <f t="shared" si="35"/>
        <v>1512.2916311900001</v>
      </c>
      <c r="AP57" s="445">
        <f t="shared" si="35"/>
        <v>2232.1920355900002</v>
      </c>
      <c r="AQ57" s="338">
        <f t="shared" si="22"/>
        <v>47.6</v>
      </c>
      <c r="AR57" s="445">
        <f t="shared" si="36"/>
        <v>1512.2916311900001</v>
      </c>
      <c r="AS57" s="445">
        <f t="shared" si="36"/>
        <v>2232.1920355900002</v>
      </c>
      <c r="AT57" s="448">
        <f t="shared" si="24"/>
        <v>47.6</v>
      </c>
      <c r="AU57" s="494"/>
      <c r="AV57" s="494"/>
      <c r="AW57" s="498"/>
    </row>
    <row r="58" spans="1:49" s="467" customFormat="1" ht="20.100000000000001" customHeight="1" x14ac:dyDescent="0.3">
      <c r="A58" s="461" t="s">
        <v>233</v>
      </c>
      <c r="B58" s="196"/>
      <c r="C58" s="447"/>
      <c r="D58" s="338"/>
      <c r="E58" s="196"/>
      <c r="F58" s="447"/>
      <c r="G58" s="338"/>
      <c r="H58" s="447"/>
      <c r="I58" s="447"/>
      <c r="J58" s="338"/>
      <c r="K58" s="196"/>
      <c r="L58" s="447"/>
      <c r="M58" s="338"/>
      <c r="N58" s="196"/>
      <c r="O58" s="447"/>
      <c r="P58" s="338"/>
      <c r="Q58" s="196"/>
      <c r="R58" s="447"/>
      <c r="S58" s="338"/>
      <c r="T58" s="196">
        <v>1.6231172600000001</v>
      </c>
      <c r="U58" s="447">
        <v>16.305278439999999</v>
      </c>
      <c r="V58" s="338">
        <f t="shared" si="37"/>
        <v>904.6</v>
      </c>
      <c r="W58" s="196"/>
      <c r="X58" s="447"/>
      <c r="Y58" s="338"/>
      <c r="Z58" s="672">
        <v>0</v>
      </c>
      <c r="AA58" s="444">
        <v>-64.040000000000006</v>
      </c>
      <c r="AB58" s="338" t="str">
        <f t="shared" si="25"/>
        <v xml:space="preserve">    ---- </v>
      </c>
      <c r="AC58" s="196"/>
      <c r="AD58" s="447"/>
      <c r="AE58" s="338"/>
      <c r="AF58" s="196"/>
      <c r="AG58" s="447"/>
      <c r="AH58" s="338"/>
      <c r="AI58" s="196"/>
      <c r="AJ58" s="447"/>
      <c r="AK58" s="338"/>
      <c r="AL58" s="196">
        <v>93.4</v>
      </c>
      <c r="AM58" s="447">
        <v>540</v>
      </c>
      <c r="AN58" s="338">
        <f t="shared" si="28"/>
        <v>478.2</v>
      </c>
      <c r="AO58" s="445">
        <f t="shared" si="35"/>
        <v>95.023117260000006</v>
      </c>
      <c r="AP58" s="445">
        <f t="shared" si="35"/>
        <v>492.26527843999997</v>
      </c>
      <c r="AQ58" s="338">
        <f t="shared" si="22"/>
        <v>418</v>
      </c>
      <c r="AR58" s="445">
        <f t="shared" si="36"/>
        <v>95.023117260000006</v>
      </c>
      <c r="AS58" s="445">
        <f t="shared" si="36"/>
        <v>492.26527843999997</v>
      </c>
      <c r="AT58" s="448">
        <f t="shared" si="24"/>
        <v>418</v>
      </c>
      <c r="AU58" s="494"/>
      <c r="AV58" s="494"/>
      <c r="AW58" s="498"/>
    </row>
    <row r="59" spans="1:49" s="467" customFormat="1" ht="20.100000000000001" customHeight="1" x14ac:dyDescent="0.3">
      <c r="A59" s="461" t="s">
        <v>234</v>
      </c>
      <c r="B59" s="196">
        <f>233.834-18.27+149.151</f>
        <v>364.71500000000003</v>
      </c>
      <c r="C59" s="447">
        <f>404.143-441.823+95.995</f>
        <v>58.314999999999998</v>
      </c>
      <c r="D59" s="338">
        <f>IF(B59=0, "    ---- ", IF(ABS(ROUND(100/B59*C59-100,1))&lt;999,ROUND(100/B59*C59-100,1),IF(ROUND(100/B59*C59-100,1)&gt;999,999,-999)))</f>
        <v>-84</v>
      </c>
      <c r="E59" s="196"/>
      <c r="F59" s="447"/>
      <c r="G59" s="338"/>
      <c r="H59" s="447"/>
      <c r="I59" s="447"/>
      <c r="J59" s="338"/>
      <c r="K59" s="196">
        <v>1258.357</v>
      </c>
      <c r="L59" s="447">
        <v>1376.912</v>
      </c>
      <c r="M59" s="338">
        <f>IF(K59=0, "    ---- ", IF(ABS(ROUND(100/K59*L59-100,1))&lt;999,ROUND(100/K59*L59-100,1),IF(ROUND(100/K59*L59-100,1)&gt;999,999,-999)))</f>
        <v>9.4</v>
      </c>
      <c r="N59" s="196">
        <f>47.5+189.4</f>
        <v>236.9</v>
      </c>
      <c r="O59" s="447">
        <f>32.9+34.4</f>
        <v>67.3</v>
      </c>
      <c r="P59" s="338">
        <f>IF(N59=0, "    ---- ", IF(ABS(ROUND(100/N59*O59-100,1))&lt;999,ROUND(100/N59*O59-100,1),IF(ROUND(100/N59*O59-100,1)&gt;999,999,-999)))</f>
        <v>-71.599999999999994</v>
      </c>
      <c r="Q59" s="196"/>
      <c r="R59" s="447"/>
      <c r="S59" s="338"/>
      <c r="T59" s="196">
        <v>0.28117062999999998</v>
      </c>
      <c r="U59" s="447">
        <v>8.3843897100000007</v>
      </c>
      <c r="V59" s="338">
        <f t="shared" si="37"/>
        <v>999</v>
      </c>
      <c r="W59" s="196"/>
      <c r="X59" s="447"/>
      <c r="Y59" s="338"/>
      <c r="Z59" s="672">
        <v>1005.3</v>
      </c>
      <c r="AA59" s="444">
        <v>-166.32</v>
      </c>
      <c r="AB59" s="338">
        <f t="shared" si="25"/>
        <v>-116.5</v>
      </c>
      <c r="AC59" s="196"/>
      <c r="AD59" s="447"/>
      <c r="AE59" s="338"/>
      <c r="AF59" s="196"/>
      <c r="AG59" s="447"/>
      <c r="AH59" s="338"/>
      <c r="AI59" s="196">
        <v>17.954000000000001</v>
      </c>
      <c r="AJ59" s="447">
        <v>1807.8879999999999</v>
      </c>
      <c r="AK59" s="338">
        <f t="shared" si="27"/>
        <v>999</v>
      </c>
      <c r="AL59" s="196"/>
      <c r="AM59" s="447"/>
      <c r="AN59" s="338"/>
      <c r="AO59" s="445">
        <f t="shared" si="35"/>
        <v>2883.50717063</v>
      </c>
      <c r="AP59" s="445">
        <f t="shared" si="35"/>
        <v>3152.4793897099999</v>
      </c>
      <c r="AQ59" s="338">
        <f t="shared" si="22"/>
        <v>9.3000000000000007</v>
      </c>
      <c r="AR59" s="445">
        <f t="shared" si="36"/>
        <v>2883.50717063</v>
      </c>
      <c r="AS59" s="445">
        <f t="shared" si="36"/>
        <v>3152.4793897099999</v>
      </c>
      <c r="AT59" s="448">
        <f t="shared" si="24"/>
        <v>9.3000000000000007</v>
      </c>
      <c r="AU59" s="494"/>
      <c r="AV59" s="494"/>
      <c r="AW59" s="498"/>
    </row>
    <row r="60" spans="1:49" s="467" customFormat="1" ht="20.100000000000001" customHeight="1" x14ac:dyDescent="0.3">
      <c r="A60" s="462" t="s">
        <v>235</v>
      </c>
      <c r="B60" s="196">
        <f>SUM(B48+B49+B50+B54)</f>
        <v>18231.059000000001</v>
      </c>
      <c r="C60" s="447">
        <f>SUM(C48+C49+C50+C54)</f>
        <v>18526.27</v>
      </c>
      <c r="D60" s="338">
        <f>IF(B60=0, "    ---- ", IF(ABS(ROUND(100/B60*C60-100,1))&lt;999,ROUND(100/B60*C60-100,1),IF(ROUND(100/B60*C60-100,1)&gt;999,999,-999)))</f>
        <v>1.6</v>
      </c>
      <c r="E60" s="196">
        <f>SUM(E48+E49+E50+E54)</f>
        <v>85192.428</v>
      </c>
      <c r="F60" s="447">
        <f>SUM(F48+F49+F50+F54)</f>
        <v>84790.630999999994</v>
      </c>
      <c r="G60" s="338">
        <f t="shared" si="20"/>
        <v>-0.5</v>
      </c>
      <c r="H60" s="447"/>
      <c r="I60" s="447"/>
      <c r="J60" s="338"/>
      <c r="K60" s="196">
        <f>SUM(K48+K49+K50+K54)</f>
        <v>3631.1309999999999</v>
      </c>
      <c r="L60" s="447">
        <f>SUM(L48+L49+L50+L54)</f>
        <v>3863.942</v>
      </c>
      <c r="M60" s="338">
        <f>IF(K60=0, "    ---- ", IF(ABS(ROUND(100/K60*L60-100,1))&lt;999,ROUND(100/K60*L60-100,1),IF(ROUND(100/K60*L60-100,1)&gt;999,999,-999)))</f>
        <v>6.4</v>
      </c>
      <c r="N60" s="196">
        <f>SUM(N48+N49+N50+N54)</f>
        <v>26882.1</v>
      </c>
      <c r="O60" s="447">
        <f>SUM(O48+O49+O50+O54)</f>
        <v>26207.100000000002</v>
      </c>
      <c r="P60" s="338">
        <f>IF(N60=0, "    ---- ", IF(ABS(ROUND(100/N60*O60-100,1))&lt;999,ROUND(100/N60*O60-100,1),IF(ROUND(100/N60*O60-100,1)&gt;999,999,-999)))</f>
        <v>-2.5</v>
      </c>
      <c r="Q60" s="196"/>
      <c r="R60" s="447"/>
      <c r="S60" s="338"/>
      <c r="T60" s="196">
        <f>SUM(T48+T49+T50+T54)</f>
        <v>2491.25618046</v>
      </c>
      <c r="U60" s="447">
        <v>2081.6168171700001</v>
      </c>
      <c r="V60" s="338">
        <f t="shared" si="37"/>
        <v>-16.399999999999999</v>
      </c>
      <c r="W60" s="196">
        <f>SUM(W48+W49+W50+W54)</f>
        <v>3950.6</v>
      </c>
      <c r="X60" s="447">
        <f>SUM(X48+X49+X50+X54)</f>
        <v>4551.3</v>
      </c>
      <c r="Y60" s="338">
        <f>IF(W60=0, "    ---- ", IF(ABS(ROUND(100/W60*X60-100,1))&lt;999,ROUND(100/W60*X60-100,1),IF(ROUND(100/W60*X60-100,1)&gt;999,999,-999)))</f>
        <v>15.2</v>
      </c>
      <c r="Z60" s="672">
        <f>SUM(Z48+Z49+Z50+Z54)</f>
        <v>64970.060000000005</v>
      </c>
      <c r="AA60" s="444">
        <f>SUM(AA48+AA49+AA50+AA54)</f>
        <v>70145.17</v>
      </c>
      <c r="AB60" s="338">
        <f t="shared" si="25"/>
        <v>8</v>
      </c>
      <c r="AC60" s="196"/>
      <c r="AD60" s="447"/>
      <c r="AE60" s="338"/>
      <c r="AF60" s="196">
        <f>SUM(AF48+AF49+AF50+AF54)</f>
        <v>2236.8637755899999</v>
      </c>
      <c r="AG60" s="447">
        <f>SUM(AG48+AG49+AG50+AG54)</f>
        <v>2275.8192309999999</v>
      </c>
      <c r="AH60" s="338">
        <f>IF(AF60=0, "    ---- ", IF(ABS(ROUND(100/AF60*AG60-100,1))&lt;999,ROUND(100/AF60*AG60-100,1),IF(ROUND(100/AF60*AG60-100,1)&gt;999,999,-999)))</f>
        <v>1.7</v>
      </c>
      <c r="AI60" s="196">
        <f>SUM(AI48+AI49+AI50+AI54)</f>
        <v>30789.231000000003</v>
      </c>
      <c r="AJ60" s="447">
        <f>SUM(AJ48+AJ49+AJ50+AJ54)</f>
        <v>32912.025000000001</v>
      </c>
      <c r="AK60" s="338">
        <f t="shared" si="27"/>
        <v>6.9</v>
      </c>
      <c r="AL60" s="196">
        <f>SUM(AL48+AL49+AL50+AL54)</f>
        <v>99934.799999999988</v>
      </c>
      <c r="AM60" s="447">
        <f>SUM(AM48+AM49+AM50+AM54)</f>
        <v>109598</v>
      </c>
      <c r="AN60" s="338">
        <f t="shared" si="28"/>
        <v>9.6999999999999993</v>
      </c>
      <c r="AO60" s="445">
        <f t="shared" si="35"/>
        <v>336072.66518045997</v>
      </c>
      <c r="AP60" s="445">
        <f t="shared" si="35"/>
        <v>352676.05481717002</v>
      </c>
      <c r="AQ60" s="338">
        <f t="shared" si="22"/>
        <v>4.9000000000000004</v>
      </c>
      <c r="AR60" s="445">
        <f t="shared" si="36"/>
        <v>338309.52895605</v>
      </c>
      <c r="AS60" s="445">
        <f t="shared" si="36"/>
        <v>354951.87404816999</v>
      </c>
      <c r="AT60" s="448">
        <f t="shared" si="24"/>
        <v>4.9000000000000004</v>
      </c>
      <c r="AU60" s="494"/>
      <c r="AV60" s="494"/>
      <c r="AW60" s="498"/>
    </row>
    <row r="61" spans="1:49" s="467" customFormat="1" ht="20.100000000000001" customHeight="1" x14ac:dyDescent="0.3">
      <c r="A61" s="459" t="s">
        <v>342</v>
      </c>
      <c r="B61" s="196"/>
      <c r="C61" s="447"/>
      <c r="D61" s="338"/>
      <c r="E61" s="196"/>
      <c r="F61" s="447"/>
      <c r="G61" s="338"/>
      <c r="H61" s="447"/>
      <c r="I61" s="447"/>
      <c r="J61" s="338"/>
      <c r="K61" s="196"/>
      <c r="L61" s="447"/>
      <c r="M61" s="338"/>
      <c r="N61" s="196"/>
      <c r="O61" s="447"/>
      <c r="P61" s="338"/>
      <c r="Q61" s="196"/>
      <c r="R61" s="447"/>
      <c r="S61" s="338"/>
      <c r="T61" s="196"/>
      <c r="U61" s="447"/>
      <c r="V61" s="338"/>
      <c r="W61" s="196"/>
      <c r="X61" s="447"/>
      <c r="Y61" s="338"/>
      <c r="Z61" s="672"/>
      <c r="AA61" s="444"/>
      <c r="AB61" s="338"/>
      <c r="AC61" s="196"/>
      <c r="AD61" s="447"/>
      <c r="AE61" s="338"/>
      <c r="AF61" s="196"/>
      <c r="AG61" s="447"/>
      <c r="AH61" s="338"/>
      <c r="AI61" s="196"/>
      <c r="AJ61" s="447"/>
      <c r="AK61" s="338"/>
      <c r="AL61" s="672">
        <v>0</v>
      </c>
      <c r="AM61" s="447"/>
      <c r="AN61" s="338"/>
      <c r="AO61" s="445">
        <f t="shared" si="35"/>
        <v>0</v>
      </c>
      <c r="AP61" s="445">
        <f t="shared" si="35"/>
        <v>0</v>
      </c>
      <c r="AQ61" s="338" t="str">
        <f t="shared" si="22"/>
        <v xml:space="preserve">    ---- </v>
      </c>
      <c r="AR61" s="445">
        <f t="shared" si="36"/>
        <v>0</v>
      </c>
      <c r="AS61" s="445">
        <f t="shared" si="36"/>
        <v>0</v>
      </c>
      <c r="AT61" s="448" t="str">
        <f t="shared" si="24"/>
        <v xml:space="preserve">    ---- </v>
      </c>
      <c r="AU61" s="494"/>
      <c r="AV61" s="494"/>
      <c r="AW61" s="498"/>
    </row>
    <row r="62" spans="1:49" s="467" customFormat="1" ht="20.100000000000001" customHeight="1" x14ac:dyDescent="0.3">
      <c r="A62" s="461" t="s">
        <v>236</v>
      </c>
      <c r="B62" s="196">
        <f>SUM(B45+B46+B60+B61)</f>
        <v>19564.868000000002</v>
      </c>
      <c r="C62" s="447">
        <f>SUM(C45+C46+C60+C61)</f>
        <v>19856.994999999999</v>
      </c>
      <c r="D62" s="338">
        <f>IF(B62=0, "    ---- ", IF(ABS(ROUND(100/B62*C62-100,1))&lt;999,ROUND(100/B62*C62-100,1),IF(ROUND(100/B62*C62-100,1)&gt;999,999,-999)))</f>
        <v>1.5</v>
      </c>
      <c r="E62" s="196">
        <f>SUM(E45+E46+E60+E61)</f>
        <v>292392.45799999998</v>
      </c>
      <c r="F62" s="447">
        <f>SUM(F45+F46+F60+F61)</f>
        <v>286674.69300000003</v>
      </c>
      <c r="G62" s="338">
        <f t="shared" si="20"/>
        <v>-2</v>
      </c>
      <c r="H62" s="447"/>
      <c r="I62" s="447">
        <v>6469.3809221499996</v>
      </c>
      <c r="J62" s="338" t="str">
        <f>IF(H62=0, "    ---- ", IF(ABS(ROUND(100/H62*I62-100,1))&lt;999,ROUND(100/H62*I62-100,1),IF(ROUND(100/H62*I62-100,1)&gt;999,999,-999)))</f>
        <v xml:space="preserve">    ---- </v>
      </c>
      <c r="K62" s="196">
        <f>SUM(K45+K46+K60+K61)</f>
        <v>4797.8310000000001</v>
      </c>
      <c r="L62" s="447">
        <f>SUM(L45+L46+L60+L61)</f>
        <v>5084.33</v>
      </c>
      <c r="M62" s="338">
        <f>IF(K62=0, "    ---- ", IF(ABS(ROUND(100/K62*L62-100,1))&lt;999,ROUND(100/K62*L62-100,1),IF(ROUND(100/K62*L62-100,1)&gt;999,999,-999)))</f>
        <v>6</v>
      </c>
      <c r="N62" s="196">
        <f>SUM(N45+N46+N60+N61)</f>
        <v>33723.299999999996</v>
      </c>
      <c r="O62" s="447">
        <f>SUM(O45+O46+O60+O61)</f>
        <v>33541.100000000006</v>
      </c>
      <c r="P62" s="338">
        <f>IF(N62=0, "    ---- ", IF(ABS(ROUND(100/N62*O62-100,1))&lt;999,ROUND(100/N62*O62-100,1),IF(ROUND(100/N62*O62-100,1)&gt;999,999,-999)))</f>
        <v>-0.5</v>
      </c>
      <c r="Q62" s="196"/>
      <c r="R62" s="447"/>
      <c r="S62" s="338"/>
      <c r="T62" s="196">
        <f>SUM(T45+T46+T60+T61)</f>
        <v>532391.71178150002</v>
      </c>
      <c r="U62" s="447">
        <v>572731.06411121006</v>
      </c>
      <c r="V62" s="338">
        <f>IF(T62=0, "    ---- ", IF(ABS(ROUND(100/T62*U62-100,1))&lt;999,ROUND(100/T62*U62-100,1),IF(ROUND(100/T62*U62-100,1)&gt;999,999,-999)))</f>
        <v>7.6</v>
      </c>
      <c r="W62" s="196">
        <f>SUM(W45+W46+W60+W61)</f>
        <v>5692.4</v>
      </c>
      <c r="X62" s="447">
        <f>SUM(X45+X46+X60+X61)</f>
        <v>6372</v>
      </c>
      <c r="Y62" s="338">
        <f>IF(W62=0, "    ---- ", IF(ABS(ROUND(100/W62*X62-100,1))&lt;999,ROUND(100/W62*X62-100,1),IF(ROUND(100/W62*X62-100,1)&gt;999,999,-999)))</f>
        <v>11.9</v>
      </c>
      <c r="Z62" s="672">
        <f>SUM(Z45+Z46+Z60+Z61)</f>
        <v>116345.12186850992</v>
      </c>
      <c r="AA62" s="444">
        <f>SUM(AA45+AA46+AA60+AA61)</f>
        <v>122793.68945568989</v>
      </c>
      <c r="AB62" s="338">
        <f t="shared" si="25"/>
        <v>5.5</v>
      </c>
      <c r="AC62" s="196">
        <f>SUM(AC45+AC46+AC60+AC61)</f>
        <v>88768</v>
      </c>
      <c r="AD62" s="447">
        <f>SUM(AD45+AD46+AD60+AD61)</f>
        <v>89315</v>
      </c>
      <c r="AE62" s="338">
        <f>IF(AC62=0, "    ---- ", IF(ABS(ROUND(100/AC62*AD62-100,1))&lt;999,ROUND(100/AC62*AD62-100,1),IF(ROUND(100/AC62*AD62-100,1)&gt;999,999,-999)))</f>
        <v>0.6</v>
      </c>
      <c r="AF62" s="196">
        <f>SUM(AF45+AF46+AF60+AF61)</f>
        <v>2236.8637755899999</v>
      </c>
      <c r="AG62" s="447">
        <f>SUM(AG45+AG46+AG60+AG61)</f>
        <v>2275.8192309999999</v>
      </c>
      <c r="AH62" s="338">
        <f>IF(AF62=0, "    ---- ", IF(ABS(ROUND(100/AF62*AG62-100,1))&lt;999,ROUND(100/AF62*AG62-100,1),IF(ROUND(100/AF62*AG62-100,1)&gt;999,999,-999)))</f>
        <v>1.7</v>
      </c>
      <c r="AI62" s="196">
        <f>SUM(AI45+AI46+AI60+AI61)</f>
        <v>55049.572</v>
      </c>
      <c r="AJ62" s="447">
        <f>SUM(AJ45+AJ46+AJ60+AJ61)</f>
        <v>54037.305</v>
      </c>
      <c r="AK62" s="338">
        <f t="shared" si="27"/>
        <v>-1.8</v>
      </c>
      <c r="AL62" s="196">
        <f>SUM(AL45+AL46+AL60+AL61)</f>
        <v>289193.40000000002</v>
      </c>
      <c r="AM62" s="447">
        <f>SUM(AM45+AM46+AM60+AM61)</f>
        <v>303723</v>
      </c>
      <c r="AN62" s="338">
        <f t="shared" si="28"/>
        <v>5</v>
      </c>
      <c r="AO62" s="445">
        <f t="shared" si="35"/>
        <v>1437918.6626500101</v>
      </c>
      <c r="AP62" s="445">
        <f t="shared" si="35"/>
        <v>1500598.5574890499</v>
      </c>
      <c r="AQ62" s="338">
        <f t="shared" si="22"/>
        <v>4.4000000000000004</v>
      </c>
      <c r="AR62" s="445">
        <f t="shared" si="36"/>
        <v>1440155.5264256001</v>
      </c>
      <c r="AS62" s="445">
        <f t="shared" si="36"/>
        <v>1502874.3767200499</v>
      </c>
      <c r="AT62" s="448">
        <f t="shared" si="24"/>
        <v>4.4000000000000004</v>
      </c>
      <c r="AU62" s="494"/>
      <c r="AV62" s="499"/>
      <c r="AW62" s="498"/>
    </row>
    <row r="63" spans="1:49" s="502" customFormat="1" ht="20.100000000000001" customHeight="1" x14ac:dyDescent="0.3">
      <c r="A63" s="459"/>
      <c r="B63" s="198"/>
      <c r="C63" s="441"/>
      <c r="D63" s="440"/>
      <c r="E63" s="198"/>
      <c r="F63" s="441"/>
      <c r="G63" s="440"/>
      <c r="H63" s="441"/>
      <c r="I63" s="441"/>
      <c r="J63" s="440"/>
      <c r="K63" s="198"/>
      <c r="L63" s="441"/>
      <c r="M63" s="440"/>
      <c r="N63" s="198"/>
      <c r="O63" s="441"/>
      <c r="P63" s="449"/>
      <c r="Q63" s="198"/>
      <c r="R63" s="441"/>
      <c r="S63" s="440"/>
      <c r="T63" s="198"/>
      <c r="U63" s="441"/>
      <c r="V63" s="440"/>
      <c r="W63" s="198"/>
      <c r="X63" s="441"/>
      <c r="Y63" s="440"/>
      <c r="Z63" s="272"/>
      <c r="AA63" s="442"/>
      <c r="AB63" s="440"/>
      <c r="AC63" s="198"/>
      <c r="AD63" s="441"/>
      <c r="AE63" s="440"/>
      <c r="AF63" s="198"/>
      <c r="AG63" s="441"/>
      <c r="AH63" s="440"/>
      <c r="AI63" s="198"/>
      <c r="AJ63" s="441"/>
      <c r="AK63" s="440"/>
      <c r="AL63" s="198"/>
      <c r="AM63" s="441"/>
      <c r="AN63" s="440"/>
      <c r="AO63" s="450"/>
      <c r="AP63" s="450"/>
      <c r="AQ63" s="440"/>
      <c r="AR63" s="450"/>
      <c r="AS63" s="450"/>
      <c r="AT63" s="451"/>
      <c r="AU63" s="500"/>
      <c r="AV63" s="500"/>
      <c r="AW63" s="501"/>
    </row>
    <row r="64" spans="1:49" s="502" customFormat="1" ht="20.100000000000001" customHeight="1" x14ac:dyDescent="0.3">
      <c r="A64" s="459" t="s">
        <v>237</v>
      </c>
      <c r="B64" s="198">
        <v>20057.489000000001</v>
      </c>
      <c r="C64" s="441">
        <f>SUM(C29+C62)</f>
        <v>20826.934999999998</v>
      </c>
      <c r="D64" s="440">
        <f>IF(B64=0, "    ---- ", IF(ABS(ROUND(100/B64*C64-100,1))&lt;999,ROUND(100/B64*C64-100,1),IF(ROUND(100/B64*C64-100,1)&gt;999,999,-999)))</f>
        <v>3.8</v>
      </c>
      <c r="E64" s="198">
        <v>324140.08799999999</v>
      </c>
      <c r="F64" s="441">
        <f>SUM(F29+F62)</f>
        <v>319631.94500000001</v>
      </c>
      <c r="G64" s="440">
        <f t="shared" si="20"/>
        <v>-1.4</v>
      </c>
      <c r="H64" s="441"/>
      <c r="I64" s="441">
        <v>9553.6353469400001</v>
      </c>
      <c r="J64" s="440" t="str">
        <f>IF(H64=0, "    ---- ", IF(ABS(ROUND(100/H64*I64-100,1))&lt;999,ROUND(100/H64*I64-100,1),IF(ROUND(100/H64*I64-100,1)&gt;999,999,-999)))</f>
        <v xml:space="preserve">    ---- </v>
      </c>
      <c r="K64" s="198">
        <v>5520.1480000000001</v>
      </c>
      <c r="L64" s="441">
        <f>SUM(L29+L62)</f>
        <v>6024.1</v>
      </c>
      <c r="M64" s="440">
        <f>IF(K64=0, "    ---- ", IF(ABS(ROUND(100/K64*L64-100,1))&lt;999,ROUND(100/K64*L64-100,1),IF(ROUND(100/K64*L64-100,1)&gt;999,999,-999)))</f>
        <v>9.1</v>
      </c>
      <c r="N64" s="198">
        <v>35085.899999999994</v>
      </c>
      <c r="O64" s="441">
        <f>SUM(O29+O62)</f>
        <v>34956.200000000004</v>
      </c>
      <c r="P64" s="449">
        <f>IF(N64=0, "    ---- ", IF(ABS(ROUND(100/N64*O64-100,1))&lt;999,ROUND(100/N64*O64-100,1),IF(ROUND(100/N64*O64-100,1)&gt;999,999,-999)))</f>
        <v>-0.4</v>
      </c>
      <c r="Q64" s="198">
        <v>145.92903175999999</v>
      </c>
      <c r="R64" s="441">
        <f>SUM(R29+R62)</f>
        <v>149.58546472</v>
      </c>
      <c r="S64" s="440">
        <f>IF(Q64=0, "    ---- ", IF(ABS(ROUND(100/Q64*R64-100,1))&lt;999,ROUND(100/Q64*R64-100,1),IF(ROUND(100/Q64*R64-100,1)&gt;999,999,-999)))</f>
        <v>2.5</v>
      </c>
      <c r="T64" s="198">
        <v>573857.47327243001</v>
      </c>
      <c r="U64" s="441">
        <v>618800.65435415006</v>
      </c>
      <c r="V64" s="440">
        <f>IF(T64=0, "    ---- ", IF(ABS(ROUND(100/T64*U64-100,1))&lt;999,ROUND(100/T64*U64-100,1),IF(ROUND(100/T64*U64-100,1)&gt;999,999,-999)))</f>
        <v>7.8</v>
      </c>
      <c r="W64" s="198">
        <f>SUM(W29+W62)</f>
        <v>6216.9</v>
      </c>
      <c r="X64" s="441">
        <f>SUM(X29+X62)</f>
        <v>6984.1</v>
      </c>
      <c r="Y64" s="440">
        <f>IF(W64=0, "    ---- ", IF(ABS(ROUND(100/W64*X64-100,1))&lt;999,ROUND(100/W64*X64-100,1),IF(ROUND(100/W64*X64-100,1)&gt;999,999,-999)))</f>
        <v>12.3</v>
      </c>
      <c r="Z64" s="442">
        <f>SUM(Z29+Z62)</f>
        <v>127276.22186850992</v>
      </c>
      <c r="AA64" s="442">
        <f>SUM(AA29+AA62)</f>
        <v>134446.71999802999</v>
      </c>
      <c r="AB64" s="440">
        <f t="shared" si="25"/>
        <v>5.6</v>
      </c>
      <c r="AC64" s="198">
        <v>98875</v>
      </c>
      <c r="AD64" s="441">
        <f>SUM(AD29+AD62)</f>
        <v>100304</v>
      </c>
      <c r="AE64" s="440">
        <f>IF(AC64=0, "    ---- ", IF(ABS(ROUND(100/AC64*AD64-100,1))&lt;999,ROUND(100/AC64*AD64-100,1),IF(ROUND(100/AC64*AD64-100,1)&gt;999,999,-999)))</f>
        <v>1.4</v>
      </c>
      <c r="AF64" s="198">
        <v>2304.0107393899998</v>
      </c>
      <c r="AG64" s="441">
        <f>SUM(AG29+AG62)</f>
        <v>2356.3565215699996</v>
      </c>
      <c r="AH64" s="440">
        <f>IF(AF64=0, "    ---- ", IF(ABS(ROUND(100/AF64*AG64-100,1))&lt;999,ROUND(100/AF64*AG64-100,1),IF(ROUND(100/AF64*AG64-100,1)&gt;999,999,-999)))</f>
        <v>2.2999999999999998</v>
      </c>
      <c r="AI64" s="198">
        <v>62126.252</v>
      </c>
      <c r="AJ64" s="441">
        <f>SUM(AJ29+AJ62)</f>
        <v>60798.855000000003</v>
      </c>
      <c r="AK64" s="440">
        <f t="shared" si="27"/>
        <v>-2.1</v>
      </c>
      <c r="AL64" s="198">
        <v>328405.39999999997</v>
      </c>
      <c r="AM64" s="441">
        <f>SUM(AM29+AM62)</f>
        <v>350265</v>
      </c>
      <c r="AN64" s="440">
        <f t="shared" si="28"/>
        <v>6.7</v>
      </c>
      <c r="AO64" s="452">
        <f>B64+E64+H64+K64+N64+T64+W64+Z64+AC64+AI64+AL64</f>
        <v>1581560.87214094</v>
      </c>
      <c r="AP64" s="452">
        <f>C64+F64+I64+L64+O64+U64+X64+AA64+AD64+AJ64+AM64</f>
        <v>1662592.14469912</v>
      </c>
      <c r="AQ64" s="440">
        <f t="shared" si="22"/>
        <v>5.0999999999999996</v>
      </c>
      <c r="AR64" s="452">
        <f>B64+E64+H64+K64+N64+Q64+T64+W64+Z64+AC64+AF64+AI64+AL64</f>
        <v>1584010.8119120901</v>
      </c>
      <c r="AS64" s="452">
        <f>C64+F64+I64+L64+O64+R64+U64+X64+AA64+AD64+AG64+AJ64+AM64</f>
        <v>1665098.08668541</v>
      </c>
      <c r="AT64" s="451">
        <f t="shared" si="24"/>
        <v>5.0999999999999996</v>
      </c>
      <c r="AU64" s="500"/>
      <c r="AV64" s="500"/>
      <c r="AW64" s="498"/>
    </row>
    <row r="65" spans="1:49" s="467" customFormat="1" ht="20.100000000000001" customHeight="1" x14ac:dyDescent="0.3">
      <c r="A65" s="463"/>
      <c r="B65" s="196"/>
      <c r="C65" s="447"/>
      <c r="D65" s="338"/>
      <c r="E65" s="196"/>
      <c r="F65" s="447"/>
      <c r="G65" s="338"/>
      <c r="H65" s="447"/>
      <c r="I65" s="447"/>
      <c r="J65" s="338"/>
      <c r="K65" s="196"/>
      <c r="L65" s="447"/>
      <c r="M65" s="338"/>
      <c r="N65" s="196"/>
      <c r="O65" s="447"/>
      <c r="P65" s="437"/>
      <c r="Q65" s="196"/>
      <c r="R65" s="447"/>
      <c r="S65" s="338"/>
      <c r="T65" s="196"/>
      <c r="U65" s="447"/>
      <c r="V65" s="338"/>
      <c r="W65" s="196"/>
      <c r="X65" s="447"/>
      <c r="Y65" s="338"/>
      <c r="Z65" s="672"/>
      <c r="AA65" s="444"/>
      <c r="AB65" s="338"/>
      <c r="AC65" s="196"/>
      <c r="AD65" s="447"/>
      <c r="AE65" s="338"/>
      <c r="AF65" s="196"/>
      <c r="AG65" s="447"/>
      <c r="AH65" s="338"/>
      <c r="AI65" s="196"/>
      <c r="AJ65" s="447"/>
      <c r="AK65" s="338"/>
      <c r="AL65" s="196"/>
      <c r="AM65" s="447"/>
      <c r="AN65" s="338"/>
      <c r="AO65" s="439"/>
      <c r="AP65" s="439"/>
      <c r="AQ65" s="338"/>
      <c r="AR65" s="439"/>
      <c r="AS65" s="439"/>
      <c r="AT65" s="448"/>
      <c r="AU65" s="494"/>
      <c r="AV65" s="494"/>
      <c r="AW65" s="498"/>
    </row>
    <row r="66" spans="1:49" s="467" customFormat="1" ht="20.100000000000001" customHeight="1" x14ac:dyDescent="0.3">
      <c r="A66" s="459" t="s">
        <v>238</v>
      </c>
      <c r="B66" s="196"/>
      <c r="C66" s="447"/>
      <c r="D66" s="338"/>
      <c r="E66" s="196"/>
      <c r="F66" s="447"/>
      <c r="G66" s="338"/>
      <c r="H66" s="447"/>
      <c r="I66" s="447"/>
      <c r="J66" s="338"/>
      <c r="K66" s="196"/>
      <c r="L66" s="447"/>
      <c r="M66" s="338"/>
      <c r="N66" s="196"/>
      <c r="O66" s="447"/>
      <c r="P66" s="437"/>
      <c r="Q66" s="196"/>
      <c r="R66" s="447"/>
      <c r="S66" s="338"/>
      <c r="T66" s="196"/>
      <c r="U66" s="447"/>
      <c r="V66" s="338"/>
      <c r="W66" s="196"/>
      <c r="X66" s="447"/>
      <c r="Y66" s="338"/>
      <c r="Z66" s="672"/>
      <c r="AA66" s="444"/>
      <c r="AB66" s="338"/>
      <c r="AC66" s="196"/>
      <c r="AD66" s="447"/>
      <c r="AE66" s="338"/>
      <c r="AF66" s="196"/>
      <c r="AG66" s="447"/>
      <c r="AH66" s="338"/>
      <c r="AI66" s="196"/>
      <c r="AJ66" s="447"/>
      <c r="AK66" s="338"/>
      <c r="AL66" s="196"/>
      <c r="AM66" s="447"/>
      <c r="AN66" s="338"/>
      <c r="AO66" s="439"/>
      <c r="AP66" s="439"/>
      <c r="AQ66" s="338"/>
      <c r="AR66" s="439"/>
      <c r="AS66" s="439"/>
      <c r="AT66" s="448"/>
      <c r="AU66" s="494"/>
      <c r="AV66" s="494"/>
      <c r="AW66" s="498"/>
    </row>
    <row r="67" spans="1:49" s="467" customFormat="1" ht="20.100000000000001" customHeight="1" x14ac:dyDescent="0.3">
      <c r="A67" s="459"/>
      <c r="B67" s="196"/>
      <c r="C67" s="447"/>
      <c r="D67" s="338"/>
      <c r="E67" s="196"/>
      <c r="F67" s="447"/>
      <c r="G67" s="338"/>
      <c r="H67" s="447"/>
      <c r="I67" s="447"/>
      <c r="J67" s="338"/>
      <c r="K67" s="196"/>
      <c r="L67" s="447"/>
      <c r="M67" s="338"/>
      <c r="N67" s="196"/>
      <c r="O67" s="447"/>
      <c r="P67" s="437"/>
      <c r="Q67" s="196"/>
      <c r="R67" s="447"/>
      <c r="S67" s="338"/>
      <c r="T67" s="196"/>
      <c r="U67" s="447"/>
      <c r="V67" s="338"/>
      <c r="W67" s="196"/>
      <c r="X67" s="447"/>
      <c r="Y67" s="338"/>
      <c r="Z67" s="672"/>
      <c r="AA67" s="444"/>
      <c r="AB67" s="338"/>
      <c r="AC67" s="196"/>
      <c r="AD67" s="447"/>
      <c r="AE67" s="338"/>
      <c r="AF67" s="196"/>
      <c r="AG67" s="447"/>
      <c r="AH67" s="338"/>
      <c r="AI67" s="196"/>
      <c r="AJ67" s="447"/>
      <c r="AK67" s="338"/>
      <c r="AL67" s="196"/>
      <c r="AM67" s="447"/>
      <c r="AN67" s="338"/>
      <c r="AO67" s="439"/>
      <c r="AP67" s="439"/>
      <c r="AQ67" s="338"/>
      <c r="AR67" s="439"/>
      <c r="AS67" s="439"/>
      <c r="AT67" s="448"/>
      <c r="AU67" s="494"/>
      <c r="AV67" s="494"/>
      <c r="AW67" s="498"/>
    </row>
    <row r="68" spans="1:49" s="467" customFormat="1" ht="20.100000000000001" customHeight="1" x14ac:dyDescent="0.3">
      <c r="A68" s="461" t="s">
        <v>239</v>
      </c>
      <c r="B68" s="196">
        <v>141.16</v>
      </c>
      <c r="C68" s="447">
        <v>406</v>
      </c>
      <c r="D68" s="338">
        <f>IF(B68=0, "    ---- ", IF(ABS(ROUND(100/B68*C68-100,1))&lt;999,ROUND(100/B68*C68-100,1),IF(ROUND(100/B68*C68-100,1)&gt;999,999,-999)))</f>
        <v>187.6</v>
      </c>
      <c r="E68" s="196">
        <v>7765.924</v>
      </c>
      <c r="F68" s="447">
        <v>7657.0529999999999</v>
      </c>
      <c r="G68" s="338">
        <f t="shared" si="20"/>
        <v>-1.4</v>
      </c>
      <c r="H68" s="447"/>
      <c r="I68" s="447">
        <v>1000.0999999999999</v>
      </c>
      <c r="J68" s="338" t="str">
        <f>IF(H68=0, "    ---- ", IF(ABS(ROUND(100/H68*I68-100,1))&lt;999,ROUND(100/H68*I68-100,1),IF(ROUND(100/H68*I68-100,1)&gt;999,999,-999)))</f>
        <v xml:space="preserve">    ---- </v>
      </c>
      <c r="K68" s="196">
        <v>210</v>
      </c>
      <c r="L68" s="447">
        <v>210</v>
      </c>
      <c r="M68" s="338">
        <f>IF(K68=0, "    ---- ", IF(ABS(ROUND(100/K68*L68-100,1))&lt;999,ROUND(100/K68*L68-100,1),IF(ROUND(100/K68*L68-100,1)&gt;999,999,-999)))</f>
        <v>0</v>
      </c>
      <c r="N68" s="196">
        <v>120.3</v>
      </c>
      <c r="O68" s="447">
        <v>121.6</v>
      </c>
      <c r="P68" s="437">
        <f>IF(N68=0, "    ---- ", IF(ABS(ROUND(100/N68*O68-100,1))&lt;999,ROUND(100/N68*O68-100,1),IF(ROUND(100/N68*O68-100,1)&gt;999,999,-999)))</f>
        <v>1.1000000000000001</v>
      </c>
      <c r="Q68" s="196">
        <v>5</v>
      </c>
      <c r="R68" s="447">
        <v>5</v>
      </c>
      <c r="S68" s="338">
        <f>IF(Q68=0, "    ---- ", IF(ABS(ROUND(100/Q68*R68-100,1))&lt;999,ROUND(100/Q68*R68-100,1),IF(ROUND(100/Q68*R68-100,1)&gt;999,999,-999)))</f>
        <v>0</v>
      </c>
      <c r="T68" s="196">
        <v>14545.030070000001</v>
      </c>
      <c r="U68" s="447">
        <v>16307.474011</v>
      </c>
      <c r="V68" s="338">
        <f t="shared" ref="V68:V79" si="38">IF(T68=0, "    ---- ", IF(ABS(ROUND(100/T68*U68-100,1))&lt;999,ROUND(100/T68*U68-100,1),IF(ROUND(100/T68*U68-100,1)&gt;999,999,-999)))</f>
        <v>12.1</v>
      </c>
      <c r="W68" s="196">
        <v>741.3</v>
      </c>
      <c r="X68" s="447">
        <v>841.3</v>
      </c>
      <c r="Y68" s="338">
        <f>IF(W68=0, "    ---- ", IF(ABS(ROUND(100/W68*X68-100,1))&lt;999,ROUND(100/W68*X68-100,1),IF(ROUND(100/W68*X68-100,1)&gt;999,999,-999)))</f>
        <v>13.5</v>
      </c>
      <c r="Z68" s="672">
        <v>1126.76</v>
      </c>
      <c r="AA68" s="444">
        <v>1126.76</v>
      </c>
      <c r="AB68" s="338">
        <f t="shared" si="25"/>
        <v>0</v>
      </c>
      <c r="AC68" s="196">
        <v>1430</v>
      </c>
      <c r="AD68" s="447">
        <v>1430</v>
      </c>
      <c r="AE68" s="338">
        <f>IF(AC68=0, "    ---- ", IF(ABS(ROUND(100/AC68*AD68-100,1))&lt;999,ROUND(100/AC68*AD68-100,1),IF(ROUND(100/AC68*AD68-100,1)&gt;999,999,-999)))</f>
        <v>0</v>
      </c>
      <c r="AF68" s="196">
        <v>48.519831859999996</v>
      </c>
      <c r="AG68" s="447">
        <v>48.519831859999996</v>
      </c>
      <c r="AH68" s="338">
        <f>IF(AF68=0, "    ---- ", IF(ABS(ROUND(100/AF68*AG68-100,1))&lt;999,ROUND(100/AF68*AG68-100,1),IF(ROUND(100/AF68*AG68-100,1)&gt;999,999,-999)))</f>
        <v>0</v>
      </c>
      <c r="AI68" s="196">
        <v>2702.741</v>
      </c>
      <c r="AJ68" s="447">
        <v>3350.7849999999999</v>
      </c>
      <c r="AK68" s="338">
        <f t="shared" si="27"/>
        <v>24</v>
      </c>
      <c r="AL68" s="196">
        <v>13335</v>
      </c>
      <c r="AM68" s="447">
        <v>13850</v>
      </c>
      <c r="AN68" s="338">
        <f t="shared" si="28"/>
        <v>3.9</v>
      </c>
      <c r="AO68" s="445">
        <f t="shared" ref="AO68:AP71" si="39">B68+E68+H68+K68+N68+T68+W68+Z68+AC68+AI68+AL68</f>
        <v>42118.215069999998</v>
      </c>
      <c r="AP68" s="445">
        <f t="shared" si="39"/>
        <v>46301.072010999997</v>
      </c>
      <c r="AQ68" s="338">
        <f t="shared" si="22"/>
        <v>9.9</v>
      </c>
      <c r="AR68" s="445">
        <f t="shared" ref="AR68:AS71" si="40">B68+E68+H68+K68+N68+Q68+T68+W68+Z68+AC68+AF68+AI68+AL68</f>
        <v>42171.73490186</v>
      </c>
      <c r="AS68" s="445">
        <f t="shared" si="40"/>
        <v>46354.591842859998</v>
      </c>
      <c r="AT68" s="448">
        <f t="shared" si="24"/>
        <v>9.9</v>
      </c>
      <c r="AU68" s="494"/>
      <c r="AV68" s="494"/>
      <c r="AW68" s="498"/>
    </row>
    <row r="69" spans="1:49" s="467" customFormat="1" ht="20.100000000000001" customHeight="1" x14ac:dyDescent="0.3">
      <c r="A69" s="461" t="s">
        <v>240</v>
      </c>
      <c r="B69" s="196">
        <v>368.762</v>
      </c>
      <c r="C69" s="447">
        <v>516.298</v>
      </c>
      <c r="D69" s="338">
        <f>IF(B69=0, "    ---- ", IF(ABS(ROUND(100/B69*C69-100,1))&lt;999,ROUND(100/B69*C69-100,1),IF(ROUND(100/B69*C69-100,1)&gt;999,999,-999)))</f>
        <v>40</v>
      </c>
      <c r="E69" s="196">
        <v>14355.501</v>
      </c>
      <c r="F69" s="447">
        <v>14209.995000000001</v>
      </c>
      <c r="G69" s="338">
        <f t="shared" si="20"/>
        <v>-1</v>
      </c>
      <c r="H69" s="447"/>
      <c r="I69" s="447">
        <v>-171.73736573999997</v>
      </c>
      <c r="J69" s="338" t="str">
        <f>IF(H69=0, "    ---- ", IF(ABS(ROUND(100/H69*I69-100,1))&lt;999,ROUND(100/H69*I69-100,1),IF(ROUND(100/H69*I69-100,1)&gt;999,999,-999)))</f>
        <v xml:space="preserve">    ---- </v>
      </c>
      <c r="K69" s="196">
        <v>181.637</v>
      </c>
      <c r="L69" s="447">
        <v>303.947</v>
      </c>
      <c r="M69" s="338">
        <f>IF(K69=0, "    ---- ", IF(ABS(ROUND(100/K69*L69-100,1))&lt;999,ROUND(100/K69*L69-100,1),IF(ROUND(100/K69*L69-100,1)&gt;999,999,-999)))</f>
        <v>67.3</v>
      </c>
      <c r="N69" s="196">
        <v>673.2</v>
      </c>
      <c r="O69" s="447">
        <v>807.7</v>
      </c>
      <c r="P69" s="437">
        <f>IF(N69=0, "    ---- ", IF(ABS(ROUND(100/N69*O69-100,1))&lt;999,ROUND(100/N69*O69-100,1),IF(ROUND(100/N69*O69-100,1)&gt;999,999,-999)))</f>
        <v>20</v>
      </c>
      <c r="Q69" s="196">
        <v>87.315381290000005</v>
      </c>
      <c r="R69" s="447">
        <v>89.992793399999996</v>
      </c>
      <c r="S69" s="338">
        <f>IF(Q69=0, "    ---- ", IF(ABS(ROUND(100/Q69*R69-100,1))&lt;999,ROUND(100/Q69*R69-100,1),IF(ROUND(100/Q69*R69-100,1)&gt;999,999,-999)))</f>
        <v>3.1</v>
      </c>
      <c r="T69" s="196">
        <v>19897.797849080001</v>
      </c>
      <c r="U69" s="447">
        <v>20507.28352967</v>
      </c>
      <c r="V69" s="338">
        <f t="shared" si="38"/>
        <v>3.1</v>
      </c>
      <c r="W69" s="196">
        <v>-240.6</v>
      </c>
      <c r="X69" s="447">
        <v>-267.2</v>
      </c>
      <c r="Y69" s="338">
        <f>IF(W69=0, "    ---- ", IF(ABS(ROUND(100/W69*X69-100,1))&lt;999,ROUND(100/W69*X69-100,1),IF(ROUND(100/W69*X69-100,1)&gt;999,999,-999)))</f>
        <v>11.1</v>
      </c>
      <c r="Z69" s="672">
        <v>6458.48</v>
      </c>
      <c r="AA69" s="444">
        <v>6958.61</v>
      </c>
      <c r="AB69" s="338">
        <f t="shared" si="25"/>
        <v>7.7</v>
      </c>
      <c r="AC69" s="196">
        <v>7303</v>
      </c>
      <c r="AD69" s="447">
        <v>7928</v>
      </c>
      <c r="AE69" s="338">
        <f>IF(AC69=0, "    ---- ", IF(ABS(ROUND(100/AC69*AD69-100,1))&lt;999,ROUND(100/AC69*AD69-100,1),IF(ROUND(100/AC69*AD69-100,1)&gt;999,999,-999)))</f>
        <v>8.6</v>
      </c>
      <c r="AF69" s="196">
        <v>7.6333138699998297</v>
      </c>
      <c r="AG69" s="447">
        <v>17.699592229999801</v>
      </c>
      <c r="AH69" s="338">
        <f>IF(AF69=0, "    ---- ", IF(ABS(ROUND(100/AF69*AG69-100,1))&lt;999,ROUND(100/AF69*AG69-100,1),IF(ROUND(100/AF69*AG69-100,1)&gt;999,999,-999)))</f>
        <v>131.9</v>
      </c>
      <c r="AI69" s="196">
        <v>1652.1780000000001</v>
      </c>
      <c r="AJ69" s="447">
        <v>1565.7090000000001</v>
      </c>
      <c r="AK69" s="338">
        <f t="shared" si="27"/>
        <v>-5.2</v>
      </c>
      <c r="AL69" s="196">
        <v>12191</v>
      </c>
      <c r="AM69" s="447">
        <v>11819</v>
      </c>
      <c r="AN69" s="338">
        <f t="shared" si="28"/>
        <v>-3.1</v>
      </c>
      <c r="AO69" s="445">
        <f t="shared" si="39"/>
        <v>62840.955849080012</v>
      </c>
      <c r="AP69" s="445">
        <f t="shared" si="39"/>
        <v>64177.605163930006</v>
      </c>
      <c r="AQ69" s="338">
        <f t="shared" si="22"/>
        <v>2.1</v>
      </c>
      <c r="AR69" s="445">
        <f t="shared" si="40"/>
        <v>62935.904544240009</v>
      </c>
      <c r="AS69" s="445">
        <f t="shared" si="40"/>
        <v>64285.297549560004</v>
      </c>
      <c r="AT69" s="448">
        <f t="shared" si="24"/>
        <v>2.1</v>
      </c>
      <c r="AU69" s="494"/>
      <c r="AV69" s="494"/>
      <c r="AW69" s="498"/>
    </row>
    <row r="70" spans="1:49" s="467" customFormat="1" ht="20.100000000000001" customHeight="1" x14ac:dyDescent="0.3">
      <c r="A70" s="461" t="s">
        <v>241</v>
      </c>
      <c r="B70" s="196">
        <v>3.4529999999999998</v>
      </c>
      <c r="C70" s="447">
        <v>7.9089999999999998</v>
      </c>
      <c r="D70" s="338">
        <f>IF(B70=0, "    ---- ", IF(ABS(ROUND(100/B70*C70-100,1))&lt;999,ROUND(100/B70*C70-100,1),IF(ROUND(100/B70*C70-100,1)&gt;999,999,-999)))</f>
        <v>129</v>
      </c>
      <c r="E70" s="196">
        <v>600.71199999999999</v>
      </c>
      <c r="F70" s="447">
        <v>715.149</v>
      </c>
      <c r="G70" s="338">
        <f>IF(E70=0, "    ---- ", IF(ABS(ROUND(100/E70*F70-100,1))&lt;999,ROUND(100/E70*F70-100,1),IF(ROUND(100/E70*F70-100,1)&gt;999,999,-999)))</f>
        <v>19.100000000000001</v>
      </c>
      <c r="H70" s="447"/>
      <c r="I70" s="447"/>
      <c r="J70" s="338"/>
      <c r="K70" s="196">
        <v>65.844999999999999</v>
      </c>
      <c r="L70" s="447">
        <v>75.566999999999993</v>
      </c>
      <c r="M70" s="338">
        <f>IF(K70=0, "    ---- ", IF(ABS(ROUND(100/K70*L70-100,1))&lt;999,ROUND(100/K70*L70-100,1),IF(ROUND(100/K70*L70-100,1)&gt;999,999,-999)))</f>
        <v>14.8</v>
      </c>
      <c r="N70" s="196">
        <v>15.3</v>
      </c>
      <c r="O70" s="447">
        <v>38</v>
      </c>
      <c r="P70" s="338">
        <f>IF(N70=0, "    ---- ", IF(ABS(ROUND(100/N70*O70-100,1))&lt;999,ROUND(100/N70*O70-100,1),IF(ROUND(100/N70*O70-100,1)&gt;999,999,-999)))</f>
        <v>148.4</v>
      </c>
      <c r="Q70" s="196"/>
      <c r="R70" s="447"/>
      <c r="S70" s="338"/>
      <c r="T70" s="196">
        <v>4944.8378439999997</v>
      </c>
      <c r="U70" s="447">
        <v>5669.5692120000003</v>
      </c>
      <c r="V70" s="338">
        <f t="shared" si="38"/>
        <v>14.7</v>
      </c>
      <c r="W70" s="196">
        <v>3.4</v>
      </c>
      <c r="X70" s="447">
        <v>7.2</v>
      </c>
      <c r="Y70" s="338">
        <f>IF(W70=0, "    ---- ", IF(ABS(ROUND(100/W70*X70-100,1))&lt;999,ROUND(100/W70*X70-100,1),IF(ROUND(100/W70*X70-100,1)&gt;999,999,-999)))</f>
        <v>111.8</v>
      </c>
      <c r="Z70" s="672">
        <v>66.64</v>
      </c>
      <c r="AA70" s="444">
        <v>35.01</v>
      </c>
      <c r="AB70" s="338">
        <f t="shared" si="25"/>
        <v>-47.5</v>
      </c>
      <c r="AC70" s="196"/>
      <c r="AD70" s="447"/>
      <c r="AE70" s="338"/>
      <c r="AF70" s="196"/>
      <c r="AG70" s="447"/>
      <c r="AH70" s="338"/>
      <c r="AI70" s="196">
        <v>89.34</v>
      </c>
      <c r="AJ70" s="447">
        <v>126.782</v>
      </c>
      <c r="AK70" s="338">
        <f>IF(AI70=0, "    ---- ", IF(ABS(ROUND(100/AI70*AJ70-100,1))&lt;999,ROUND(100/AI70*AJ70-100,1),IF(ROUND(100/AI70*AJ70-100,1)&gt;999,999,-999)))</f>
        <v>41.9</v>
      </c>
      <c r="AL70" s="196">
        <v>295</v>
      </c>
      <c r="AM70" s="447">
        <v>442</v>
      </c>
      <c r="AN70" s="338">
        <f t="shared" si="28"/>
        <v>49.8</v>
      </c>
      <c r="AO70" s="445">
        <f t="shared" si="39"/>
        <v>6084.5278439999993</v>
      </c>
      <c r="AP70" s="445">
        <f t="shared" si="39"/>
        <v>7117.1862120000005</v>
      </c>
      <c r="AQ70" s="338">
        <f t="shared" si="22"/>
        <v>17</v>
      </c>
      <c r="AR70" s="445">
        <f t="shared" si="40"/>
        <v>6084.5278439999993</v>
      </c>
      <c r="AS70" s="445">
        <f t="shared" si="40"/>
        <v>7117.1862120000005</v>
      </c>
      <c r="AT70" s="448">
        <f t="shared" si="24"/>
        <v>17</v>
      </c>
      <c r="AU70" s="494"/>
      <c r="AV70" s="494"/>
      <c r="AW70" s="498"/>
    </row>
    <row r="71" spans="1:49" s="467" customFormat="1" ht="20.100000000000001" customHeight="1" x14ac:dyDescent="0.3">
      <c r="A71" s="461" t="s">
        <v>242</v>
      </c>
      <c r="B71" s="196"/>
      <c r="C71" s="447"/>
      <c r="D71" s="338"/>
      <c r="E71" s="196">
        <v>7000</v>
      </c>
      <c r="F71" s="447">
        <v>7000</v>
      </c>
      <c r="G71" s="338">
        <f t="shared" si="20"/>
        <v>0</v>
      </c>
      <c r="H71" s="447"/>
      <c r="I71" s="447">
        <v>300</v>
      </c>
      <c r="J71" s="338" t="str">
        <f>IF(H71=0, "    ---- ", IF(ABS(ROUND(100/H71*I71-100,1))&lt;999,ROUND(100/H71*I71-100,1),IF(ROUND(100/H71*I71-100,1)&gt;999,999,-999)))</f>
        <v xml:space="preserve">    ---- </v>
      </c>
      <c r="K71" s="196"/>
      <c r="L71" s="447"/>
      <c r="M71" s="338"/>
      <c r="N71" s="196">
        <v>299.7</v>
      </c>
      <c r="O71" s="447">
        <v>299.8</v>
      </c>
      <c r="P71" s="338">
        <f>IF(N71=0, "    ---- ", IF(ABS(ROUND(100/N71*O71-100,1))&lt;999,ROUND(100/N71*O71-100,1),IF(ROUND(100/N71*O71-100,1)&gt;999,999,-999)))</f>
        <v>0</v>
      </c>
      <c r="Q71" s="196"/>
      <c r="R71" s="447"/>
      <c r="S71" s="338"/>
      <c r="T71" s="196">
        <v>7635.3253456099992</v>
      </c>
      <c r="U71" s="447">
        <v>9411.9510161899998</v>
      </c>
      <c r="V71" s="338">
        <f t="shared" si="38"/>
        <v>23.3</v>
      </c>
      <c r="W71" s="196"/>
      <c r="X71" s="447"/>
      <c r="Y71" s="338"/>
      <c r="Z71" s="672">
        <v>2830</v>
      </c>
      <c r="AA71" s="444">
        <v>2830</v>
      </c>
      <c r="AB71" s="338">
        <f t="shared" si="25"/>
        <v>0</v>
      </c>
      <c r="AC71" s="196">
        <v>1240</v>
      </c>
      <c r="AD71" s="447">
        <v>1240</v>
      </c>
      <c r="AE71" s="338">
        <f>IF(AC71=0, "    ---- ", IF(ABS(ROUND(100/AC71*AD71-100,1))&lt;999,ROUND(100/AC71*AD71-100,1),IF(ROUND(100/AC71*AD71-100,1)&gt;999,999,-999)))</f>
        <v>0</v>
      </c>
      <c r="AF71" s="196"/>
      <c r="AG71" s="447"/>
      <c r="AH71" s="338"/>
      <c r="AI71" s="196">
        <v>1000</v>
      </c>
      <c r="AJ71" s="447">
        <v>1000</v>
      </c>
      <c r="AK71" s="338">
        <f t="shared" si="27"/>
        <v>0</v>
      </c>
      <c r="AL71" s="196">
        <v>7807</v>
      </c>
      <c r="AM71" s="447">
        <v>8797</v>
      </c>
      <c r="AN71" s="338">
        <f t="shared" si="28"/>
        <v>12.7</v>
      </c>
      <c r="AO71" s="445">
        <f t="shared" si="39"/>
        <v>27812.02534561</v>
      </c>
      <c r="AP71" s="445">
        <f t="shared" si="39"/>
        <v>30878.751016189999</v>
      </c>
      <c r="AQ71" s="338">
        <f t="shared" si="22"/>
        <v>11</v>
      </c>
      <c r="AR71" s="445">
        <f t="shared" si="40"/>
        <v>27812.02534561</v>
      </c>
      <c r="AS71" s="445">
        <f t="shared" si="40"/>
        <v>30878.751016189999</v>
      </c>
      <c r="AT71" s="448">
        <f t="shared" si="24"/>
        <v>11</v>
      </c>
      <c r="AU71" s="494"/>
      <c r="AW71" s="498"/>
    </row>
    <row r="72" spans="1:49" s="467" customFormat="1" ht="20.100000000000001" customHeight="1" x14ac:dyDescent="0.3">
      <c r="A72" s="461" t="s">
        <v>243</v>
      </c>
      <c r="B72" s="196"/>
      <c r="C72" s="447"/>
      <c r="D72" s="338"/>
      <c r="E72" s="196"/>
      <c r="F72" s="447"/>
      <c r="G72" s="338"/>
      <c r="H72" s="447"/>
      <c r="I72" s="447"/>
      <c r="J72" s="338"/>
      <c r="K72" s="196"/>
      <c r="L72" s="447"/>
      <c r="M72" s="338"/>
      <c r="N72" s="196"/>
      <c r="O72" s="447"/>
      <c r="P72" s="437"/>
      <c r="Q72" s="196"/>
      <c r="R72" s="447"/>
      <c r="S72" s="338"/>
      <c r="T72" s="196"/>
      <c r="U72" s="447"/>
      <c r="V72" s="338"/>
      <c r="W72" s="196"/>
      <c r="X72" s="447"/>
      <c r="Y72" s="338"/>
      <c r="Z72" s="672"/>
      <c r="AA72" s="444"/>
      <c r="AB72" s="338"/>
      <c r="AC72" s="196"/>
      <c r="AD72" s="447"/>
      <c r="AE72" s="338"/>
      <c r="AF72" s="196"/>
      <c r="AG72" s="447"/>
      <c r="AH72" s="338"/>
      <c r="AI72" s="196"/>
      <c r="AJ72" s="447"/>
      <c r="AK72" s="338"/>
      <c r="AL72" s="196"/>
      <c r="AM72" s="447"/>
      <c r="AN72" s="338"/>
      <c r="AO72" s="439"/>
      <c r="AP72" s="439"/>
      <c r="AQ72" s="338"/>
      <c r="AR72" s="439"/>
      <c r="AS72" s="439"/>
      <c r="AT72" s="448"/>
      <c r="AU72" s="494"/>
      <c r="AV72" s="494"/>
      <c r="AW72" s="498"/>
    </row>
    <row r="73" spans="1:49" s="467" customFormat="1" ht="20.100000000000001" customHeight="1" x14ac:dyDescent="0.3">
      <c r="A73" s="461" t="s">
        <v>400</v>
      </c>
      <c r="B73" s="196">
        <v>1067.0060000000001</v>
      </c>
      <c r="C73" s="447">
        <v>1060.7139999999999</v>
      </c>
      <c r="D73" s="338">
        <f>IF(B73=0, "    ---- ", IF(ABS(ROUND(100/B73*C73-100,1))&lt;999,ROUND(100/B73*C73-100,1),IF(ROUND(100/B73*C73-100,1)&gt;999,999,-999)))</f>
        <v>-0.6</v>
      </c>
      <c r="E73" s="196">
        <v>194897.391</v>
      </c>
      <c r="F73" s="447">
        <v>191488.198</v>
      </c>
      <c r="G73" s="338">
        <f t="shared" si="20"/>
        <v>-1.7</v>
      </c>
      <c r="H73" s="447"/>
      <c r="I73" s="447">
        <v>6469.3809221399997</v>
      </c>
      <c r="J73" s="338" t="str">
        <f>IF(H73=0, "    ---- ", IF(ABS(ROUND(100/H73*I73-100,1))&lt;999,ROUND(100/H73*I73-100,1),IF(ROUND(100/H73*I73-100,1)&gt;999,999,-999)))</f>
        <v xml:space="preserve">    ---- </v>
      </c>
      <c r="K73" s="196">
        <v>1404.425</v>
      </c>
      <c r="L73" s="447">
        <v>1497.1030000000001</v>
      </c>
      <c r="M73" s="338">
        <f>IF(K73=0, "    ---- ", IF(ABS(ROUND(100/K73*L73-100,1))&lt;999,ROUND(100/K73*L73-100,1),IF(ROUND(100/K73*L73-100,1)&gt;999,999,-999)))</f>
        <v>6.6</v>
      </c>
      <c r="N73" s="196">
        <v>6518.9</v>
      </c>
      <c r="O73" s="447">
        <v>7012.6</v>
      </c>
      <c r="P73" s="437">
        <f>IF(N73=0, "    ---- ", IF(ABS(ROUND(100/N73*O73-100,1))&lt;999,ROUND(100/N73*O73-100,1),IF(ROUND(100/N73*O73-100,1)&gt;999,999,-999)))</f>
        <v>7.6</v>
      </c>
      <c r="Q73" s="196">
        <v>46.736684629999999</v>
      </c>
      <c r="R73" s="447">
        <v>50.701849670000001</v>
      </c>
      <c r="S73" s="338">
        <f>IF(Q73=0, "    ---- ", IF(ABS(ROUND(100/Q73*R73-100,1))&lt;999,ROUND(100/Q73*R73-100,1),IF(ROUND(100/Q73*R73-100,1)&gt;999,999,-999)))</f>
        <v>8.5</v>
      </c>
      <c r="T73" s="196">
        <v>434772.74934271001</v>
      </c>
      <c r="U73" s="447">
        <v>460089.73457702005</v>
      </c>
      <c r="V73" s="338">
        <f t="shared" si="38"/>
        <v>5.8</v>
      </c>
      <c r="W73" s="196">
        <v>1573.6</v>
      </c>
      <c r="X73" s="447">
        <v>1640.4</v>
      </c>
      <c r="Y73" s="338">
        <f>IF(W73=0, "    ---- ", IF(ABS(ROUND(100/W73*X73-100,1))&lt;999,ROUND(100/W73*X73-100,1),IF(ROUND(100/W73*X73-100,1)&gt;999,999,-999)))</f>
        <v>4.2</v>
      </c>
      <c r="Z73" s="672">
        <v>46655.612000000001</v>
      </c>
      <c r="AA73" s="444">
        <v>47243.54</v>
      </c>
      <c r="AB73" s="338">
        <f t="shared" si="25"/>
        <v>1.3</v>
      </c>
      <c r="AC73" s="196">
        <v>64239</v>
      </c>
      <c r="AD73" s="447">
        <v>66985</v>
      </c>
      <c r="AE73" s="338">
        <f>IF(AC73=0, "    ---- ", IF(ABS(ROUND(100/AC73*AD73-100,1))&lt;999,ROUND(100/AC73*AD73-100,1),IF(ROUND(100/AC73*AD73-100,1)&gt;999,999,-999)))</f>
        <v>4.3</v>
      </c>
      <c r="AF73" s="196"/>
      <c r="AG73" s="447"/>
      <c r="AH73" s="338"/>
      <c r="AI73" s="196">
        <v>20929.569</v>
      </c>
      <c r="AJ73" s="447">
        <v>17683.335999999999</v>
      </c>
      <c r="AK73" s="338">
        <f t="shared" si="27"/>
        <v>-15.5</v>
      </c>
      <c r="AL73" s="196">
        <v>172847</v>
      </c>
      <c r="AM73" s="447">
        <v>173179</v>
      </c>
      <c r="AN73" s="338">
        <f t="shared" si="28"/>
        <v>0.2</v>
      </c>
      <c r="AO73" s="445">
        <f t="shared" ref="AO73:AP79" si="41">B73+E73+H73+K73+N73+T73+W73+Z73+AC73+AI73+AL73</f>
        <v>944905.25234270992</v>
      </c>
      <c r="AP73" s="445">
        <f t="shared" si="41"/>
        <v>974349.00649916008</v>
      </c>
      <c r="AQ73" s="338">
        <f t="shared" si="22"/>
        <v>3.1</v>
      </c>
      <c r="AR73" s="445">
        <f t="shared" ref="AR73:AS79" si="42">B73+E73+H73+K73+N73+Q73+T73+W73+Z73+AC73+AF73+AI73+AL73</f>
        <v>944951.98902733997</v>
      </c>
      <c r="AS73" s="445">
        <f t="shared" si="42"/>
        <v>974399.70834883011</v>
      </c>
      <c r="AT73" s="448">
        <f t="shared" si="24"/>
        <v>3.1</v>
      </c>
      <c r="AU73" s="494"/>
      <c r="AV73" s="494"/>
      <c r="AW73" s="498"/>
    </row>
    <row r="74" spans="1:49" s="467" customFormat="1" ht="20.100000000000001" customHeight="1" x14ac:dyDescent="0.3">
      <c r="A74" s="461" t="s">
        <v>244</v>
      </c>
      <c r="B74" s="196">
        <v>15.791</v>
      </c>
      <c r="C74" s="447">
        <v>25.564</v>
      </c>
      <c r="D74" s="338">
        <f>IF(B74=0, "    ---- ", IF(ABS(ROUND(100/B74*C74-100,1))&lt;999,ROUND(100/B74*C74-100,1),IF(ROUND(100/B74*C74-100,1)&gt;999,999,-999)))</f>
        <v>61.9</v>
      </c>
      <c r="E74" s="196">
        <v>7277.4459999999999</v>
      </c>
      <c r="F74" s="447">
        <v>6940.28</v>
      </c>
      <c r="G74" s="338">
        <f t="shared" si="20"/>
        <v>-4.5999999999999996</v>
      </c>
      <c r="H74" s="447"/>
      <c r="I74" s="447"/>
      <c r="J74" s="338"/>
      <c r="K74" s="196">
        <v>1.101</v>
      </c>
      <c r="L74" s="447">
        <v>7.64</v>
      </c>
      <c r="M74" s="338">
        <f>IF(K74=0, "    ---- ", IF(ABS(ROUND(100/K74*L74-100,1))&lt;999,ROUND(100/K74*L74-100,1),IF(ROUND(100/K74*L74-100,1)&gt;999,999,-999)))</f>
        <v>593.9</v>
      </c>
      <c r="N74" s="196">
        <v>242.8</v>
      </c>
      <c r="O74" s="447">
        <v>284</v>
      </c>
      <c r="P74" s="437">
        <f>IF(N74=0, "    ---- ", IF(ABS(ROUND(100/N74*O74-100,1))&lt;999,ROUND(100/N74*O74-100,1),IF(ROUND(100/N74*O74-100,1)&gt;999,999,-999)))</f>
        <v>17</v>
      </c>
      <c r="Q74" s="196"/>
      <c r="R74" s="700"/>
      <c r="S74" s="338"/>
      <c r="T74" s="196">
        <v>28206.462697999999</v>
      </c>
      <c r="U74" s="447">
        <v>36091.066907</v>
      </c>
      <c r="V74" s="338">
        <f t="shared" si="38"/>
        <v>28</v>
      </c>
      <c r="W74" s="196">
        <v>111.7</v>
      </c>
      <c r="X74" s="447">
        <v>110</v>
      </c>
      <c r="Y74" s="338">
        <f>IF(W74=0, "    ---- ", IF(ABS(ROUND(100/W74*X74-100,1))&lt;999,ROUND(100/W74*X74-100,1),IF(ROUND(100/W74*X74-100,1)&gt;999,999,-999)))</f>
        <v>-1.5</v>
      </c>
      <c r="Z74" s="672">
        <v>2051.5500000000002</v>
      </c>
      <c r="AA74" s="444">
        <v>2485.44</v>
      </c>
      <c r="AB74" s="338">
        <f t="shared" si="25"/>
        <v>21.1</v>
      </c>
      <c r="AC74" s="196">
        <v>7492</v>
      </c>
      <c r="AD74" s="447">
        <v>7241</v>
      </c>
      <c r="AE74" s="338">
        <f>IF(AC74=0, "    ---- ", IF(ABS(ROUND(100/AC74*AD74-100,1))&lt;999,ROUND(100/AC74*AD74-100,1),IF(ROUND(100/AC74*AD74-100,1)&gt;999,999,-999)))</f>
        <v>-3.4</v>
      </c>
      <c r="AF74" s="196"/>
      <c r="AG74" s="447"/>
      <c r="AH74" s="338"/>
      <c r="AI74" s="196">
        <v>982.40599999999995</v>
      </c>
      <c r="AJ74" s="447">
        <v>1333.191</v>
      </c>
      <c r="AK74" s="338">
        <f t="shared" si="27"/>
        <v>35.700000000000003</v>
      </c>
      <c r="AL74" s="196">
        <v>8239</v>
      </c>
      <c r="AM74" s="447">
        <v>8884</v>
      </c>
      <c r="AN74" s="338">
        <f t="shared" si="28"/>
        <v>7.8</v>
      </c>
      <c r="AO74" s="445">
        <f t="shared" si="41"/>
        <v>54620.256698000005</v>
      </c>
      <c r="AP74" s="445">
        <f t="shared" si="41"/>
        <v>63402.181906999998</v>
      </c>
      <c r="AQ74" s="338">
        <f t="shared" si="22"/>
        <v>16.100000000000001</v>
      </c>
      <c r="AR74" s="445">
        <f t="shared" si="42"/>
        <v>54620.256698000005</v>
      </c>
      <c r="AS74" s="445">
        <f t="shared" si="42"/>
        <v>63402.181906999998</v>
      </c>
      <c r="AT74" s="448">
        <f t="shared" si="24"/>
        <v>16.100000000000001</v>
      </c>
      <c r="AU74" s="494"/>
      <c r="AV74" s="494"/>
      <c r="AW74" s="498"/>
    </row>
    <row r="75" spans="1:49" s="467" customFormat="1" ht="20.100000000000001" customHeight="1" x14ac:dyDescent="0.3">
      <c r="A75" s="461" t="s">
        <v>245</v>
      </c>
      <c r="B75" s="196">
        <v>37.843000000000004</v>
      </c>
      <c r="C75" s="447">
        <v>24.056000000000001</v>
      </c>
      <c r="D75" s="338">
        <f>IF(B75=0, "    ---- ", IF(ABS(ROUND(100/B75*C75-100,1))&lt;999,ROUND(100/B75*C75-100,1),IF(ROUND(100/B75*C75-100,1)&gt;999,999,-999)))</f>
        <v>-36.4</v>
      </c>
      <c r="E75" s="196">
        <v>3647.3310000000001</v>
      </c>
      <c r="F75" s="447">
        <v>0</v>
      </c>
      <c r="G75" s="338">
        <f t="shared" si="20"/>
        <v>-100</v>
      </c>
      <c r="H75" s="447"/>
      <c r="I75" s="447"/>
      <c r="J75" s="338"/>
      <c r="K75" s="196">
        <v>3.7639999999999998</v>
      </c>
      <c r="L75" s="447"/>
      <c r="M75" s="338">
        <f>IF(K75=0, "    ---- ", IF(ABS(ROUND(100/K75*L75-100,1))&lt;999,ROUND(100/K75*L75-100,1),IF(ROUND(100/K75*L75-100,1)&gt;999,999,-999)))</f>
        <v>-100</v>
      </c>
      <c r="N75" s="196">
        <v>15.2</v>
      </c>
      <c r="O75" s="447">
        <v>0</v>
      </c>
      <c r="P75" s="437">
        <f>IF(N75=0, "    ---- ", IF(ABS(ROUND(100/N75*O75-100,1))&lt;999,ROUND(100/N75*O75-100,1),IF(ROUND(100/N75*O75-100,1)&gt;999,999,-999)))</f>
        <v>-100</v>
      </c>
      <c r="Q75" s="196"/>
      <c r="R75" s="447"/>
      <c r="S75" s="338"/>
      <c r="T75" s="196">
        <v>44313.762024000003</v>
      </c>
      <c r="U75" s="447">
        <v>31731.070842000001</v>
      </c>
      <c r="V75" s="338">
        <f t="shared" si="38"/>
        <v>-28.4</v>
      </c>
      <c r="W75" s="196">
        <v>13.1</v>
      </c>
      <c r="X75" s="447">
        <v>9.3000000000000007</v>
      </c>
      <c r="Y75" s="338">
        <f>IF(W75=0, "    ---- ", IF(ABS(ROUND(100/W75*X75-100,1))&lt;999,ROUND(100/W75*X75-100,1),IF(ROUND(100/W75*X75-100,1)&gt;999,999,-999)))</f>
        <v>-29</v>
      </c>
      <c r="Z75" s="672">
        <v>1512.32</v>
      </c>
      <c r="AA75" s="444">
        <v>725.38</v>
      </c>
      <c r="AB75" s="338">
        <f t="shared" si="25"/>
        <v>-52</v>
      </c>
      <c r="AC75" s="196">
        <v>12170</v>
      </c>
      <c r="AD75" s="447">
        <v>9577</v>
      </c>
      <c r="AE75" s="338">
        <f>IF(AC75=0, "    ---- ", IF(ABS(ROUND(100/AC75*AD75-100,1))&lt;999,ROUND(100/AC75*AD75-100,1),IF(ROUND(100/AC75*AD75-100,1)&gt;999,999,-999)))</f>
        <v>-21.3</v>
      </c>
      <c r="AF75" s="196"/>
      <c r="AG75" s="447"/>
      <c r="AH75" s="338"/>
      <c r="AI75" s="196">
        <v>1947.19</v>
      </c>
      <c r="AJ75" s="447">
        <v>1485.8630000000001</v>
      </c>
      <c r="AK75" s="338">
        <f t="shared" si="27"/>
        <v>-23.7</v>
      </c>
      <c r="AL75" s="196">
        <v>4312</v>
      </c>
      <c r="AM75" s="447">
        <v>5279</v>
      </c>
      <c r="AN75" s="338">
        <f t="shared" si="28"/>
        <v>22.4</v>
      </c>
      <c r="AO75" s="445">
        <f t="shared" si="41"/>
        <v>67972.510024000003</v>
      </c>
      <c r="AP75" s="445">
        <f t="shared" si="41"/>
        <v>48831.669842000003</v>
      </c>
      <c r="AQ75" s="338">
        <f t="shared" si="22"/>
        <v>-28.2</v>
      </c>
      <c r="AR75" s="445">
        <f t="shared" si="42"/>
        <v>67972.510024000003</v>
      </c>
      <c r="AS75" s="445">
        <f t="shared" si="42"/>
        <v>48831.669842000003</v>
      </c>
      <c r="AT75" s="448">
        <f t="shared" si="24"/>
        <v>-28.2</v>
      </c>
      <c r="AU75" s="494"/>
      <c r="AV75" s="494"/>
      <c r="AW75" s="498"/>
    </row>
    <row r="76" spans="1:49" s="467" customFormat="1" ht="20.100000000000001" customHeight="1" x14ac:dyDescent="0.3">
      <c r="A76" s="461" t="s">
        <v>401</v>
      </c>
      <c r="B76" s="196">
        <v>15.746</v>
      </c>
      <c r="C76" s="447">
        <v>18.466000000000001</v>
      </c>
      <c r="D76" s="338">
        <f>IF(B76=0, "    ---- ", IF(ABS(ROUND(100/B76*C76-100,1))&lt;999,ROUND(100/B76*C76-100,1),IF(ROUND(100/B76*C76-100,1)&gt;999,999,-999)))</f>
        <v>17.3</v>
      </c>
      <c r="E76" s="196">
        <v>750.54100000000005</v>
      </c>
      <c r="F76" s="447">
        <v>658.29399999999998</v>
      </c>
      <c r="G76" s="338">
        <f t="shared" si="20"/>
        <v>-12.3</v>
      </c>
      <c r="H76" s="447"/>
      <c r="I76" s="447"/>
      <c r="J76" s="338"/>
      <c r="K76" s="196"/>
      <c r="L76" s="447"/>
      <c r="M76" s="338"/>
      <c r="N76" s="196">
        <v>1.3</v>
      </c>
      <c r="O76" s="447">
        <v>1.3</v>
      </c>
      <c r="P76" s="437"/>
      <c r="Q76" s="196"/>
      <c r="R76" s="447"/>
      <c r="S76" s="338"/>
      <c r="T76" s="196">
        <v>12216.307993</v>
      </c>
      <c r="U76" s="447">
        <v>12245.082793</v>
      </c>
      <c r="V76" s="338">
        <f t="shared" si="38"/>
        <v>0.2</v>
      </c>
      <c r="W76" s="196">
        <v>30.5</v>
      </c>
      <c r="X76" s="447">
        <v>28.5</v>
      </c>
      <c r="Y76" s="338">
        <f>IF(W76=0, "    ---- ", IF(ABS(ROUND(100/W76*X76-100,1))&lt;999,ROUND(100/W76*X76-100,1),IF(ROUND(100/W76*X76-100,1)&gt;999,999,-999)))</f>
        <v>-6.6</v>
      </c>
      <c r="Z76" s="672">
        <v>654.91999999999996</v>
      </c>
      <c r="AA76" s="444">
        <v>730.13</v>
      </c>
      <c r="AB76" s="338">
        <f t="shared" si="25"/>
        <v>11.5</v>
      </c>
      <c r="AC76" s="196">
        <v>3195</v>
      </c>
      <c r="AD76" s="447">
        <v>1526</v>
      </c>
      <c r="AE76" s="338">
        <f t="shared" ref="AE76:AE78" si="43">IF(AC76=0, "    ---- ", IF(ABS(ROUND(100/AC76*AD76-100,1))&lt;999,ROUND(100/AC76*AD76-100,1),IF(ROUND(100/AC76*AD76-100,1)&gt;999,999,-999)))</f>
        <v>-52.2</v>
      </c>
      <c r="AF76" s="196"/>
      <c r="AG76" s="447"/>
      <c r="AH76" s="338"/>
      <c r="AI76" s="196">
        <v>187.113</v>
      </c>
      <c r="AJ76" s="447">
        <v>277.61</v>
      </c>
      <c r="AK76" s="338">
        <f t="shared" si="27"/>
        <v>48.4</v>
      </c>
      <c r="AL76" s="196">
        <v>2047</v>
      </c>
      <c r="AM76" s="447">
        <v>2145</v>
      </c>
      <c r="AN76" s="338">
        <f t="shared" si="28"/>
        <v>4.8</v>
      </c>
      <c r="AO76" s="445">
        <f t="shared" si="41"/>
        <v>19098.427993000001</v>
      </c>
      <c r="AP76" s="445">
        <f t="shared" si="41"/>
        <v>17630.382792999997</v>
      </c>
      <c r="AQ76" s="338">
        <f t="shared" si="22"/>
        <v>-7.7</v>
      </c>
      <c r="AR76" s="445">
        <f t="shared" si="42"/>
        <v>19098.427993000001</v>
      </c>
      <c r="AS76" s="445">
        <f t="shared" si="42"/>
        <v>17630.382792999997</v>
      </c>
      <c r="AT76" s="448">
        <f t="shared" si="24"/>
        <v>-7.7</v>
      </c>
      <c r="AU76" s="494"/>
      <c r="AV76" s="494"/>
      <c r="AW76" s="498"/>
    </row>
    <row r="77" spans="1:49" s="467" customFormat="1" ht="20.100000000000001" customHeight="1" x14ac:dyDescent="0.3">
      <c r="A77" s="461" t="s">
        <v>365</v>
      </c>
      <c r="B77" s="196">
        <v>50.161000000000001</v>
      </c>
      <c r="C77" s="447">
        <v>54.991</v>
      </c>
      <c r="D77" s="338">
        <f>IF(B77=0, "    ---- ", IF(ABS(ROUND(100/B77*C77-100,1))&lt;999,ROUND(100/B77*C77-100,1),IF(ROUND(100/B77*C77-100,1)&gt;999,999,-999)))</f>
        <v>9.6</v>
      </c>
      <c r="E77" s="196">
        <v>302.45400000000001</v>
      </c>
      <c r="F77" s="447">
        <v>437.65800000000002</v>
      </c>
      <c r="G77" s="338">
        <f t="shared" si="20"/>
        <v>44.7</v>
      </c>
      <c r="H77" s="447"/>
      <c r="I77" s="447"/>
      <c r="J77" s="338"/>
      <c r="K77" s="196">
        <v>28.236000000000001</v>
      </c>
      <c r="L77" s="447">
        <v>31.440999999999999</v>
      </c>
      <c r="M77" s="338">
        <f>IF(K77=0, "    ---- ", IF(ABS(ROUND(100/K77*L77-100,1))&lt;999,ROUND(100/K77*L77-100,1),IF(ROUND(100/K77*L77-100,1)&gt;999,999,-999)))</f>
        <v>11.4</v>
      </c>
      <c r="N77" s="196"/>
      <c r="O77" s="447"/>
      <c r="P77" s="437"/>
      <c r="Q77" s="196"/>
      <c r="R77" s="447"/>
      <c r="S77" s="338"/>
      <c r="T77" s="196"/>
      <c r="U77" s="447"/>
      <c r="V77" s="338"/>
      <c r="W77" s="196"/>
      <c r="X77" s="447"/>
      <c r="Y77" s="338"/>
      <c r="Z77" s="672"/>
      <c r="AA77" s="444"/>
      <c r="AB77" s="338"/>
      <c r="AC77" s="196">
        <v>445</v>
      </c>
      <c r="AD77" s="447">
        <v>430</v>
      </c>
      <c r="AE77" s="338">
        <f t="shared" si="43"/>
        <v>-3.4</v>
      </c>
      <c r="AF77" s="196"/>
      <c r="AG77" s="447"/>
      <c r="AH77" s="338"/>
      <c r="AI77" s="196"/>
      <c r="AJ77" s="447"/>
      <c r="AK77" s="338"/>
      <c r="AL77" s="196">
        <v>675</v>
      </c>
      <c r="AM77" s="447">
        <v>390</v>
      </c>
      <c r="AN77" s="338">
        <f t="shared" si="28"/>
        <v>-42.2</v>
      </c>
      <c r="AO77" s="445">
        <f t="shared" si="41"/>
        <v>1500.8510000000001</v>
      </c>
      <c r="AP77" s="445">
        <f t="shared" si="41"/>
        <v>1344.0900000000001</v>
      </c>
      <c r="AQ77" s="338">
        <f t="shared" si="22"/>
        <v>-10.4</v>
      </c>
      <c r="AR77" s="445">
        <f t="shared" si="42"/>
        <v>1500.8510000000001</v>
      </c>
      <c r="AS77" s="445">
        <f t="shared" si="42"/>
        <v>1344.0900000000001</v>
      </c>
      <c r="AT77" s="448">
        <f t="shared" si="24"/>
        <v>-10.4</v>
      </c>
      <c r="AU77" s="494"/>
      <c r="AV77" s="494"/>
      <c r="AW77" s="498"/>
    </row>
    <row r="78" spans="1:49" s="467" customFormat="1" ht="20.100000000000001" customHeight="1" x14ac:dyDescent="0.3">
      <c r="A78" s="461" t="s">
        <v>246</v>
      </c>
      <c r="B78" s="196"/>
      <c r="C78" s="447"/>
      <c r="D78" s="338"/>
      <c r="E78" s="196"/>
      <c r="F78" s="447"/>
      <c r="G78" s="338"/>
      <c r="H78" s="447"/>
      <c r="I78" s="447"/>
      <c r="J78" s="338"/>
      <c r="K78" s="196"/>
      <c r="L78" s="447"/>
      <c r="M78" s="338"/>
      <c r="N78" s="196">
        <v>20.3</v>
      </c>
      <c r="O78" s="447">
        <v>-41.5</v>
      </c>
      <c r="P78" s="338">
        <f>IF(N78=0, "    ---- ", IF(ABS(ROUND(100/N78*O78-100,1))&lt;999,ROUND(100/N78*O78-100,1),IF(ROUND(100/N78*O78-100,1)&gt;999,999,-999)))</f>
        <v>-304.39999999999998</v>
      </c>
      <c r="Q78" s="196"/>
      <c r="R78" s="447"/>
      <c r="S78" s="338"/>
      <c r="T78" s="196">
        <v>2088.448073</v>
      </c>
      <c r="U78" s="447">
        <v>99.103648000000007</v>
      </c>
      <c r="V78" s="338">
        <f t="shared" si="38"/>
        <v>-95.3</v>
      </c>
      <c r="W78" s="196">
        <v>4</v>
      </c>
      <c r="X78" s="447">
        <v>2</v>
      </c>
      <c r="Y78" s="338">
        <f>IF(W78=0, "    ---- ", IF(ABS(ROUND(100/W78*X78-100,1))&lt;999,ROUND(100/W78*X78-100,1),IF(ROUND(100/W78*X78-100,1)&gt;999,999,-999)))</f>
        <v>-50</v>
      </c>
      <c r="Z78" s="672"/>
      <c r="AA78" s="444"/>
      <c r="AB78" s="338"/>
      <c r="AC78" s="196">
        <v>50</v>
      </c>
      <c r="AD78" s="447">
        <v>2330</v>
      </c>
      <c r="AE78" s="338">
        <f t="shared" si="43"/>
        <v>999</v>
      </c>
      <c r="AF78" s="196"/>
      <c r="AG78" s="447"/>
      <c r="AH78" s="338"/>
      <c r="AI78" s="196">
        <v>4.2599488100001883</v>
      </c>
      <c r="AJ78" s="447">
        <v>-91.79024118999979</v>
      </c>
      <c r="AK78" s="338"/>
      <c r="AL78" s="196">
        <v>144</v>
      </c>
      <c r="AM78" s="447">
        <v>723</v>
      </c>
      <c r="AN78" s="338">
        <f t="shared" si="28"/>
        <v>402.1</v>
      </c>
      <c r="AO78" s="445">
        <f t="shared" si="41"/>
        <v>2311.0080218100002</v>
      </c>
      <c r="AP78" s="445">
        <f t="shared" si="41"/>
        <v>3020.8134068099998</v>
      </c>
      <c r="AQ78" s="338">
        <f t="shared" si="22"/>
        <v>30.7</v>
      </c>
      <c r="AR78" s="445">
        <f t="shared" si="42"/>
        <v>2311.0080218100002</v>
      </c>
      <c r="AS78" s="445">
        <f t="shared" si="42"/>
        <v>3020.8134068099998</v>
      </c>
      <c r="AT78" s="448">
        <f t="shared" si="24"/>
        <v>30.7</v>
      </c>
      <c r="AU78" s="494"/>
      <c r="AV78" s="494"/>
      <c r="AW78" s="498"/>
    </row>
    <row r="79" spans="1:49" s="467" customFormat="1" ht="20.100000000000001" customHeight="1" x14ac:dyDescent="0.3">
      <c r="A79" s="462" t="s">
        <v>247</v>
      </c>
      <c r="B79" s="196">
        <f>SUM(B73:B78)</f>
        <v>1186.5470000000003</v>
      </c>
      <c r="C79" s="447">
        <f>SUM(C73:C78)</f>
        <v>1183.7909999999999</v>
      </c>
      <c r="D79" s="338">
        <f>IF(B79=0, "    ---- ", IF(ABS(ROUND(100/B79*C79-100,1))&lt;999,ROUND(100/B79*C79-100,1),IF(ROUND(100/B79*C79-100,1)&gt;999,999,-999)))</f>
        <v>-0.2</v>
      </c>
      <c r="E79" s="196">
        <f>SUM(E73:E78)</f>
        <v>206875.163</v>
      </c>
      <c r="F79" s="447">
        <f>SUM(F73:F78)</f>
        <v>199524.43</v>
      </c>
      <c r="G79" s="338">
        <f t="shared" si="20"/>
        <v>-3.6</v>
      </c>
      <c r="H79" s="447"/>
      <c r="I79" s="447">
        <v>6469</v>
      </c>
      <c r="J79" s="338" t="str">
        <f>IF(H79=0, "    ---- ", IF(ABS(ROUND(100/H79*I79-100,1))&lt;999,ROUND(100/H79*I79-100,1),IF(ROUND(100/H79*I79-100,1)&gt;999,999,-999)))</f>
        <v xml:space="preserve">    ---- </v>
      </c>
      <c r="K79" s="196">
        <f>SUM(K73:K78)</f>
        <v>1437.5260000000001</v>
      </c>
      <c r="L79" s="447">
        <f>SUM(L73:L78)</f>
        <v>1536.1840000000002</v>
      </c>
      <c r="M79" s="338">
        <f>IF(K79=0, "    ---- ", IF(ABS(ROUND(100/K79*L79-100,1))&lt;999,ROUND(100/K79*L79-100,1),IF(ROUND(100/K79*L79-100,1)&gt;999,999,-999)))</f>
        <v>6.9</v>
      </c>
      <c r="N79" s="196">
        <f>SUM(N73:N78)</f>
        <v>6798.5</v>
      </c>
      <c r="O79" s="447">
        <f>SUM(O73:O78)</f>
        <v>7256.4000000000005</v>
      </c>
      <c r="P79" s="437">
        <f>IF(N79=0, "    ---- ", IF(ABS(ROUND(100/N79*O79-100,1))&lt;999,ROUND(100/N79*O79-100,1),IF(ROUND(100/N79*O79-100,1)&gt;999,999,-999)))</f>
        <v>6.7</v>
      </c>
      <c r="Q79" s="196">
        <f>SUM(Q73:Q78)</f>
        <v>46.736684629999999</v>
      </c>
      <c r="R79" s="447">
        <f>SUM(R73:R78)</f>
        <v>50.701849670000001</v>
      </c>
      <c r="S79" s="338">
        <f>IF(Q79=0, "    ---- ", IF(ABS(ROUND(100/Q79*R79-100,1))&lt;999,ROUND(100/Q79*R79-100,1),IF(ROUND(100/Q79*R79-100,1)&gt;999,999,-999)))</f>
        <v>8.5</v>
      </c>
      <c r="T79" s="196">
        <f>SUM(T73:T78)</f>
        <v>521597.73013071006</v>
      </c>
      <c r="U79" s="447">
        <v>540256.05876702012</v>
      </c>
      <c r="V79" s="338">
        <f t="shared" si="38"/>
        <v>3.6</v>
      </c>
      <c r="W79" s="196">
        <f>SUM(W73:W78)</f>
        <v>1732.8999999999999</v>
      </c>
      <c r="X79" s="447">
        <f>SUM(X73:X78)</f>
        <v>1790.2</v>
      </c>
      <c r="Y79" s="338">
        <f>IF(W79=0, "    ---- ", IF(ABS(ROUND(100/W79*X79-100,1))&lt;999,ROUND(100/W79*X79-100,1),IF(ROUND(100/W79*X79-100,1)&gt;999,999,-999)))</f>
        <v>3.3</v>
      </c>
      <c r="Z79" s="672">
        <f>SUM(Z73:Z78)</f>
        <v>50874.402000000002</v>
      </c>
      <c r="AA79" s="444">
        <f>SUM(AA73:AA78)</f>
        <v>51184.49</v>
      </c>
      <c r="AB79" s="338">
        <f t="shared" si="25"/>
        <v>0.6</v>
      </c>
      <c r="AC79" s="196">
        <f>SUM(AC73:AC78)</f>
        <v>87591</v>
      </c>
      <c r="AD79" s="447">
        <f>SUM(AD73:AD78)</f>
        <v>88089</v>
      </c>
      <c r="AE79" s="338">
        <f>IF(AC79=0, "    ---- ", IF(ABS(ROUND(100/AC79*AD79-100,1))&lt;999,ROUND(100/AC79*AD79-100,1),IF(ROUND(100/AC79*AD79-100,1)&gt;999,999,-999)))</f>
        <v>0.6</v>
      </c>
      <c r="AF79" s="196"/>
      <c r="AG79" s="447"/>
      <c r="AH79" s="338"/>
      <c r="AI79" s="196">
        <f>SUM(AI73:AI78)</f>
        <v>24050.537948809997</v>
      </c>
      <c r="AJ79" s="447">
        <f>SUM(AJ73:AJ78)</f>
        <v>20688.20975881</v>
      </c>
      <c r="AK79" s="338">
        <f t="shared" si="27"/>
        <v>-14</v>
      </c>
      <c r="AL79" s="196">
        <f>SUM(AL73:AL78)</f>
        <v>188264</v>
      </c>
      <c r="AM79" s="447">
        <f>SUM(AM73:AM78)</f>
        <v>190600</v>
      </c>
      <c r="AN79" s="338">
        <f t="shared" si="28"/>
        <v>1.2</v>
      </c>
      <c r="AO79" s="445">
        <f t="shared" si="41"/>
        <v>1090408.3060795201</v>
      </c>
      <c r="AP79" s="445">
        <f t="shared" si="41"/>
        <v>1108577.7635258301</v>
      </c>
      <c r="AQ79" s="338">
        <f t="shared" si="22"/>
        <v>1.7</v>
      </c>
      <c r="AR79" s="445">
        <f t="shared" si="42"/>
        <v>1090455.0427641501</v>
      </c>
      <c r="AS79" s="445">
        <f t="shared" si="42"/>
        <v>1108628.4653755</v>
      </c>
      <c r="AT79" s="448">
        <f t="shared" si="24"/>
        <v>1.7</v>
      </c>
      <c r="AU79" s="494"/>
      <c r="AV79" s="494"/>
      <c r="AW79" s="498"/>
    </row>
    <row r="80" spans="1:49" s="467" customFormat="1" ht="20.100000000000001" customHeight="1" x14ac:dyDescent="0.3">
      <c r="A80" s="461" t="s">
        <v>248</v>
      </c>
      <c r="B80" s="196"/>
      <c r="C80" s="447"/>
      <c r="D80" s="338"/>
      <c r="E80" s="196"/>
      <c r="F80" s="447"/>
      <c r="G80" s="338"/>
      <c r="H80" s="447"/>
      <c r="I80" s="447"/>
      <c r="J80" s="338"/>
      <c r="K80" s="196"/>
      <c r="L80" s="447"/>
      <c r="M80" s="338"/>
      <c r="N80" s="196"/>
      <c r="O80" s="447"/>
      <c r="P80" s="437"/>
      <c r="Q80" s="196"/>
      <c r="R80" s="447"/>
      <c r="S80" s="338"/>
      <c r="T80" s="196"/>
      <c r="U80" s="447"/>
      <c r="V80" s="338"/>
      <c r="W80" s="196"/>
      <c r="X80" s="447"/>
      <c r="Y80" s="338"/>
      <c r="Z80" s="672"/>
      <c r="AA80" s="444"/>
      <c r="AB80" s="338"/>
      <c r="AC80" s="196"/>
      <c r="AD80" s="447"/>
      <c r="AE80" s="338"/>
      <c r="AF80" s="196"/>
      <c r="AG80" s="447"/>
      <c r="AH80" s="338"/>
      <c r="AI80" s="196"/>
      <c r="AJ80" s="447"/>
      <c r="AK80" s="338"/>
      <c r="AL80" s="196"/>
      <c r="AM80" s="447"/>
      <c r="AN80" s="338"/>
      <c r="AO80" s="439"/>
      <c r="AP80" s="439"/>
      <c r="AQ80" s="338"/>
      <c r="AR80" s="439"/>
      <c r="AS80" s="439"/>
      <c r="AT80" s="448"/>
      <c r="AU80" s="494"/>
      <c r="AV80" s="494"/>
      <c r="AW80" s="498"/>
    </row>
    <row r="81" spans="1:49" s="467" customFormat="1" ht="20.100000000000001" customHeight="1" x14ac:dyDescent="0.3">
      <c r="A81" s="461" t="s">
        <v>402</v>
      </c>
      <c r="B81" s="196">
        <v>18168.047999999999</v>
      </c>
      <c r="C81" s="447">
        <v>18465.843000000001</v>
      </c>
      <c r="D81" s="338">
        <f>IF(B81=0, "    ---- ", IF(ABS(ROUND(100/B81*C81-100,1))&lt;999,ROUND(100/B81*C81-100,1),IF(ROUND(100/B81*C81-100,1)&gt;999,999,-999)))</f>
        <v>1.6</v>
      </c>
      <c r="E81" s="196">
        <v>84532.13</v>
      </c>
      <c r="F81" s="447">
        <v>84208.058000000005</v>
      </c>
      <c r="G81" s="338">
        <f t="shared" si="20"/>
        <v>-0.4</v>
      </c>
      <c r="H81" s="447"/>
      <c r="I81" s="447"/>
      <c r="J81" s="338"/>
      <c r="K81" s="196">
        <v>3631.1309999999999</v>
      </c>
      <c r="L81" s="447">
        <v>3863.942</v>
      </c>
      <c r="M81" s="338">
        <f>IF(K81=0, "    ---- ", IF(ABS(ROUND(100/K81*L81-100,1))&lt;999,ROUND(100/K81*L81-100,1),IF(ROUND(100/K81*L81-100,1)&gt;999,999,-999)))</f>
        <v>6.4</v>
      </c>
      <c r="N81" s="196">
        <v>26575.7</v>
      </c>
      <c r="O81" s="447">
        <v>25927.200000000001</v>
      </c>
      <c r="P81" s="437">
        <f>IF(N81=0, "    ---- ", IF(ABS(ROUND(100/N81*O81-100,1))&lt;999,ROUND(100/N81*O81-100,1),IF(ROUND(100/N81*O81-100,1)&gt;999,999,-999)))</f>
        <v>-2.4</v>
      </c>
      <c r="Q81" s="196"/>
      <c r="R81" s="447"/>
      <c r="S81" s="338"/>
      <c r="T81" s="196">
        <v>1942.5973611500001</v>
      </c>
      <c r="U81" s="447">
        <v>1547.42926515</v>
      </c>
      <c r="V81" s="338">
        <f t="shared" ref="V81:V91" si="44">IF(T81=0, "    ---- ", IF(ABS(ROUND(100/T81*U81-100,1))&lt;999,ROUND(100/T81*U81-100,1),IF(ROUND(100/T81*U81-100,1)&gt;999,999,-999)))</f>
        <v>-20.3</v>
      </c>
      <c r="W81" s="196">
        <v>3934.1</v>
      </c>
      <c r="X81" s="447">
        <v>4535.7</v>
      </c>
      <c r="Y81" s="338">
        <f>IF(W81=0, "    ---- ", IF(ABS(ROUND(100/W81*X81-100,1))&lt;999,ROUND(100/W81*X81-100,1),IF(ROUND(100/W81*X81-100,1)&gt;999,999,-999)))</f>
        <v>15.3</v>
      </c>
      <c r="Z81" s="672">
        <v>64970.07</v>
      </c>
      <c r="AA81" s="444">
        <v>70145.27</v>
      </c>
      <c r="AB81" s="338">
        <f t="shared" si="25"/>
        <v>8</v>
      </c>
      <c r="AC81" s="196"/>
      <c r="AD81" s="447"/>
      <c r="AE81" s="338"/>
      <c r="AF81" s="196">
        <v>2236.8637614700001</v>
      </c>
      <c r="AG81" s="447">
        <v>2269.6289066300001</v>
      </c>
      <c r="AH81" s="338">
        <f>IF(AF81=0, "    ---- ", IF(ABS(ROUND(100/AF81*AG81-100,1))&lt;999,ROUND(100/AF81*AG81-100,1),IF(ROUND(100/AF81*AG81-100,1)&gt;999,999,-999)))</f>
        <v>1.5</v>
      </c>
      <c r="AI81" s="196">
        <v>30278.267</v>
      </c>
      <c r="AJ81" s="447">
        <v>30999.038</v>
      </c>
      <c r="AK81" s="338">
        <f t="shared" si="27"/>
        <v>2.4</v>
      </c>
      <c r="AL81" s="196">
        <v>99920</v>
      </c>
      <c r="AM81" s="447">
        <v>105186</v>
      </c>
      <c r="AN81" s="338">
        <f t="shared" si="28"/>
        <v>5.3</v>
      </c>
      <c r="AO81" s="445">
        <f t="shared" ref="AO81:AP89" si="45">B81+E81+H81+K81+N81+T81+W81+Z81+AC81+AI81+AL81</f>
        <v>333952.04336114996</v>
      </c>
      <c r="AP81" s="445">
        <f t="shared" si="45"/>
        <v>344878.48026515002</v>
      </c>
      <c r="AQ81" s="338">
        <f t="shared" si="22"/>
        <v>3.3</v>
      </c>
      <c r="AR81" s="445">
        <f t="shared" ref="AR81:AS89" si="46">B81+E81+H81+K81+N81+Q81+T81+W81+Z81+AC81+AF81+AI81+AL81</f>
        <v>336188.90712262003</v>
      </c>
      <c r="AS81" s="445">
        <f t="shared" si="46"/>
        <v>347148.10917178006</v>
      </c>
      <c r="AT81" s="448">
        <f t="shared" si="24"/>
        <v>3.3</v>
      </c>
      <c r="AU81" s="494"/>
      <c r="AV81" s="494"/>
      <c r="AW81" s="498"/>
    </row>
    <row r="82" spans="1:49" s="467" customFormat="1" ht="20.100000000000001" customHeight="1" x14ac:dyDescent="0.3">
      <c r="A82" s="461" t="s">
        <v>403</v>
      </c>
      <c r="B82" s="196"/>
      <c r="C82" s="447"/>
      <c r="D82" s="338"/>
      <c r="E82" s="196"/>
      <c r="F82" s="447"/>
      <c r="G82" s="338"/>
      <c r="H82" s="447"/>
      <c r="I82" s="447"/>
      <c r="J82" s="338"/>
      <c r="K82" s="196"/>
      <c r="L82" s="447"/>
      <c r="M82" s="338"/>
      <c r="N82" s="196"/>
      <c r="O82" s="447"/>
      <c r="P82" s="338"/>
      <c r="Q82" s="196"/>
      <c r="R82" s="447"/>
      <c r="S82" s="338"/>
      <c r="T82" s="196">
        <v>99.874432999999996</v>
      </c>
      <c r="U82" s="447">
        <v>119.48741200000001</v>
      </c>
      <c r="V82" s="338">
        <f t="shared" si="44"/>
        <v>19.600000000000001</v>
      </c>
      <c r="W82" s="196"/>
      <c r="X82" s="447"/>
      <c r="Y82" s="338"/>
      <c r="Z82" s="672"/>
      <c r="AA82" s="444"/>
      <c r="AB82" s="338"/>
      <c r="AC82" s="196"/>
      <c r="AD82" s="447"/>
      <c r="AE82" s="338"/>
      <c r="AF82" s="196"/>
      <c r="AG82" s="447"/>
      <c r="AH82" s="338"/>
      <c r="AI82" s="196"/>
      <c r="AJ82" s="447"/>
      <c r="AK82" s="338"/>
      <c r="AL82" s="196"/>
      <c r="AM82" s="447"/>
      <c r="AN82" s="338"/>
      <c r="AO82" s="445">
        <f t="shared" si="45"/>
        <v>99.874432999999996</v>
      </c>
      <c r="AP82" s="445">
        <f t="shared" si="45"/>
        <v>119.48741200000001</v>
      </c>
      <c r="AQ82" s="338">
        <f t="shared" si="22"/>
        <v>19.600000000000001</v>
      </c>
      <c r="AR82" s="445">
        <f t="shared" si="46"/>
        <v>99.874432999999996</v>
      </c>
      <c r="AS82" s="445">
        <f t="shared" si="46"/>
        <v>119.48741200000001</v>
      </c>
      <c r="AT82" s="448">
        <f t="shared" si="24"/>
        <v>19.600000000000001</v>
      </c>
      <c r="AU82" s="494"/>
      <c r="AV82" s="494"/>
      <c r="AW82" s="498"/>
    </row>
    <row r="83" spans="1:49" s="467" customFormat="1" ht="20.100000000000001" customHeight="1" x14ac:dyDescent="0.3">
      <c r="A83" s="461" t="s">
        <v>404</v>
      </c>
      <c r="B83" s="618">
        <v>63.011000000000003</v>
      </c>
      <c r="C83" s="338">
        <v>60.427</v>
      </c>
      <c r="D83" s="338">
        <f>IF(B83=0, "    ---- ", IF(ABS(ROUND(100/B83*C83-100,1))&lt;999,ROUND(100/B83*C83-100,1),IF(ROUND(100/B83*C83-100,1)&gt;999,999,-999)))</f>
        <v>-4.0999999999999996</v>
      </c>
      <c r="E83" s="618">
        <v>660.298</v>
      </c>
      <c r="F83" s="338">
        <v>582.572</v>
      </c>
      <c r="G83" s="338">
        <f t="shared" si="20"/>
        <v>-11.8</v>
      </c>
      <c r="H83" s="338"/>
      <c r="I83" s="338"/>
      <c r="J83" s="338"/>
      <c r="K83" s="618"/>
      <c r="L83" s="338"/>
      <c r="M83" s="338"/>
      <c r="N83" s="618">
        <v>306.5</v>
      </c>
      <c r="O83" s="338">
        <v>279.89999999999998</v>
      </c>
      <c r="P83" s="338">
        <f>IF(N83=0, "    ---- ", IF(ABS(ROUND(100/N83*O83-100,1))&lt;999,ROUND(100/N83*O83-100,1),IF(ROUND(100/N83*O83-100,1)&gt;999,999,-999)))</f>
        <v>-8.6999999999999993</v>
      </c>
      <c r="Q83" s="618"/>
      <c r="R83" s="338"/>
      <c r="S83" s="338"/>
      <c r="T83" s="618">
        <v>379.41078299999998</v>
      </c>
      <c r="U83" s="338">
        <v>483.97599600000001</v>
      </c>
      <c r="V83" s="338">
        <f t="shared" si="44"/>
        <v>27.6</v>
      </c>
      <c r="W83" s="618">
        <v>16.600000000000001</v>
      </c>
      <c r="X83" s="338">
        <v>15.5</v>
      </c>
      <c r="Y83" s="338">
        <f>IF(W83=0, "    ---- ", IF(ABS(ROUND(100/W83*X83-100,1))&lt;999,ROUND(100/W83*X83-100,1),IF(ROUND(100/W83*X83-100,1)&gt;999,999,-999)))</f>
        <v>-6.6</v>
      </c>
      <c r="Z83" s="672"/>
      <c r="AA83" s="444"/>
      <c r="AB83" s="338"/>
      <c r="AC83" s="618"/>
      <c r="AD83" s="338"/>
      <c r="AE83" s="338"/>
      <c r="AF83" s="618"/>
      <c r="AG83" s="338"/>
      <c r="AH83" s="338"/>
      <c r="AI83" s="618">
        <v>513.84799999999996</v>
      </c>
      <c r="AJ83" s="338">
        <v>470.678</v>
      </c>
      <c r="AK83" s="338">
        <f t="shared" si="27"/>
        <v>-8.4</v>
      </c>
      <c r="AL83" s="618"/>
      <c r="AM83" s="338"/>
      <c r="AN83" s="338"/>
      <c r="AO83" s="445">
        <f t="shared" si="45"/>
        <v>1939.6677829999999</v>
      </c>
      <c r="AP83" s="445">
        <f t="shared" si="45"/>
        <v>1893.0529959999999</v>
      </c>
      <c r="AQ83" s="338">
        <f t="shared" si="22"/>
        <v>-2.4</v>
      </c>
      <c r="AR83" s="445">
        <f t="shared" si="46"/>
        <v>1939.6677829999999</v>
      </c>
      <c r="AS83" s="445">
        <f t="shared" si="46"/>
        <v>1893.0529959999999</v>
      </c>
      <c r="AT83" s="448">
        <f t="shared" si="24"/>
        <v>-2.4</v>
      </c>
      <c r="AU83" s="494"/>
      <c r="AV83" s="494"/>
      <c r="AW83" s="498"/>
    </row>
    <row r="84" spans="1:49" s="467" customFormat="1" ht="20.100000000000001" customHeight="1" x14ac:dyDescent="0.3">
      <c r="A84" s="461" t="s">
        <v>246</v>
      </c>
      <c r="B84" s="196"/>
      <c r="C84" s="447"/>
      <c r="D84" s="447"/>
      <c r="E84" s="196"/>
      <c r="F84" s="447"/>
      <c r="G84" s="447"/>
      <c r="H84" s="447"/>
      <c r="I84" s="447"/>
      <c r="J84" s="447"/>
      <c r="K84" s="196"/>
      <c r="L84" s="447"/>
      <c r="M84" s="447"/>
      <c r="N84" s="196"/>
      <c r="O84" s="447"/>
      <c r="P84" s="437"/>
      <c r="Q84" s="196"/>
      <c r="R84" s="447"/>
      <c r="S84" s="338"/>
      <c r="T84" s="196">
        <v>75.336196999999999</v>
      </c>
      <c r="U84" s="447">
        <v>0.89635200000000004</v>
      </c>
      <c r="V84" s="338">
        <f t="shared" si="44"/>
        <v>-98.8</v>
      </c>
      <c r="W84" s="196"/>
      <c r="X84" s="447"/>
      <c r="Y84" s="338"/>
      <c r="Z84" s="672"/>
      <c r="AA84" s="444"/>
      <c r="AB84" s="338"/>
      <c r="AC84" s="196"/>
      <c r="AD84" s="447"/>
      <c r="AE84" s="338"/>
      <c r="AF84" s="196"/>
      <c r="AG84" s="447"/>
      <c r="AH84" s="447"/>
      <c r="AI84" s="196"/>
      <c r="AJ84" s="447"/>
      <c r="AK84" s="338"/>
      <c r="AL84" s="196"/>
      <c r="AM84" s="447"/>
      <c r="AN84" s="338"/>
      <c r="AO84" s="445">
        <f t="shared" si="45"/>
        <v>75.336196999999999</v>
      </c>
      <c r="AP84" s="445">
        <f t="shared" si="45"/>
        <v>0.89635200000000004</v>
      </c>
      <c r="AQ84" s="338">
        <f t="shared" si="22"/>
        <v>-98.8</v>
      </c>
      <c r="AR84" s="445">
        <f t="shared" si="46"/>
        <v>75.336196999999999</v>
      </c>
      <c r="AS84" s="445">
        <f t="shared" si="46"/>
        <v>0.89635200000000004</v>
      </c>
      <c r="AT84" s="448">
        <f t="shared" si="24"/>
        <v>-98.8</v>
      </c>
      <c r="AU84" s="494"/>
      <c r="AV84" s="494"/>
      <c r="AW84" s="498"/>
    </row>
    <row r="85" spans="1:49" s="467" customFormat="1" ht="20.100000000000001" customHeight="1" x14ac:dyDescent="0.3">
      <c r="A85" s="462" t="s">
        <v>249</v>
      </c>
      <c r="B85" s="196">
        <f>SUM(B81:B84)</f>
        <v>18231.058999999997</v>
      </c>
      <c r="C85" s="447">
        <f>SUM(C81:C84)</f>
        <v>18526.27</v>
      </c>
      <c r="D85" s="447">
        <f>IF(B85=0, "    ---- ", IF(ABS(ROUND(100/B85*C85-100,1))&lt;999,ROUND(100/B85*C85-100,1),IF(ROUND(100/B85*C85-100,1)&gt;999,999,-999)))</f>
        <v>1.6</v>
      </c>
      <c r="E85" s="196">
        <f>SUM(E81:E84)</f>
        <v>85192.428</v>
      </c>
      <c r="F85" s="447">
        <f>SUM(F81:F84)</f>
        <v>84790.63</v>
      </c>
      <c r="G85" s="447">
        <f t="shared" si="20"/>
        <v>-0.5</v>
      </c>
      <c r="H85" s="447"/>
      <c r="I85" s="447"/>
      <c r="J85" s="447"/>
      <c r="K85" s="196">
        <f>SUM(K81:K84)</f>
        <v>3631.1309999999999</v>
      </c>
      <c r="L85" s="447">
        <f>SUM(L81:L84)</f>
        <v>3863.942</v>
      </c>
      <c r="M85" s="447">
        <f>IF(K85=0, "    ---- ", IF(ABS(ROUND(100/K85*L85-100,1))&lt;999,ROUND(100/K85*L85-100,1),IF(ROUND(100/K85*L85-100,1)&gt;999,999,-999)))</f>
        <v>6.4</v>
      </c>
      <c r="N85" s="196">
        <f>SUM(N81:N84)</f>
        <v>26882.2</v>
      </c>
      <c r="O85" s="447">
        <f>SUM(O81:O84)</f>
        <v>26207.100000000002</v>
      </c>
      <c r="P85" s="437">
        <f>IF(N85=0, "    ---- ", IF(ABS(ROUND(100/N85*O85-100,1))&lt;999,ROUND(100/N85*O85-100,1),IF(ROUND(100/N85*O85-100,1)&gt;999,999,-999)))</f>
        <v>-2.5</v>
      </c>
      <c r="Q85" s="196"/>
      <c r="R85" s="447"/>
      <c r="S85" s="338"/>
      <c r="T85" s="196">
        <f>SUM(T81:T84)</f>
        <v>2497.2187741500002</v>
      </c>
      <c r="U85" s="447">
        <v>2151.7890251500003</v>
      </c>
      <c r="V85" s="338">
        <f t="shared" si="44"/>
        <v>-13.8</v>
      </c>
      <c r="W85" s="196">
        <f>SUM(W81:W84)</f>
        <v>3950.7</v>
      </c>
      <c r="X85" s="447">
        <f>SUM(X81:X84)</f>
        <v>4551.2</v>
      </c>
      <c r="Y85" s="338">
        <f>IF(W85=0, "    ---- ", IF(ABS(ROUND(100/W85*X85-100,1))&lt;999,ROUND(100/W85*X85-100,1),IF(ROUND(100/W85*X85-100,1)&gt;999,999,-999)))</f>
        <v>15.2</v>
      </c>
      <c r="Z85" s="672">
        <f>SUM(Z81:Z84)</f>
        <v>64970.07</v>
      </c>
      <c r="AA85" s="444">
        <f>SUM(AA81:AA84)</f>
        <v>70145.27</v>
      </c>
      <c r="AB85" s="338">
        <f t="shared" si="25"/>
        <v>8</v>
      </c>
      <c r="AC85" s="196"/>
      <c r="AD85" s="447"/>
      <c r="AE85" s="338"/>
      <c r="AF85" s="196">
        <f>SUM(AF81:AF84)</f>
        <v>2236.8637614700001</v>
      </c>
      <c r="AG85" s="447">
        <f>SUM(AG81:AG84)</f>
        <v>2269.6289066300001</v>
      </c>
      <c r="AH85" s="447">
        <f>IF(AF85=0, "    ---- ", IF(ABS(ROUND(100/AF85*AG85-100,1))&lt;999,ROUND(100/AF85*AG85-100,1),IF(ROUND(100/AF85*AG85-100,1)&gt;999,999,-999)))</f>
        <v>1.5</v>
      </c>
      <c r="AI85" s="196">
        <f>SUM(AI81:AI84)</f>
        <v>30792.114999999998</v>
      </c>
      <c r="AJ85" s="447">
        <f>SUM(AJ81:AJ84)</f>
        <v>31469.716</v>
      </c>
      <c r="AK85" s="338">
        <f t="shared" si="27"/>
        <v>2.2000000000000002</v>
      </c>
      <c r="AL85" s="196">
        <f>SUM(AL81:AL84)</f>
        <v>99920</v>
      </c>
      <c r="AM85" s="447">
        <f>SUM(AM81:AM84)</f>
        <v>105186</v>
      </c>
      <c r="AN85" s="338">
        <f t="shared" si="28"/>
        <v>5.3</v>
      </c>
      <c r="AO85" s="445">
        <f t="shared" si="45"/>
        <v>336066.92177414999</v>
      </c>
      <c r="AP85" s="445">
        <f t="shared" si="45"/>
        <v>346891.91702515003</v>
      </c>
      <c r="AQ85" s="338">
        <f t="shared" si="22"/>
        <v>3.2</v>
      </c>
      <c r="AR85" s="445">
        <f t="shared" si="46"/>
        <v>338303.78553562006</v>
      </c>
      <c r="AS85" s="445">
        <f t="shared" si="46"/>
        <v>349161.54593178001</v>
      </c>
      <c r="AT85" s="448">
        <f t="shared" si="24"/>
        <v>3.2</v>
      </c>
      <c r="AU85" s="494"/>
      <c r="AV85" s="494"/>
      <c r="AW85" s="498"/>
    </row>
    <row r="86" spans="1:49" s="467" customFormat="1" ht="20.100000000000001" customHeight="1" x14ac:dyDescent="0.3">
      <c r="A86" s="461" t="s">
        <v>250</v>
      </c>
      <c r="B86" s="196">
        <v>18.565999999999999</v>
      </c>
      <c r="C86" s="447">
        <v>78.040000000000006</v>
      </c>
      <c r="D86" s="338">
        <f>IF(B86=0, "    ---- ", IF(ABS(ROUND(100/B86*C86-100,1))&lt;999,ROUND(100/B86*C86-100,1),IF(ROUND(100/B86*C86-100,1)&gt;999,999,-999)))</f>
        <v>320.3</v>
      </c>
      <c r="E86" s="196">
        <v>1151.585</v>
      </c>
      <c r="F86" s="447">
        <v>1006.018</v>
      </c>
      <c r="G86" s="338">
        <f t="shared" si="20"/>
        <v>-12.6</v>
      </c>
      <c r="H86" s="447"/>
      <c r="I86" s="447">
        <v>1289.36337054</v>
      </c>
      <c r="J86" s="338" t="str">
        <f>IF(H86=0, "    ---- ", IF(ABS(ROUND(100/H86*I86-100,1))&lt;999,ROUND(100/H86*I86-100,1),IF(ROUND(100/H86*I86-100,1)&gt;999,999,-999)))</f>
        <v xml:space="preserve">    ---- </v>
      </c>
      <c r="K86" s="196">
        <v>40.468000000000004</v>
      </c>
      <c r="L86" s="447">
        <v>89.646000000000001</v>
      </c>
      <c r="M86" s="338">
        <f>IF(K86=0, "    ---- ", IF(ABS(ROUND(100/K86*L86-100,1))&lt;999,ROUND(100/K86*L86-100,1),IF(ROUND(100/K86*L86-100,1)&gt;999,999,-999)))</f>
        <v>121.5</v>
      </c>
      <c r="N86" s="196">
        <v>61.4</v>
      </c>
      <c r="O86" s="447">
        <v>95.6</v>
      </c>
      <c r="P86" s="338">
        <f>IF(N86=0, "    ---- ", IF(ABS(ROUND(100/N86*O86-100,1))&lt;999,ROUND(100/N86*O86-100,1),IF(ROUND(100/N86*O86-100,1)&gt;999,999,-999)))</f>
        <v>55.7</v>
      </c>
      <c r="Q86" s="196"/>
      <c r="R86" s="447"/>
      <c r="S86" s="338"/>
      <c r="T86" s="196">
        <v>1659.9588492400001</v>
      </c>
      <c r="U86" s="447">
        <v>2184.3932878000001</v>
      </c>
      <c r="V86" s="338">
        <f t="shared" si="44"/>
        <v>31.6</v>
      </c>
      <c r="W86" s="196">
        <v>9.6</v>
      </c>
      <c r="X86" s="447">
        <v>10.7</v>
      </c>
      <c r="Y86" s="338">
        <f>IF(W86=0, "    ---- ", IF(ABS(ROUND(100/W86*X86-100,1))&lt;999,ROUND(100/W86*X86-100,1),IF(ROUND(100/W86*X86-100,1)&gt;999,999,-999)))</f>
        <v>11.5</v>
      </c>
      <c r="Z86" s="672">
        <v>648.97</v>
      </c>
      <c r="AA86" s="444">
        <v>880.41</v>
      </c>
      <c r="AB86" s="338">
        <f t="shared" si="25"/>
        <v>35.700000000000003</v>
      </c>
      <c r="AC86" s="196">
        <v>1070</v>
      </c>
      <c r="AD86" s="447">
        <v>811</v>
      </c>
      <c r="AE86" s="338">
        <f>IF(AC86=0, "    ---- ", IF(ABS(ROUND(100/AC86*AD86-100,1))&lt;999,ROUND(100/AC86*AD86-100,1),IF(ROUND(100/AC86*AD86-100,1)&gt;999,999,-999)))</f>
        <v>-24.2</v>
      </c>
      <c r="AF86" s="196"/>
      <c r="AG86" s="447"/>
      <c r="AH86" s="338"/>
      <c r="AI86" s="196">
        <v>822.28</v>
      </c>
      <c r="AJ86" s="447">
        <v>723.70899999999995</v>
      </c>
      <c r="AK86" s="338">
        <f t="shared" si="27"/>
        <v>-12</v>
      </c>
      <c r="AL86" s="196">
        <v>12</v>
      </c>
      <c r="AM86" s="447">
        <v>7</v>
      </c>
      <c r="AN86" s="338">
        <f t="shared" si="28"/>
        <v>-41.7</v>
      </c>
      <c r="AO86" s="445">
        <f t="shared" si="45"/>
        <v>5494.8278492399995</v>
      </c>
      <c r="AP86" s="445">
        <f t="shared" si="45"/>
        <v>7175.8796583399999</v>
      </c>
      <c r="AQ86" s="338">
        <f t="shared" si="22"/>
        <v>30.6</v>
      </c>
      <c r="AR86" s="445">
        <f t="shared" si="46"/>
        <v>5494.8278492399995</v>
      </c>
      <c r="AS86" s="445">
        <f t="shared" si="46"/>
        <v>7175.8796583399999</v>
      </c>
      <c r="AT86" s="448">
        <f t="shared" si="24"/>
        <v>30.6</v>
      </c>
      <c r="AU86" s="494"/>
      <c r="AV86" s="494"/>
      <c r="AW86" s="498"/>
    </row>
    <row r="87" spans="1:49" s="467" customFormat="1" ht="20.100000000000001" customHeight="1" x14ac:dyDescent="0.3">
      <c r="A87" s="461" t="s">
        <v>251</v>
      </c>
      <c r="B87" s="196"/>
      <c r="C87" s="447"/>
      <c r="D87" s="338"/>
      <c r="E87" s="196"/>
      <c r="F87" s="447"/>
      <c r="G87" s="338"/>
      <c r="H87" s="447"/>
      <c r="I87" s="447">
        <v>365.80202696999993</v>
      </c>
      <c r="J87" s="338" t="str">
        <f t="shared" ref="J87:J88" si="47">IF(H87=0, "    ---- ", IF(ABS(ROUND(100/H87*I87-100,1))&lt;999,ROUND(100/H87*I87-100,1),IF(ROUND(100/H87*I87-100,1)&gt;999,999,-999)))</f>
        <v xml:space="preserve">    ---- </v>
      </c>
      <c r="K87" s="196"/>
      <c r="L87" s="447"/>
      <c r="M87" s="338"/>
      <c r="N87" s="196"/>
      <c r="O87" s="447"/>
      <c r="P87" s="338"/>
      <c r="Q87" s="196"/>
      <c r="R87" s="447"/>
      <c r="S87" s="338"/>
      <c r="T87" s="196"/>
      <c r="U87" s="447"/>
      <c r="V87" s="338"/>
      <c r="W87" s="196"/>
      <c r="X87" s="447"/>
      <c r="Y87" s="338"/>
      <c r="Z87" s="672"/>
      <c r="AA87" s="444"/>
      <c r="AB87" s="338"/>
      <c r="AC87" s="196"/>
      <c r="AD87" s="447"/>
      <c r="AE87" s="338"/>
      <c r="AF87" s="196"/>
      <c r="AG87" s="447"/>
      <c r="AH87" s="338"/>
      <c r="AI87" s="196">
        <v>357.935</v>
      </c>
      <c r="AJ87" s="447">
        <v>0</v>
      </c>
      <c r="AK87" s="338">
        <f t="shared" si="27"/>
        <v>-100</v>
      </c>
      <c r="AL87" s="196"/>
      <c r="AM87" s="447"/>
      <c r="AN87" s="338"/>
      <c r="AO87" s="445">
        <f t="shared" si="45"/>
        <v>357.935</v>
      </c>
      <c r="AP87" s="445">
        <f t="shared" si="45"/>
        <v>365.80202696999993</v>
      </c>
      <c r="AQ87" s="338">
        <f t="shared" si="22"/>
        <v>2.2000000000000002</v>
      </c>
      <c r="AR87" s="445">
        <f t="shared" si="46"/>
        <v>357.935</v>
      </c>
      <c r="AS87" s="445">
        <f t="shared" si="46"/>
        <v>365.80202696999993</v>
      </c>
      <c r="AT87" s="448">
        <f t="shared" si="24"/>
        <v>2.2000000000000002</v>
      </c>
      <c r="AU87" s="494"/>
      <c r="AV87" s="494"/>
      <c r="AW87" s="498"/>
    </row>
    <row r="88" spans="1:49" s="467" customFormat="1" ht="20.100000000000001" customHeight="1" x14ac:dyDescent="0.3">
      <c r="A88" s="461" t="s">
        <v>252</v>
      </c>
      <c r="B88" s="196">
        <v>75.03</v>
      </c>
      <c r="C88" s="447">
        <v>71.334000000000003</v>
      </c>
      <c r="D88" s="447">
        <f>IF(B88=0, "    ---- ", IF(ABS(ROUND(100/B88*C88-100,1))&lt;999,ROUND(100/B88*C88-100,1),IF(ROUND(100/B88*C88-100,1)&gt;999,999,-999)))</f>
        <v>-4.9000000000000004</v>
      </c>
      <c r="E88" s="196">
        <v>1695.4839999999999</v>
      </c>
      <c r="F88" s="447">
        <v>5312.5810000000001</v>
      </c>
      <c r="G88" s="447">
        <f t="shared" si="20"/>
        <v>213.3</v>
      </c>
      <c r="H88" s="447"/>
      <c r="I88" s="447">
        <v>299.13914137999996</v>
      </c>
      <c r="J88" s="338" t="str">
        <f t="shared" si="47"/>
        <v xml:space="preserve">    ---- </v>
      </c>
      <c r="K88" s="196"/>
      <c r="L88" s="447"/>
      <c r="M88" s="447"/>
      <c r="N88" s="196">
        <v>238.1</v>
      </c>
      <c r="O88" s="447">
        <v>152.69999999999999</v>
      </c>
      <c r="P88" s="437">
        <f>IF(N88=0, "    ---- ", IF(ABS(ROUND(100/N88*O88-100,1))&lt;999,ROUND(100/N88*O88-100,1),IF(ROUND(100/N88*O88-100,1)&gt;999,999,-999)))</f>
        <v>-35.9</v>
      </c>
      <c r="Q88" s="196">
        <v>5.4658262400000002</v>
      </c>
      <c r="R88" s="447">
        <v>2.9254982699999998</v>
      </c>
      <c r="S88" s="338">
        <f>IF(Q88=0, "    ---- ", IF(ABS(ROUND(100/Q88*R88-100,1))&lt;999,ROUND(100/Q88*R88-100,1),IF(ROUND(100/Q88*R88-100,1)&gt;999,999,-999)))</f>
        <v>-46.5</v>
      </c>
      <c r="T88" s="196">
        <v>5816.1414487799993</v>
      </c>
      <c r="U88" s="447">
        <v>27795.554234979998</v>
      </c>
      <c r="V88" s="338">
        <f t="shared" si="44"/>
        <v>377.9</v>
      </c>
      <c r="W88" s="196">
        <v>9.5</v>
      </c>
      <c r="X88" s="447">
        <v>42.4</v>
      </c>
      <c r="Y88" s="338">
        <f>IF(W88=0, "    ---- ", IF(ABS(ROUND(100/W88*X88-100,1))&lt;999,ROUND(100/W88*X88-100,1),IF(ROUND(100/W88*X88-100,1)&gt;999,999,-999)))</f>
        <v>346.3</v>
      </c>
      <c r="Z88" s="672">
        <v>328.81</v>
      </c>
      <c r="AA88" s="444">
        <v>1263.75</v>
      </c>
      <c r="AB88" s="338">
        <f t="shared" si="25"/>
        <v>284.3</v>
      </c>
      <c r="AC88" s="196">
        <v>134</v>
      </c>
      <c r="AD88" s="447">
        <v>674</v>
      </c>
      <c r="AE88" s="338">
        <f>IF(AC88=0, "    ---- ", IF(ABS(ROUND(100/AC88*AD88-100,1))&lt;999,ROUND(100/AC88*AD88-100,1),IF(ROUND(100/AC88*AD88-100,1)&gt;999,999,-999)))</f>
        <v>403</v>
      </c>
      <c r="AF88" s="196">
        <v>10.87101496</v>
      </c>
      <c r="AG88" s="447">
        <v>20.07070358</v>
      </c>
      <c r="AH88" s="338">
        <f>IF(AF88=0, "    ---- ", IF(ABS(ROUND(100/AF88*AG88-100,1))&lt;999,ROUND(100/AF88*AG88-100,1),IF(ROUND(100/AF88*AG88-100,1)&gt;999,999,-999)))</f>
        <v>84.6</v>
      </c>
      <c r="AI88" s="196">
        <v>603.58900000000006</v>
      </c>
      <c r="AJ88" s="447">
        <v>1956.5650000000001</v>
      </c>
      <c r="AK88" s="338">
        <f t="shared" si="27"/>
        <v>224.2</v>
      </c>
      <c r="AL88" s="196">
        <v>6729</v>
      </c>
      <c r="AM88" s="447">
        <v>19848</v>
      </c>
      <c r="AN88" s="338">
        <f t="shared" si="28"/>
        <v>195</v>
      </c>
      <c r="AO88" s="445">
        <f t="shared" si="45"/>
        <v>15629.654448779998</v>
      </c>
      <c r="AP88" s="445">
        <f t="shared" si="45"/>
        <v>57416.023376360004</v>
      </c>
      <c r="AQ88" s="338">
        <f t="shared" si="22"/>
        <v>267.39999999999998</v>
      </c>
      <c r="AR88" s="445">
        <f t="shared" si="46"/>
        <v>15645.991289979998</v>
      </c>
      <c r="AS88" s="445">
        <f t="shared" si="46"/>
        <v>57439.019578210005</v>
      </c>
      <c r="AT88" s="448">
        <f t="shared" si="24"/>
        <v>267.10000000000002</v>
      </c>
      <c r="AU88" s="494"/>
      <c r="AV88" s="494"/>
      <c r="AW88" s="498"/>
    </row>
    <row r="89" spans="1:49" s="467" customFormat="1" ht="20.100000000000001" customHeight="1" x14ac:dyDescent="0.3">
      <c r="A89" s="461" t="s">
        <v>253</v>
      </c>
      <c r="B89" s="196">
        <v>36.363</v>
      </c>
      <c r="C89" s="447">
        <v>45.042000000000002</v>
      </c>
      <c r="D89" s="447">
        <f>IF(B89=0, "    ---- ", IF(ABS(ROUND(100/B89*C89-100,1))&lt;999,ROUND(100/B89*C89-100,1),IF(ROUND(100/B89*C89-100,1)&gt;999,999,-999)))</f>
        <v>23.9</v>
      </c>
      <c r="E89" s="196">
        <v>104.002</v>
      </c>
      <c r="F89" s="447">
        <v>131.238</v>
      </c>
      <c r="G89" s="447">
        <f t="shared" si="20"/>
        <v>26.2</v>
      </c>
      <c r="H89" s="447"/>
      <c r="I89" s="447">
        <v>1.5872516399999999</v>
      </c>
      <c r="J89" s="447" t="str">
        <f>IF(H89=0, "    ---- ", IF(ABS(ROUND(100/H89*I89-100,1))&lt;999,ROUND(100/H89*I89-100,1),IF(ROUND(100/H89*I89-100,1)&gt;999,999,-999)))</f>
        <v xml:space="preserve">    ---- </v>
      </c>
      <c r="K89" s="196">
        <v>19.385000000000002</v>
      </c>
      <c r="L89" s="447">
        <v>20.382000000000001</v>
      </c>
      <c r="M89" s="447">
        <f>IF(K89=0, "    ---- ", IF(ABS(ROUND(100/K89*L89-100,1))&lt;999,ROUND(100/K89*L89-100,1),IF(ROUND(100/K89*L89-100,1)&gt;999,999,-999)))</f>
        <v>5.0999999999999996</v>
      </c>
      <c r="N89" s="196">
        <v>12.8</v>
      </c>
      <c r="O89" s="447">
        <v>15.3</v>
      </c>
      <c r="P89" s="338">
        <f>IF(N89=0, "    ---- ", IF(ABS(ROUND(100/N89*O89-100,1))&lt;999,ROUND(100/N89*O89-100,1),IF(ROUND(100/N89*O89-100,1)&gt;999,999,-999)))</f>
        <v>19.5</v>
      </c>
      <c r="Q89" s="196">
        <v>1.41113954</v>
      </c>
      <c r="R89" s="447">
        <v>0.96528024000000001</v>
      </c>
      <c r="S89" s="338">
        <f>IF(Q89=0, "    ---- ", IF(ABS(ROUND(100/Q89*R89-100,1))&lt;999,ROUND(100/Q89*R89-100,1),IF(ROUND(100/Q89*R89-100,1)&gt;999,999,-999)))</f>
        <v>-31.6</v>
      </c>
      <c r="T89" s="196">
        <v>208.27080587</v>
      </c>
      <c r="U89" s="447">
        <v>186.15048081</v>
      </c>
      <c r="V89" s="338">
        <f t="shared" si="44"/>
        <v>-10.6</v>
      </c>
      <c r="W89" s="196">
        <v>13.7</v>
      </c>
      <c r="X89" s="447">
        <v>15.5</v>
      </c>
      <c r="Y89" s="338">
        <f>IF(W89=0, "    ---- ", IF(ABS(ROUND(100/W89*X89-100,1))&lt;999,ROUND(100/W89*X89-100,1),IF(ROUND(100/W89*X89-100,1)&gt;999,999,-999)))</f>
        <v>13.1</v>
      </c>
      <c r="Z89" s="672">
        <v>38.54</v>
      </c>
      <c r="AA89" s="444">
        <v>57.7</v>
      </c>
      <c r="AB89" s="338">
        <f t="shared" si="25"/>
        <v>49.7</v>
      </c>
      <c r="AC89" s="196">
        <v>107</v>
      </c>
      <c r="AD89" s="447">
        <v>132</v>
      </c>
      <c r="AE89" s="338">
        <f>IF(AC89=0, "    ---- ", IF(ABS(ROUND(100/AC89*AD89-100,1))&lt;999,ROUND(100/AC89*AD89-100,1),IF(ROUND(100/AC89*AD89-100,1)&gt;999,999,-999)))</f>
        <v>23.4</v>
      </c>
      <c r="AF89" s="196">
        <v>0.30523266999999998</v>
      </c>
      <c r="AG89" s="447">
        <v>0.29680129</v>
      </c>
      <c r="AH89" s="338">
        <f>IF(AF89=0, "    ---- ", IF(ABS(ROUND(100/AF89*AG89-100,1))&lt;999,ROUND(100/AF89*AG89-100,1),IF(ROUND(100/AF89*AG89-100,1)&gt;999,999,-999)))</f>
        <v>-2.8</v>
      </c>
      <c r="AI89" s="196">
        <v>144.876</v>
      </c>
      <c r="AJ89" s="447">
        <v>44.161000000000001</v>
      </c>
      <c r="AK89" s="338">
        <f t="shared" si="27"/>
        <v>-69.5</v>
      </c>
      <c r="AL89" s="196">
        <v>147</v>
      </c>
      <c r="AM89" s="447">
        <v>158</v>
      </c>
      <c r="AN89" s="338">
        <f t="shared" si="28"/>
        <v>7.5</v>
      </c>
      <c r="AO89" s="445">
        <f t="shared" si="45"/>
        <v>831.93680586999994</v>
      </c>
      <c r="AP89" s="445">
        <f t="shared" si="45"/>
        <v>807.06073245000016</v>
      </c>
      <c r="AQ89" s="338">
        <f t="shared" si="22"/>
        <v>-3</v>
      </c>
      <c r="AR89" s="445">
        <f t="shared" si="46"/>
        <v>833.65317807999998</v>
      </c>
      <c r="AS89" s="445">
        <f t="shared" si="46"/>
        <v>808.32281397999986</v>
      </c>
      <c r="AT89" s="448">
        <f t="shared" si="24"/>
        <v>-3</v>
      </c>
      <c r="AU89" s="494"/>
      <c r="AV89" s="494"/>
      <c r="AW89" s="498"/>
    </row>
    <row r="90" spans="1:49" s="467" customFormat="1" ht="20.100000000000001" customHeight="1" x14ac:dyDescent="0.3">
      <c r="A90" s="461"/>
      <c r="B90" s="196"/>
      <c r="C90" s="447"/>
      <c r="D90" s="338"/>
      <c r="E90" s="196"/>
      <c r="F90" s="447"/>
      <c r="G90" s="338"/>
      <c r="H90" s="447"/>
      <c r="I90" s="447"/>
      <c r="J90" s="338"/>
      <c r="K90" s="196"/>
      <c r="L90" s="447"/>
      <c r="M90" s="338"/>
      <c r="N90" s="196"/>
      <c r="O90" s="447"/>
      <c r="P90" s="338"/>
      <c r="Q90" s="196"/>
      <c r="R90" s="447"/>
      <c r="S90" s="338"/>
      <c r="T90" s="196"/>
      <c r="U90" s="447"/>
      <c r="V90" s="338"/>
      <c r="W90" s="196"/>
      <c r="X90" s="447"/>
      <c r="Y90" s="338"/>
      <c r="Z90" s="672"/>
      <c r="AA90" s="444"/>
      <c r="AB90" s="338"/>
      <c r="AC90" s="196"/>
      <c r="AD90" s="447"/>
      <c r="AE90" s="338"/>
      <c r="AF90" s="196"/>
      <c r="AG90" s="447"/>
      <c r="AH90" s="338"/>
      <c r="AI90" s="196"/>
      <c r="AJ90" s="447"/>
      <c r="AK90" s="338"/>
      <c r="AL90" s="196"/>
      <c r="AM90" s="447"/>
      <c r="AN90" s="338"/>
      <c r="AO90" s="439"/>
      <c r="AP90" s="439"/>
      <c r="AQ90" s="338"/>
      <c r="AR90" s="439"/>
      <c r="AS90" s="439"/>
      <c r="AT90" s="448"/>
      <c r="AU90" s="494"/>
      <c r="AV90" s="494"/>
      <c r="AW90" s="498"/>
    </row>
    <row r="91" spans="1:49" s="502" customFormat="1" ht="20.100000000000001" customHeight="1" x14ac:dyDescent="0.3">
      <c r="A91" s="464" t="s">
        <v>254</v>
      </c>
      <c r="B91" s="199">
        <v>20057.48</v>
      </c>
      <c r="C91" s="453">
        <f>SUM(C68+C69+C71+C79+C85+C86+C87+C88+C89)</f>
        <v>20826.775000000001</v>
      </c>
      <c r="D91" s="454">
        <f>IF(B91=0, "    ---- ", IF(ABS(ROUND(100/B91*C91-100,1))&lt;999,ROUND(100/B91*C91-100,1),IF(ROUND(100/B91*C91-100,1)&gt;999,999,-999)))</f>
        <v>3.8</v>
      </c>
      <c r="E91" s="199">
        <v>324140.08</v>
      </c>
      <c r="F91" s="453">
        <f>SUM(F68+F69+F71+F79+F85+F86+F87+F88+F89)</f>
        <v>319631.94500000001</v>
      </c>
      <c r="G91" s="454">
        <f t="shared" si="20"/>
        <v>-1.4</v>
      </c>
      <c r="H91" s="453"/>
      <c r="I91" s="453">
        <v>9553.6353469399983</v>
      </c>
      <c r="J91" s="454" t="str">
        <f>IF(H91=0, "    ---- ", IF(ABS(ROUND(100/H91*I91-100,1))&lt;999,ROUND(100/H91*I91-100,1),IF(ROUND(100/H91*I91-100,1)&gt;999,999,-999)))</f>
        <v xml:space="preserve">    ---- </v>
      </c>
      <c r="K91" s="199">
        <v>5520.1469999999999</v>
      </c>
      <c r="L91" s="453">
        <f>SUM(L68+L69+L71+L79+L85+L86+L87+L88+L89)</f>
        <v>6024.1009999999997</v>
      </c>
      <c r="M91" s="454">
        <f>IF(K91=0, "    ---- ", IF(ABS(ROUND(100/K91*L91-100,1))&lt;999,ROUND(100/K91*L91-100,1),IF(ROUND(100/K91*L91-100,1)&gt;999,999,-999)))</f>
        <v>9.1</v>
      </c>
      <c r="N91" s="199">
        <v>35086.200000000004</v>
      </c>
      <c r="O91" s="453">
        <f>SUM(O68+O69+O71+O79+O85+O86+O87+O88+O89)</f>
        <v>34956.200000000004</v>
      </c>
      <c r="P91" s="454">
        <f>IF(N91=0, "    ---- ", IF(ABS(ROUND(100/N91*O91-100,1))&lt;999,ROUND(100/N91*O91-100,1),IF(ROUND(100/N91*O91-100,1)&gt;999,999,-999)))</f>
        <v>-0.4</v>
      </c>
      <c r="Q91" s="199">
        <v>145.91999999999999</v>
      </c>
      <c r="R91" s="453">
        <f>SUM(R68+R69+R71+R79+R85+R86+R87+R88+R89)</f>
        <v>149.58542157999997</v>
      </c>
      <c r="S91" s="454">
        <f>IF(Q91=0, "    ---- ", IF(ABS(ROUND(100/Q91*R91-100,1))&lt;999,ROUND(100/Q91*R91-100,1),IF(ROUND(100/Q91*R91-100,1)&gt;999,999,-999)))</f>
        <v>2.5</v>
      </c>
      <c r="T91" s="199">
        <v>573857.4</v>
      </c>
      <c r="U91" s="453">
        <v>618800.65435262013</v>
      </c>
      <c r="V91" s="454">
        <f t="shared" si="44"/>
        <v>7.8</v>
      </c>
      <c r="W91" s="199">
        <v>6217.0999999999995</v>
      </c>
      <c r="X91" s="453">
        <f>SUM(X68+X69+X71+X79+X85+X86+X87+X88+X89)</f>
        <v>6984.0999999999995</v>
      </c>
      <c r="Y91" s="454">
        <f>IF(W91=0, "    ---- ", IF(ABS(ROUND(100/W91*X91-100,1))&lt;999,ROUND(100/W91*X91-100,1),IF(ROUND(100/W91*X91-100,1)&gt;999,999,-999)))</f>
        <v>12.3</v>
      </c>
      <c r="Z91" s="591">
        <f>SUM(Z68+Z69+Z71+Z79+Z85+Z86+Z87+Z88+Z89)</f>
        <v>127276.03199999999</v>
      </c>
      <c r="AA91" s="591">
        <f>SUM(AA68+AA69+AA71+AA79+AA85+AA86+AA87+AA88+AA89)</f>
        <v>134446.99000000002</v>
      </c>
      <c r="AB91" s="454">
        <f t="shared" si="25"/>
        <v>5.6</v>
      </c>
      <c r="AC91" s="199">
        <v>98875</v>
      </c>
      <c r="AD91" s="453">
        <f>SUM(AD68+AD69+AD71+AD79+AD85+AD86+AD87+AD88+AD89)</f>
        <v>100304</v>
      </c>
      <c r="AE91" s="454">
        <f>IF(AC91=0, "    ---- ", IF(ABS(ROUND(100/AC91*AD91-100,1))&lt;999,ROUND(100/AC91*AD91-100,1),IF(ROUND(100/AC91*AD91-100,1)&gt;999,999,-999)))</f>
        <v>1.4</v>
      </c>
      <c r="AF91" s="199">
        <v>2304.1</v>
      </c>
      <c r="AG91" s="453">
        <f>SUM(AG68+AG69+AG71+AG79+AG85+AG86+AG87+AG88+AG89)</f>
        <v>2356.2158355900001</v>
      </c>
      <c r="AH91" s="454">
        <f>IF(AF91=0, "    ---- ", IF(ABS(ROUND(100/AF91*AG91-100,1))&lt;999,ROUND(100/AF91*AG91-100,1),IF(ROUND(100/AF91*AG91-100,1)&gt;999,999,-999)))</f>
        <v>2.2999999999999998</v>
      </c>
      <c r="AI91" s="199">
        <v>62126</v>
      </c>
      <c r="AJ91" s="453">
        <f>SUM(AJ68+AJ69+AJ71+AJ79+AJ85+AJ86+AJ87+AJ88+AJ89)</f>
        <v>60798.854758810005</v>
      </c>
      <c r="AK91" s="454">
        <f t="shared" si="27"/>
        <v>-2.1</v>
      </c>
      <c r="AL91" s="199">
        <v>328405</v>
      </c>
      <c r="AM91" s="453">
        <f>SUM(AM68+AM69+AM71+AM79+AM85+AM86+AM87+AM88+AM89)</f>
        <v>350265</v>
      </c>
      <c r="AN91" s="454">
        <f t="shared" si="28"/>
        <v>6.7</v>
      </c>
      <c r="AO91" s="603">
        <f>B91+E91+H91+K91+N91+T91+W91+Z91+AC91+AI91+AL91</f>
        <v>1581560.439</v>
      </c>
      <c r="AP91" s="603">
        <f>C91+F91+I91+L91+O91+U91+X91+AA91+AD91+AJ91+AM91</f>
        <v>1662592.2554583703</v>
      </c>
      <c r="AQ91" s="454">
        <f t="shared" si="22"/>
        <v>5.0999999999999996</v>
      </c>
      <c r="AR91" s="603">
        <f>B91+E91+H91+K91+N91+Q91+T91+W91+Z91+AC91+AF91+AI91+AL91</f>
        <v>1584010.459</v>
      </c>
      <c r="AS91" s="603">
        <f>C91+F91+I91+L91+O91+R91+U91+X91+AA91+AD91+AG91+AJ91+AM91</f>
        <v>1665098.0567155401</v>
      </c>
      <c r="AT91" s="455">
        <f t="shared" si="24"/>
        <v>5.0999999999999996</v>
      </c>
      <c r="AU91" s="500"/>
      <c r="AV91" s="494"/>
      <c r="AW91" s="498"/>
    </row>
    <row r="92" spans="1:49" ht="18.75" customHeight="1" x14ac:dyDescent="0.3">
      <c r="A92" s="465" t="s">
        <v>255</v>
      </c>
      <c r="B92" s="465"/>
      <c r="T92" s="465"/>
      <c r="U92" s="467"/>
      <c r="AA92" s="468"/>
      <c r="AB92" s="468"/>
      <c r="AC92" s="468"/>
      <c r="AD92" s="468"/>
      <c r="AE92" s="468"/>
      <c r="AF92" s="468"/>
      <c r="AG92" s="468"/>
      <c r="AH92" s="468"/>
      <c r="AI92" s="465"/>
      <c r="AL92" s="465"/>
    </row>
    <row r="93" spans="1:49" ht="18.75" customHeight="1" x14ac:dyDescent="0.3">
      <c r="A93" s="465" t="s">
        <v>256</v>
      </c>
      <c r="T93" s="465"/>
      <c r="U93" s="467"/>
      <c r="AA93" s="468"/>
      <c r="AB93" s="468"/>
      <c r="AC93" s="468"/>
      <c r="AD93" s="468"/>
      <c r="AE93" s="468"/>
      <c r="AF93" s="468"/>
      <c r="AG93" s="468"/>
      <c r="AH93" s="468"/>
      <c r="AI93" s="465"/>
      <c r="AL93" s="465"/>
    </row>
    <row r="94" spans="1:49" s="469" customFormat="1" ht="18.75" customHeight="1" x14ac:dyDescent="0.3">
      <c r="A94" s="465" t="s">
        <v>257</v>
      </c>
      <c r="T94" s="465"/>
      <c r="U94" s="465"/>
      <c r="AB94" s="470"/>
      <c r="AC94" s="470"/>
      <c r="AD94" s="470"/>
      <c r="AE94" s="470"/>
      <c r="AF94" s="470"/>
      <c r="AG94" s="470"/>
      <c r="AH94" s="470"/>
      <c r="AU94" s="503"/>
      <c r="AV94" s="503"/>
    </row>
    <row r="95" spans="1:49" s="469" customFormat="1" ht="18.75" x14ac:dyDescent="0.3">
      <c r="T95" s="465"/>
      <c r="U95" s="465"/>
    </row>
    <row r="96" spans="1:49" s="469" customFormat="1" ht="18.75" x14ac:dyDescent="0.3">
      <c r="T96" s="465"/>
      <c r="U96" s="465"/>
    </row>
    <row r="97" spans="1:74" s="469" customFormat="1" ht="18.75" x14ac:dyDescent="0.3">
      <c r="T97" s="465"/>
      <c r="U97" s="465"/>
    </row>
    <row r="98" spans="1:74" s="469" customFormat="1" ht="18.75" x14ac:dyDescent="0.3">
      <c r="T98" s="465"/>
      <c r="U98" s="465"/>
    </row>
    <row r="99" spans="1:74" s="469" customFormat="1" ht="18.75" x14ac:dyDescent="0.3">
      <c r="T99" s="465"/>
      <c r="U99" s="465"/>
    </row>
    <row r="100" spans="1:74" s="469" customFormat="1" ht="18.75" x14ac:dyDescent="0.3">
      <c r="T100" s="465"/>
      <c r="U100" s="465"/>
    </row>
    <row r="101" spans="1:74" s="469" customFormat="1" ht="18.75" x14ac:dyDescent="0.3">
      <c r="T101" s="465"/>
      <c r="U101" s="465"/>
    </row>
    <row r="102" spans="1:74" s="469" customFormat="1" ht="18.75" x14ac:dyDescent="0.3">
      <c r="T102" s="465"/>
      <c r="U102" s="465"/>
    </row>
    <row r="103" spans="1:74" s="469" customFormat="1" ht="18.75" x14ac:dyDescent="0.3">
      <c r="T103" s="465"/>
      <c r="U103" s="465"/>
    </row>
    <row r="104" spans="1:74" s="469" customFormat="1" ht="18.75" x14ac:dyDescent="0.3">
      <c r="T104" s="465"/>
      <c r="U104" s="465"/>
      <c r="BC104" s="503"/>
      <c r="BD104" s="503"/>
      <c r="BE104" s="503"/>
      <c r="BF104" s="503"/>
      <c r="BG104" s="503"/>
      <c r="BH104" s="503"/>
      <c r="BI104" s="503"/>
      <c r="BJ104" s="503"/>
      <c r="BK104" s="503"/>
      <c r="BL104" s="503"/>
      <c r="BM104" s="503"/>
      <c r="BN104" s="503"/>
      <c r="BO104" s="503"/>
      <c r="BP104" s="503"/>
      <c r="BQ104" s="503"/>
      <c r="BR104" s="503"/>
      <c r="BS104" s="503"/>
      <c r="BT104" s="503"/>
      <c r="BU104" s="503"/>
      <c r="BV104" s="503"/>
    </row>
    <row r="105" spans="1:74" s="503" customFormat="1" ht="18.75" x14ac:dyDescent="0.3">
      <c r="A105" s="469"/>
      <c r="B105" s="469"/>
      <c r="C105" s="469"/>
      <c r="D105" s="469"/>
      <c r="E105" s="469"/>
      <c r="F105" s="469"/>
      <c r="G105" s="469"/>
      <c r="H105" s="469"/>
      <c r="I105" s="469"/>
      <c r="J105" s="469"/>
      <c r="K105" s="469"/>
      <c r="L105" s="469"/>
      <c r="M105" s="469"/>
      <c r="N105" s="469"/>
      <c r="O105" s="469"/>
      <c r="P105" s="469"/>
      <c r="Q105" s="469"/>
      <c r="R105" s="469"/>
      <c r="S105" s="469"/>
      <c r="T105" s="465"/>
      <c r="U105" s="465"/>
      <c r="V105" s="469"/>
      <c r="W105" s="469"/>
      <c r="X105" s="469"/>
      <c r="Y105" s="469"/>
      <c r="Z105" s="469"/>
      <c r="AA105" s="469"/>
      <c r="AB105" s="469"/>
      <c r="AC105" s="469"/>
      <c r="AD105" s="469"/>
      <c r="AE105" s="469"/>
      <c r="AF105" s="469"/>
      <c r="AG105" s="469"/>
      <c r="AH105" s="469"/>
      <c r="AI105" s="469"/>
      <c r="AJ105" s="469"/>
      <c r="AK105" s="469"/>
      <c r="AL105" s="469"/>
      <c r="AM105" s="469"/>
      <c r="AN105" s="469"/>
      <c r="AO105" s="469"/>
      <c r="AP105" s="469"/>
      <c r="AQ105" s="469"/>
      <c r="AR105" s="469"/>
      <c r="AS105" s="469"/>
      <c r="AT105" s="469"/>
      <c r="AU105" s="469"/>
      <c r="AV105" s="469"/>
      <c r="AW105" s="469"/>
      <c r="AX105" s="469"/>
      <c r="AY105" s="469"/>
      <c r="AZ105" s="469"/>
      <c r="BA105" s="469"/>
      <c r="BB105" s="469"/>
    </row>
    <row r="106" spans="1:74" s="503" customFormat="1" ht="18.75" x14ac:dyDescent="0.3">
      <c r="A106" s="469"/>
      <c r="B106" s="469"/>
      <c r="C106" s="469"/>
      <c r="D106" s="469"/>
      <c r="E106" s="469"/>
      <c r="F106" s="469"/>
      <c r="G106" s="469"/>
      <c r="H106" s="469"/>
      <c r="I106" s="469"/>
      <c r="J106" s="469"/>
      <c r="K106" s="469"/>
      <c r="L106" s="469"/>
      <c r="M106" s="469"/>
      <c r="N106" s="469"/>
      <c r="O106" s="469"/>
      <c r="P106" s="469"/>
      <c r="Q106" s="469"/>
      <c r="R106" s="469"/>
      <c r="S106" s="469"/>
      <c r="T106" s="465"/>
      <c r="U106" s="465"/>
      <c r="V106" s="469"/>
      <c r="W106" s="469"/>
      <c r="X106" s="469"/>
      <c r="Y106" s="469"/>
      <c r="Z106" s="469"/>
      <c r="AA106" s="469"/>
      <c r="AB106" s="469"/>
      <c r="AC106" s="469"/>
      <c r="AD106" s="469"/>
      <c r="AE106" s="469"/>
      <c r="AF106" s="469"/>
      <c r="AG106" s="469"/>
      <c r="AH106" s="469"/>
      <c r="AI106" s="469"/>
      <c r="AJ106" s="469"/>
      <c r="AK106" s="469"/>
      <c r="AL106" s="469"/>
      <c r="AM106" s="469"/>
      <c r="AN106" s="469"/>
      <c r="AO106" s="469"/>
      <c r="AP106" s="469"/>
      <c r="AQ106" s="469"/>
      <c r="AR106" s="469"/>
      <c r="AS106" s="469"/>
      <c r="AT106" s="469"/>
      <c r="AU106" s="469"/>
      <c r="AV106" s="469"/>
      <c r="AW106" s="469"/>
      <c r="AX106" s="469"/>
      <c r="AY106" s="469"/>
      <c r="AZ106" s="469"/>
      <c r="BA106" s="469"/>
      <c r="BB106" s="469"/>
    </row>
    <row r="107" spans="1:74" s="469" customFormat="1" ht="18.75" x14ac:dyDescent="0.3">
      <c r="T107" s="465"/>
      <c r="U107" s="465"/>
    </row>
    <row r="108" spans="1:74" s="469" customFormat="1" ht="18.75" x14ac:dyDescent="0.3">
      <c r="T108" s="465"/>
      <c r="U108" s="465"/>
    </row>
    <row r="109" spans="1:74" s="469" customFormat="1" ht="18.75" x14ac:dyDescent="0.3">
      <c r="T109" s="465"/>
      <c r="U109" s="465"/>
    </row>
    <row r="110" spans="1:74" s="469" customFormat="1" ht="18.75" x14ac:dyDescent="0.3">
      <c r="T110" s="465"/>
      <c r="U110" s="465"/>
    </row>
    <row r="111" spans="1:74" s="469" customFormat="1" ht="18.75" x14ac:dyDescent="0.3">
      <c r="A111" s="505"/>
      <c r="B111" s="505"/>
      <c r="C111" s="505"/>
      <c r="D111" s="505"/>
      <c r="E111" s="505"/>
      <c r="F111" s="505"/>
      <c r="G111" s="505"/>
      <c r="H111" s="505"/>
      <c r="I111" s="505"/>
      <c r="J111" s="505"/>
      <c r="K111" s="505"/>
      <c r="L111" s="505"/>
      <c r="M111" s="505"/>
      <c r="N111" s="505"/>
      <c r="O111" s="505"/>
      <c r="P111" s="505"/>
      <c r="Q111" s="505"/>
      <c r="R111" s="505"/>
      <c r="S111" s="505"/>
      <c r="T111" s="504"/>
      <c r="U111" s="504"/>
      <c r="V111" s="505"/>
      <c r="W111" s="505"/>
      <c r="X111" s="505"/>
      <c r="Y111" s="505"/>
      <c r="Z111" s="505"/>
      <c r="AA111" s="505"/>
      <c r="AB111" s="505"/>
      <c r="AC111" s="505"/>
      <c r="AD111" s="505"/>
      <c r="AE111" s="505"/>
      <c r="AF111" s="505"/>
      <c r="AG111" s="505"/>
      <c r="AH111" s="505"/>
      <c r="AI111" s="505"/>
      <c r="AJ111" s="505"/>
      <c r="AK111" s="505"/>
      <c r="AL111" s="505"/>
      <c r="AM111" s="505"/>
      <c r="AN111" s="505"/>
      <c r="AO111" s="505"/>
      <c r="AP111" s="505"/>
      <c r="AQ111" s="505"/>
      <c r="AR111" s="505"/>
      <c r="AS111" s="505"/>
      <c r="AT111" s="505"/>
      <c r="AU111" s="505"/>
      <c r="AV111" s="505"/>
      <c r="AW111" s="505"/>
      <c r="AX111" s="505"/>
      <c r="AY111" s="505"/>
      <c r="AZ111" s="505"/>
      <c r="BA111" s="505"/>
      <c r="BB111" s="505"/>
    </row>
    <row r="112" spans="1:74" s="469" customFormat="1" ht="18.75" x14ac:dyDescent="0.3">
      <c r="A112" s="505"/>
      <c r="B112" s="505"/>
      <c r="C112" s="505"/>
      <c r="D112" s="505"/>
      <c r="E112" s="505"/>
      <c r="F112" s="505"/>
      <c r="G112" s="505"/>
      <c r="H112" s="505"/>
      <c r="I112" s="505"/>
      <c r="J112" s="505"/>
      <c r="K112" s="505"/>
      <c r="L112" s="505"/>
      <c r="M112" s="505"/>
      <c r="N112" s="505"/>
      <c r="O112" s="505"/>
      <c r="P112" s="505"/>
      <c r="Q112" s="505"/>
      <c r="R112" s="505"/>
      <c r="S112" s="505"/>
      <c r="T112" s="504"/>
      <c r="U112" s="504"/>
      <c r="V112" s="505"/>
      <c r="W112" s="505"/>
      <c r="X112" s="505"/>
      <c r="Y112" s="505"/>
      <c r="Z112" s="505"/>
      <c r="AA112" s="505"/>
      <c r="AB112" s="505"/>
      <c r="AC112" s="505"/>
      <c r="AD112" s="505"/>
      <c r="AE112" s="505"/>
      <c r="AF112" s="505"/>
      <c r="AG112" s="505"/>
      <c r="AH112" s="505"/>
      <c r="AI112" s="505"/>
      <c r="AJ112" s="505"/>
      <c r="AK112" s="505"/>
      <c r="AL112" s="505"/>
      <c r="AM112" s="505"/>
      <c r="AN112" s="505"/>
      <c r="AO112" s="505"/>
      <c r="AP112" s="505"/>
      <c r="AQ112" s="505"/>
      <c r="AR112" s="505"/>
      <c r="AS112" s="505"/>
      <c r="AT112" s="505"/>
      <c r="AU112" s="505"/>
      <c r="AV112" s="505"/>
      <c r="AW112" s="505"/>
      <c r="AX112" s="505"/>
      <c r="AY112" s="505"/>
      <c r="AZ112" s="505"/>
      <c r="BA112" s="505"/>
      <c r="BB112" s="505"/>
    </row>
    <row r="113" spans="1:54" s="469" customFormat="1" ht="18.75" x14ac:dyDescent="0.3">
      <c r="A113" s="466"/>
      <c r="B113" s="466"/>
      <c r="C113" s="466"/>
      <c r="D113" s="466"/>
      <c r="E113" s="466"/>
      <c r="F113" s="466"/>
      <c r="G113" s="466"/>
      <c r="H113" s="466"/>
      <c r="I113" s="466"/>
      <c r="J113" s="466"/>
      <c r="K113" s="466"/>
      <c r="L113" s="466"/>
      <c r="M113" s="466"/>
      <c r="N113" s="466"/>
      <c r="O113" s="466"/>
      <c r="P113" s="466"/>
      <c r="Q113" s="466"/>
      <c r="R113" s="466"/>
      <c r="S113" s="466"/>
      <c r="T113" s="467"/>
      <c r="U113" s="467"/>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row>
    <row r="114" spans="1:54" s="469" customFormat="1" ht="18.75" x14ac:dyDescent="0.3">
      <c r="A114" s="466"/>
      <c r="B114" s="466"/>
      <c r="C114" s="466"/>
      <c r="D114" s="466"/>
      <c r="E114" s="466"/>
      <c r="F114" s="466"/>
      <c r="G114" s="466"/>
      <c r="H114" s="466"/>
      <c r="I114" s="466"/>
      <c r="J114" s="466"/>
      <c r="K114" s="466"/>
      <c r="L114" s="466"/>
      <c r="M114" s="466"/>
      <c r="N114" s="466"/>
      <c r="O114" s="466"/>
      <c r="P114" s="466"/>
      <c r="Q114" s="466"/>
      <c r="R114" s="466"/>
      <c r="S114" s="466"/>
      <c r="T114" s="467"/>
      <c r="U114" s="467"/>
      <c r="V114" s="466"/>
      <c r="W114" s="466"/>
      <c r="X114" s="466"/>
      <c r="Y114" s="466"/>
      <c r="Z114" s="466"/>
      <c r="AA114" s="466"/>
      <c r="AB114" s="466"/>
      <c r="AC114" s="466"/>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row>
    <row r="115" spans="1:54" s="469" customFormat="1" ht="18.75" x14ac:dyDescent="0.3">
      <c r="A115" s="466"/>
      <c r="B115" s="466"/>
      <c r="C115" s="466"/>
      <c r="D115" s="466"/>
      <c r="E115" s="466"/>
      <c r="F115" s="466"/>
      <c r="G115" s="466"/>
      <c r="H115" s="466"/>
      <c r="I115" s="466"/>
      <c r="J115" s="466"/>
      <c r="K115" s="466"/>
      <c r="L115" s="466"/>
      <c r="M115" s="466"/>
      <c r="N115" s="466"/>
      <c r="O115" s="466"/>
      <c r="P115" s="466"/>
      <c r="Q115" s="466"/>
      <c r="R115" s="466"/>
      <c r="S115" s="466"/>
      <c r="T115" s="467"/>
      <c r="U115" s="467"/>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row>
    <row r="116" spans="1:54" s="469" customFormat="1" ht="18.75" x14ac:dyDescent="0.3">
      <c r="A116" s="466"/>
      <c r="B116" s="466"/>
      <c r="C116" s="466"/>
      <c r="D116" s="466"/>
      <c r="E116" s="466"/>
      <c r="F116" s="466"/>
      <c r="G116" s="466"/>
      <c r="H116" s="466"/>
      <c r="I116" s="466"/>
      <c r="J116" s="466"/>
      <c r="K116" s="466"/>
      <c r="L116" s="466"/>
      <c r="M116" s="466"/>
      <c r="N116" s="466"/>
      <c r="O116" s="466"/>
      <c r="P116" s="466"/>
      <c r="Q116" s="466"/>
      <c r="R116" s="466"/>
      <c r="S116" s="466"/>
      <c r="T116" s="467"/>
      <c r="U116" s="467"/>
      <c r="V116" s="466"/>
      <c r="W116" s="466"/>
      <c r="X116" s="466"/>
      <c r="Y116" s="466"/>
      <c r="Z116" s="466"/>
      <c r="AA116" s="466"/>
      <c r="AB116" s="466"/>
      <c r="AC116" s="466"/>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row>
    <row r="117" spans="1:54" s="469" customFormat="1" ht="18.75" x14ac:dyDescent="0.3">
      <c r="A117" s="466"/>
      <c r="B117" s="466"/>
      <c r="C117" s="466"/>
      <c r="D117" s="466"/>
      <c r="E117" s="466"/>
      <c r="F117" s="466"/>
      <c r="G117" s="466"/>
      <c r="H117" s="466"/>
      <c r="I117" s="466"/>
      <c r="J117" s="466"/>
      <c r="K117" s="466"/>
      <c r="L117" s="466"/>
      <c r="M117" s="466"/>
      <c r="N117" s="466"/>
      <c r="O117" s="466"/>
      <c r="P117" s="466"/>
      <c r="Q117" s="466"/>
      <c r="R117" s="466"/>
      <c r="S117" s="466"/>
      <c r="T117" s="467"/>
      <c r="U117" s="467"/>
      <c r="V117" s="466"/>
      <c r="W117" s="466"/>
      <c r="X117" s="466"/>
      <c r="Y117" s="466"/>
      <c r="Z117" s="466"/>
      <c r="AA117" s="466"/>
      <c r="AB117" s="466"/>
      <c r="AC117" s="466"/>
      <c r="AD117" s="466"/>
      <c r="AE117" s="466"/>
      <c r="AF117" s="466"/>
      <c r="AG117" s="466"/>
      <c r="AH117" s="466"/>
      <c r="AI117" s="466"/>
      <c r="AJ117" s="466"/>
      <c r="AK117" s="466"/>
      <c r="AL117" s="466"/>
      <c r="AM117" s="466"/>
      <c r="AN117" s="466"/>
      <c r="AO117" s="466"/>
      <c r="AP117" s="466"/>
      <c r="AQ117" s="466"/>
      <c r="AR117" s="466"/>
      <c r="AS117" s="466"/>
      <c r="AT117" s="466"/>
      <c r="AU117" s="466"/>
      <c r="AV117" s="466"/>
      <c r="AW117" s="466"/>
      <c r="AX117" s="466"/>
      <c r="AY117" s="466"/>
      <c r="AZ117" s="466"/>
      <c r="BA117" s="466"/>
      <c r="BB117" s="466"/>
    </row>
    <row r="118" spans="1:54" s="469" customFormat="1" ht="18.75" x14ac:dyDescent="0.3">
      <c r="A118" s="466"/>
      <c r="B118" s="466"/>
      <c r="C118" s="466"/>
      <c r="D118" s="466"/>
      <c r="E118" s="466"/>
      <c r="F118" s="466"/>
      <c r="G118" s="466"/>
      <c r="H118" s="466"/>
      <c r="I118" s="466"/>
      <c r="J118" s="466"/>
      <c r="K118" s="466"/>
      <c r="L118" s="466"/>
      <c r="M118" s="466"/>
      <c r="N118" s="466"/>
      <c r="O118" s="466"/>
      <c r="P118" s="466"/>
      <c r="Q118" s="466"/>
      <c r="R118" s="466"/>
      <c r="S118" s="466"/>
      <c r="T118" s="467"/>
      <c r="U118" s="467"/>
      <c r="V118" s="466"/>
      <c r="W118" s="466"/>
      <c r="X118" s="466"/>
      <c r="Y118" s="466"/>
      <c r="Z118" s="466"/>
      <c r="AA118" s="466"/>
      <c r="AB118" s="466"/>
      <c r="AC118" s="466"/>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row>
    <row r="119" spans="1:54" s="469" customFormat="1" ht="18.75" x14ac:dyDescent="0.3">
      <c r="A119" s="466"/>
      <c r="B119" s="466"/>
      <c r="C119" s="466"/>
      <c r="D119" s="466"/>
      <c r="E119" s="466"/>
      <c r="F119" s="466"/>
      <c r="G119" s="466"/>
      <c r="H119" s="466"/>
      <c r="I119" s="466"/>
      <c r="J119" s="466"/>
      <c r="K119" s="466"/>
      <c r="L119" s="466"/>
      <c r="M119" s="466"/>
      <c r="N119" s="466"/>
      <c r="O119" s="466"/>
      <c r="P119" s="466"/>
      <c r="Q119" s="466"/>
      <c r="R119" s="466"/>
      <c r="S119" s="466"/>
      <c r="T119" s="467"/>
      <c r="U119" s="467"/>
      <c r="V119" s="466"/>
      <c r="W119" s="466"/>
      <c r="X119" s="466"/>
      <c r="Y119" s="466"/>
      <c r="Z119" s="466"/>
      <c r="AA119" s="466"/>
      <c r="AB119" s="466"/>
      <c r="AC119" s="466"/>
      <c r="AD119" s="466"/>
      <c r="AE119" s="466"/>
      <c r="AF119" s="466"/>
      <c r="AG119" s="466"/>
      <c r="AH119" s="466"/>
      <c r="AI119" s="466"/>
      <c r="AJ119" s="466"/>
      <c r="AK119" s="466"/>
      <c r="AL119" s="466"/>
      <c r="AM119" s="466"/>
      <c r="AN119" s="466"/>
      <c r="AO119" s="466"/>
      <c r="AP119" s="466"/>
      <c r="AQ119" s="466"/>
      <c r="AR119" s="466"/>
      <c r="AS119" s="466"/>
      <c r="AT119" s="466"/>
      <c r="AU119" s="466"/>
      <c r="AV119" s="466"/>
      <c r="AW119" s="466"/>
      <c r="AX119" s="466"/>
      <c r="AY119" s="466"/>
      <c r="AZ119" s="466"/>
      <c r="BA119" s="466"/>
      <c r="BB119" s="466"/>
    </row>
    <row r="120" spans="1:54" s="469" customFormat="1" ht="18.75" x14ac:dyDescent="0.3">
      <c r="A120" s="466"/>
      <c r="B120" s="466"/>
      <c r="C120" s="466"/>
      <c r="D120" s="466"/>
      <c r="E120" s="466"/>
      <c r="F120" s="466"/>
      <c r="G120" s="466"/>
      <c r="H120" s="466"/>
      <c r="I120" s="466"/>
      <c r="J120" s="466"/>
      <c r="K120" s="466"/>
      <c r="L120" s="466"/>
      <c r="M120" s="466"/>
      <c r="N120" s="466"/>
      <c r="O120" s="466"/>
      <c r="P120" s="466"/>
      <c r="Q120" s="466"/>
      <c r="R120" s="466"/>
      <c r="S120" s="466"/>
      <c r="T120" s="467"/>
      <c r="U120" s="467"/>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466"/>
      <c r="AY120" s="466"/>
      <c r="AZ120" s="466"/>
      <c r="BA120" s="466"/>
      <c r="BB120" s="466"/>
    </row>
    <row r="121" spans="1:54" s="469" customFormat="1" ht="18.75" x14ac:dyDescent="0.3">
      <c r="A121" s="466"/>
      <c r="B121" s="466"/>
      <c r="C121" s="466"/>
      <c r="D121" s="466"/>
      <c r="E121" s="466"/>
      <c r="F121" s="466"/>
      <c r="G121" s="466"/>
      <c r="H121" s="466"/>
      <c r="I121" s="466"/>
      <c r="J121" s="466"/>
      <c r="K121" s="466"/>
      <c r="L121" s="466"/>
      <c r="M121" s="466"/>
      <c r="N121" s="466"/>
      <c r="O121" s="466"/>
      <c r="P121" s="466"/>
      <c r="Q121" s="466"/>
      <c r="R121" s="466"/>
      <c r="S121" s="466"/>
      <c r="T121" s="467"/>
      <c r="U121" s="467"/>
      <c r="V121" s="466"/>
      <c r="W121" s="466"/>
      <c r="X121" s="466"/>
      <c r="Y121" s="466"/>
      <c r="Z121" s="466"/>
      <c r="AA121" s="466"/>
      <c r="AB121" s="466"/>
      <c r="AC121" s="466"/>
      <c r="AD121" s="466"/>
      <c r="AE121" s="466"/>
      <c r="AF121" s="466"/>
      <c r="AG121" s="466"/>
      <c r="AH121" s="466"/>
      <c r="AI121" s="466"/>
      <c r="AJ121" s="466"/>
      <c r="AK121" s="466"/>
      <c r="AL121" s="466"/>
      <c r="AM121" s="466"/>
      <c r="AN121" s="466"/>
      <c r="AO121" s="466"/>
      <c r="AP121" s="466"/>
      <c r="AQ121" s="466"/>
      <c r="AR121" s="466"/>
      <c r="AS121" s="466"/>
      <c r="AT121" s="466"/>
      <c r="AU121" s="466"/>
      <c r="AV121" s="466"/>
      <c r="AW121" s="466"/>
      <c r="AX121" s="466"/>
      <c r="AY121" s="466"/>
      <c r="AZ121" s="466"/>
      <c r="BA121" s="466"/>
      <c r="BB121" s="466"/>
    </row>
    <row r="122" spans="1:54" s="469" customFormat="1" ht="18.75" x14ac:dyDescent="0.3">
      <c r="A122" s="466"/>
      <c r="B122" s="466"/>
      <c r="C122" s="466"/>
      <c r="D122" s="466"/>
      <c r="E122" s="466"/>
      <c r="F122" s="466"/>
      <c r="G122" s="466"/>
      <c r="H122" s="466"/>
      <c r="I122" s="466"/>
      <c r="J122" s="466"/>
      <c r="K122" s="466"/>
      <c r="L122" s="466"/>
      <c r="M122" s="466"/>
      <c r="N122" s="466"/>
      <c r="O122" s="466"/>
      <c r="P122" s="466"/>
      <c r="Q122" s="466"/>
      <c r="R122" s="466"/>
      <c r="S122" s="466"/>
      <c r="T122" s="467"/>
      <c r="U122" s="467"/>
      <c r="V122" s="466"/>
      <c r="W122" s="466"/>
      <c r="X122" s="466"/>
      <c r="Y122" s="466"/>
      <c r="Z122" s="466"/>
      <c r="AA122" s="466"/>
      <c r="AB122" s="466"/>
      <c r="AC122" s="466"/>
      <c r="AD122" s="466"/>
      <c r="AE122" s="466"/>
      <c r="AF122" s="466"/>
      <c r="AG122" s="466"/>
      <c r="AH122" s="466"/>
      <c r="AI122" s="466"/>
      <c r="AJ122" s="466"/>
      <c r="AK122" s="466"/>
      <c r="AL122" s="466"/>
      <c r="AM122" s="466"/>
      <c r="AN122" s="466"/>
      <c r="AO122" s="466"/>
      <c r="AP122" s="466"/>
      <c r="AQ122" s="466"/>
      <c r="AR122" s="466"/>
      <c r="AS122" s="466"/>
      <c r="AT122" s="466"/>
      <c r="AU122" s="466"/>
      <c r="AV122" s="466"/>
      <c r="AW122" s="466"/>
      <c r="AX122" s="466"/>
      <c r="AY122" s="466"/>
      <c r="AZ122" s="466"/>
      <c r="BA122" s="466"/>
      <c r="BB122" s="466"/>
    </row>
    <row r="123" spans="1:54" s="469" customFormat="1" ht="18.75" x14ac:dyDescent="0.3">
      <c r="A123" s="466"/>
      <c r="B123" s="466"/>
      <c r="C123" s="466"/>
      <c r="D123" s="466"/>
      <c r="E123" s="466"/>
      <c r="F123" s="466"/>
      <c r="G123" s="466"/>
      <c r="H123" s="466"/>
      <c r="I123" s="466"/>
      <c r="J123" s="466"/>
      <c r="K123" s="466"/>
      <c r="L123" s="466"/>
      <c r="M123" s="466"/>
      <c r="N123" s="466"/>
      <c r="O123" s="466"/>
      <c r="P123" s="466"/>
      <c r="Q123" s="466"/>
      <c r="R123" s="466"/>
      <c r="S123" s="466"/>
      <c r="T123" s="467"/>
      <c r="U123" s="467"/>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6"/>
      <c r="AY123" s="466"/>
      <c r="AZ123" s="466"/>
      <c r="BA123" s="466"/>
      <c r="BB123" s="466"/>
    </row>
    <row r="124" spans="1:54" s="469" customFormat="1" ht="18.75" x14ac:dyDescent="0.3">
      <c r="A124" s="466"/>
      <c r="B124" s="466"/>
      <c r="C124" s="466"/>
      <c r="D124" s="466"/>
      <c r="E124" s="466"/>
      <c r="F124" s="466"/>
      <c r="G124" s="466"/>
      <c r="H124" s="466"/>
      <c r="I124" s="466"/>
      <c r="J124" s="466"/>
      <c r="K124" s="466"/>
      <c r="L124" s="466"/>
      <c r="M124" s="466"/>
      <c r="N124" s="466"/>
      <c r="O124" s="466"/>
      <c r="P124" s="466"/>
      <c r="Q124" s="466"/>
      <c r="R124" s="466"/>
      <c r="S124" s="466"/>
      <c r="T124" s="467"/>
      <c r="U124" s="467"/>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row>
    <row r="125" spans="1:54" s="505" customFormat="1" ht="15.75" x14ac:dyDescent="0.25">
      <c r="A125" s="466"/>
      <c r="B125" s="466"/>
      <c r="C125" s="466"/>
      <c r="D125" s="466"/>
      <c r="E125" s="466"/>
      <c r="F125" s="466"/>
      <c r="G125" s="466"/>
      <c r="H125" s="466"/>
      <c r="I125" s="466"/>
      <c r="J125" s="466"/>
      <c r="K125" s="466"/>
      <c r="L125" s="466"/>
      <c r="M125" s="466"/>
      <c r="N125" s="466"/>
      <c r="O125" s="466"/>
      <c r="P125" s="466"/>
      <c r="Q125" s="466"/>
      <c r="R125" s="466"/>
      <c r="S125" s="466"/>
      <c r="T125" s="467"/>
      <c r="U125" s="467"/>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6"/>
      <c r="AY125" s="466"/>
      <c r="AZ125" s="466"/>
      <c r="BA125" s="466"/>
      <c r="BB125" s="466"/>
    </row>
    <row r="126" spans="1:54" s="505" customFormat="1" ht="15.75" x14ac:dyDescent="0.25">
      <c r="A126" s="466"/>
      <c r="B126" s="466"/>
      <c r="C126" s="466"/>
      <c r="D126" s="466"/>
      <c r="E126" s="466"/>
      <c r="F126" s="466"/>
      <c r="G126" s="466"/>
      <c r="H126" s="466"/>
      <c r="I126" s="466"/>
      <c r="J126" s="466"/>
      <c r="K126" s="466"/>
      <c r="L126" s="466"/>
      <c r="M126" s="466"/>
      <c r="N126" s="466"/>
      <c r="O126" s="466"/>
      <c r="P126" s="466"/>
      <c r="Q126" s="466"/>
      <c r="R126" s="466"/>
      <c r="S126" s="466"/>
      <c r="T126" s="467"/>
      <c r="U126" s="467"/>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row>
    <row r="127" spans="1:54" x14ac:dyDescent="0.2">
      <c r="T127" s="467"/>
      <c r="U127" s="467"/>
    </row>
    <row r="128" spans="1:54" x14ac:dyDescent="0.2">
      <c r="T128" s="467"/>
      <c r="U128" s="467"/>
    </row>
    <row r="129" spans="20:21" x14ac:dyDescent="0.2">
      <c r="T129" s="467"/>
      <c r="U129" s="467"/>
    </row>
    <row r="130" spans="20:21" x14ac:dyDescent="0.2">
      <c r="T130" s="467"/>
      <c r="U130" s="467"/>
    </row>
  </sheetData>
  <mergeCells count="37">
    <mergeCell ref="H5:J5"/>
    <mergeCell ref="H6:J6"/>
    <mergeCell ref="W5:Y5"/>
    <mergeCell ref="BI5:BK5"/>
    <mergeCell ref="AC5:AE5"/>
    <mergeCell ref="AI5:AK5"/>
    <mergeCell ref="AL5:AN5"/>
    <mergeCell ref="AO5:AQ5"/>
    <mergeCell ref="AR5:AT5"/>
    <mergeCell ref="K6:M6"/>
    <mergeCell ref="N6:P6"/>
    <mergeCell ref="Q6:S6"/>
    <mergeCell ref="K5:M5"/>
    <mergeCell ref="N5:P5"/>
    <mergeCell ref="Q5:S5"/>
    <mergeCell ref="BI6:BK6"/>
    <mergeCell ref="B5:D5"/>
    <mergeCell ref="E5:G5"/>
    <mergeCell ref="BC5:BE5"/>
    <mergeCell ref="BF5:BH5"/>
    <mergeCell ref="T6:V6"/>
    <mergeCell ref="W6:Y6"/>
    <mergeCell ref="Z6:AB6"/>
    <mergeCell ref="AC6:AE6"/>
    <mergeCell ref="AF6:AH6"/>
    <mergeCell ref="BC6:BE6"/>
    <mergeCell ref="BF6:BH6"/>
    <mergeCell ref="AW5:AY5"/>
    <mergeCell ref="AZ5:BB5"/>
    <mergeCell ref="B6:D6"/>
    <mergeCell ref="E6:G6"/>
    <mergeCell ref="AI6:AK6"/>
    <mergeCell ref="AL6:AN6"/>
    <mergeCell ref="AO6:AQ6"/>
    <mergeCell ref="AR6:AT6"/>
    <mergeCell ref="AW6:AY6"/>
    <mergeCell ref="AZ6:BB6"/>
  </mergeCells>
  <conditionalFormatting sqref="N64">
    <cfRule type="expression" dxfId="152" priority="277">
      <formula>#REF! ="64≠29+62"</formula>
    </cfRule>
  </conditionalFormatting>
  <conditionalFormatting sqref="N91">
    <cfRule type="expression" dxfId="151" priority="278">
      <formula>#REF! = "64≠94"</formula>
    </cfRule>
  </conditionalFormatting>
  <conditionalFormatting sqref="N91">
    <cfRule type="expression" dxfId="150" priority="279">
      <formula>#REF! = "94≠68+69+71+80+88+89+90+91+92"</formula>
    </cfRule>
  </conditionalFormatting>
  <conditionalFormatting sqref="N35">
    <cfRule type="expression" dxfId="149" priority="280">
      <formula>#REF! ="35≠36+38"</formula>
    </cfRule>
  </conditionalFormatting>
  <conditionalFormatting sqref="N39">
    <cfRule type="expression" dxfId="148" priority="281">
      <formula>#REF! ="39≠40+41+42+43+44"</formula>
    </cfRule>
  </conditionalFormatting>
  <conditionalFormatting sqref="N45">
    <cfRule type="expression" dxfId="147" priority="282">
      <formula>#REF! ="45≠33+34+35+39"</formula>
    </cfRule>
  </conditionalFormatting>
  <conditionalFormatting sqref="N50">
    <cfRule type="expression" dxfId="146" priority="283">
      <formula>#REF! ="50≠51+53"</formula>
    </cfRule>
  </conditionalFormatting>
  <conditionalFormatting sqref="N54">
    <cfRule type="expression" dxfId="145" priority="284">
      <formula>#REF! ="54≠55+56+57+58+59"</formula>
    </cfRule>
  </conditionalFormatting>
  <conditionalFormatting sqref="N60">
    <cfRule type="expression" dxfId="144" priority="285">
      <formula>#REF! ="60≠48+49+50+54"</formula>
    </cfRule>
  </conditionalFormatting>
  <conditionalFormatting sqref="N62">
    <cfRule type="expression" dxfId="143" priority="286">
      <formula>#REF! ="62≠45+46+60+61"</formula>
    </cfRule>
  </conditionalFormatting>
  <conditionalFormatting sqref="N79">
    <cfRule type="expression" dxfId="142" priority="287">
      <formula>#REF! ="80≠73+74+75+76+77+78+79"</formula>
    </cfRule>
  </conditionalFormatting>
  <conditionalFormatting sqref="N85">
    <cfRule type="expression" dxfId="141" priority="288">
      <formula>#REF! ="88≠82+83+84+85+86+87"</formula>
    </cfRule>
  </conditionalFormatting>
  <conditionalFormatting sqref="AI64">
    <cfRule type="expression" dxfId="140" priority="253">
      <formula>#REF! ="64≠29+62"</formula>
    </cfRule>
  </conditionalFormatting>
  <conditionalFormatting sqref="AI91">
    <cfRule type="expression" dxfId="139" priority="254">
      <formula>#REF! = "64≠94"</formula>
    </cfRule>
  </conditionalFormatting>
  <conditionalFormatting sqref="AI91">
    <cfRule type="expression" dxfId="138" priority="255">
      <formula>#REF! = "94≠68+69+71+80+88+89+90+91+92"</formula>
    </cfRule>
  </conditionalFormatting>
  <conditionalFormatting sqref="AI35">
    <cfRule type="expression" dxfId="137" priority="256">
      <formula>#REF! ="35≠36+38"</formula>
    </cfRule>
  </conditionalFormatting>
  <conditionalFormatting sqref="AI39">
    <cfRule type="expression" dxfId="136" priority="257">
      <formula>#REF! ="39≠40+41+42+43+44"</formula>
    </cfRule>
  </conditionalFormatting>
  <conditionalFormatting sqref="AI45">
    <cfRule type="expression" dxfId="135" priority="258">
      <formula>#REF! ="45≠33+34+35+39"</formula>
    </cfRule>
  </conditionalFormatting>
  <conditionalFormatting sqref="AI50">
    <cfRule type="expression" dxfId="134" priority="259">
      <formula>#REF! ="50≠51+53"</formula>
    </cfRule>
  </conditionalFormatting>
  <conditionalFormatting sqref="AI54">
    <cfRule type="expression" dxfId="133" priority="260">
      <formula>#REF! ="54≠55+56+57+58+59"</formula>
    </cfRule>
  </conditionalFormatting>
  <conditionalFormatting sqref="AI60">
    <cfRule type="expression" dxfId="132" priority="261">
      <formula>#REF! ="60≠48+49+50+54"</formula>
    </cfRule>
  </conditionalFormatting>
  <conditionalFormatting sqref="AI62">
    <cfRule type="expression" dxfId="131" priority="262">
      <formula>#REF! ="62≠45+46+60+61"</formula>
    </cfRule>
  </conditionalFormatting>
  <conditionalFormatting sqref="AI79">
    <cfRule type="expression" dxfId="130" priority="263">
      <formula>#REF! ="80≠73+74+75+76+77+78+79"</formula>
    </cfRule>
  </conditionalFormatting>
  <conditionalFormatting sqref="AI85">
    <cfRule type="expression" dxfId="129" priority="264">
      <formula>#REF! ="88≠82+83+84+85+86+87"</formula>
    </cfRule>
  </conditionalFormatting>
  <conditionalFormatting sqref="AL64">
    <cfRule type="expression" dxfId="128" priority="229">
      <formula>#REF! ="64≠29+62"</formula>
    </cfRule>
  </conditionalFormatting>
  <conditionalFormatting sqref="AL91">
    <cfRule type="expression" dxfId="127" priority="230">
      <formula>#REF! = "64≠94"</formula>
    </cfRule>
  </conditionalFormatting>
  <conditionalFormatting sqref="AL91">
    <cfRule type="expression" dxfId="126" priority="231">
      <formula>#REF! = "94≠68+69+71+80+88+89+90+91+92"</formula>
    </cfRule>
  </conditionalFormatting>
  <conditionalFormatting sqref="AL35">
    <cfRule type="expression" dxfId="125" priority="232">
      <formula>#REF! ="35≠36+38"</formula>
    </cfRule>
  </conditionalFormatting>
  <conditionalFormatting sqref="AL39">
    <cfRule type="expression" dxfId="124" priority="233">
      <formula>#REF! ="39≠40+41+42+43+44"</formula>
    </cfRule>
  </conditionalFormatting>
  <conditionalFormatting sqref="AL45">
    <cfRule type="expression" dxfId="123" priority="234">
      <formula>#REF! ="45≠33+34+35+39"</formula>
    </cfRule>
  </conditionalFormatting>
  <conditionalFormatting sqref="AL50">
    <cfRule type="expression" dxfId="122" priority="235">
      <formula>#REF! ="50≠51+53"</formula>
    </cfRule>
  </conditionalFormatting>
  <conditionalFormatting sqref="AL54">
    <cfRule type="expression" dxfId="121" priority="236">
      <formula>#REF! ="54≠55+56+57+58+59"</formula>
    </cfRule>
  </conditionalFormatting>
  <conditionalFormatting sqref="AL60">
    <cfRule type="expression" dxfId="120" priority="237">
      <formula>#REF! ="60≠48+49+50+54"</formula>
    </cfRule>
  </conditionalFormatting>
  <conditionalFormatting sqref="AL62">
    <cfRule type="expression" dxfId="119" priority="238">
      <formula>#REF! ="62≠45+46+60+61"</formula>
    </cfRule>
  </conditionalFormatting>
  <conditionalFormatting sqref="AL79">
    <cfRule type="expression" dxfId="118" priority="239">
      <formula>#REF! ="80≠73+74+75+76+77+78+79"</formula>
    </cfRule>
  </conditionalFormatting>
  <conditionalFormatting sqref="AL85">
    <cfRule type="expression" dxfId="117" priority="240">
      <formula>#REF! ="88≠82+83+84+85+86+87"</formula>
    </cfRule>
  </conditionalFormatting>
  <conditionalFormatting sqref="Z35">
    <cfRule type="expression" dxfId="116" priority="208">
      <formula>#REF! ="35≠36+38"</formula>
    </cfRule>
  </conditionalFormatting>
  <conditionalFormatting sqref="Z39">
    <cfRule type="expression" dxfId="115" priority="209">
      <formula>#REF! ="39≠40+41+42+43+44"</formula>
    </cfRule>
  </conditionalFormatting>
  <conditionalFormatting sqref="Z45">
    <cfRule type="expression" dxfId="114" priority="210">
      <formula>#REF! ="45≠33+34+35+39"</formula>
    </cfRule>
  </conditionalFormatting>
  <conditionalFormatting sqref="Z50">
    <cfRule type="expression" dxfId="113" priority="211">
      <formula>#REF! ="50≠51+53"</formula>
    </cfRule>
  </conditionalFormatting>
  <conditionalFormatting sqref="Z54">
    <cfRule type="expression" dxfId="112" priority="212">
      <formula>#REF! ="54≠55+56+57+58+59"</formula>
    </cfRule>
  </conditionalFormatting>
  <conditionalFormatting sqref="Z60">
    <cfRule type="expression" dxfId="111" priority="213">
      <formula>#REF! ="60≠48+49+50+54"</formula>
    </cfRule>
  </conditionalFormatting>
  <conditionalFormatting sqref="Z62">
    <cfRule type="expression" dxfId="110" priority="214">
      <formula>#REF! ="62≠45+46+60+61"</formula>
    </cfRule>
  </conditionalFormatting>
  <conditionalFormatting sqref="Z79">
    <cfRule type="expression" dxfId="109" priority="215">
      <formula>#REF! ="80≠73+74+75+76+77+78+79"</formula>
    </cfRule>
  </conditionalFormatting>
  <conditionalFormatting sqref="Z85">
    <cfRule type="expression" dxfId="108" priority="216">
      <formula>#REF! ="88≠82+83+84+85+86+87"</formula>
    </cfRule>
  </conditionalFormatting>
  <conditionalFormatting sqref="B64">
    <cfRule type="expression" dxfId="107" priority="181">
      <formula>#REF! ="64≠29+62"</formula>
    </cfRule>
  </conditionalFormatting>
  <conditionalFormatting sqref="B91">
    <cfRule type="expression" dxfId="106" priority="182">
      <formula>#REF! = "64≠94"</formula>
    </cfRule>
  </conditionalFormatting>
  <conditionalFormatting sqref="B91">
    <cfRule type="expression" dxfId="105" priority="183">
      <formula>#REF! = "94≠68+69+71+80+88+89+90+91+92"</formula>
    </cfRule>
  </conditionalFormatting>
  <conditionalFormatting sqref="B35">
    <cfRule type="expression" dxfId="104" priority="184">
      <formula>#REF! ="35≠36+38"</formula>
    </cfRule>
  </conditionalFormatting>
  <conditionalFormatting sqref="B39">
    <cfRule type="expression" dxfId="103" priority="185">
      <formula>#REF! ="39≠40+41+42+43+44"</formula>
    </cfRule>
  </conditionalFormatting>
  <conditionalFormatting sqref="B45">
    <cfRule type="expression" dxfId="102" priority="186">
      <formula>#REF! ="45≠33+34+35+39"</formula>
    </cfRule>
  </conditionalFormatting>
  <conditionalFormatting sqref="B50">
    <cfRule type="expression" dxfId="101" priority="187">
      <formula>#REF! ="50≠51+53"</formula>
    </cfRule>
  </conditionalFormatting>
  <conditionalFormatting sqref="B54">
    <cfRule type="expression" dxfId="100" priority="188">
      <formula>#REF! ="54≠55+56+57+58+59"</formula>
    </cfRule>
  </conditionalFormatting>
  <conditionalFormatting sqref="B60">
    <cfRule type="expression" dxfId="99" priority="189">
      <formula>#REF! ="60≠48+49+50+54"</formula>
    </cfRule>
  </conditionalFormatting>
  <conditionalFormatting sqref="B62">
    <cfRule type="expression" dxfId="98" priority="190">
      <formula>#REF! ="62≠45+46+60+61"</formula>
    </cfRule>
  </conditionalFormatting>
  <conditionalFormatting sqref="B79">
    <cfRule type="expression" dxfId="97" priority="191">
      <formula>#REF! ="80≠73+74+75+76+77+78+79"</formula>
    </cfRule>
  </conditionalFormatting>
  <conditionalFormatting sqref="B85">
    <cfRule type="expression" dxfId="96" priority="192">
      <formula>#REF! ="88≠82+83+84+85+86+87"</formula>
    </cfRule>
  </conditionalFormatting>
  <conditionalFormatting sqref="T64">
    <cfRule type="expression" dxfId="95" priority="157">
      <formula>#REF! ="64≠29+62"</formula>
    </cfRule>
  </conditionalFormatting>
  <conditionalFormatting sqref="T91">
    <cfRule type="expression" dxfId="94" priority="158">
      <formula>#REF! = "64≠94"</formula>
    </cfRule>
  </conditionalFormatting>
  <conditionalFormatting sqref="T91">
    <cfRule type="expression" dxfId="93" priority="159">
      <formula>#REF! = "94≠68+69+71+80+88+89+90+91+92"</formula>
    </cfRule>
  </conditionalFormatting>
  <conditionalFormatting sqref="T35">
    <cfRule type="expression" dxfId="92" priority="160">
      <formula>#REF! ="35≠36+38"</formula>
    </cfRule>
  </conditionalFormatting>
  <conditionalFormatting sqref="T39">
    <cfRule type="expression" dxfId="91" priority="161">
      <formula>#REF! ="39≠40+41+42+43+44"</formula>
    </cfRule>
  </conditionalFormatting>
  <conditionalFormatting sqref="T45">
    <cfRule type="expression" dxfId="90" priority="162">
      <formula>#REF! ="45≠33+34+35+39"</formula>
    </cfRule>
  </conditionalFormatting>
  <conditionalFormatting sqref="T50">
    <cfRule type="expression" dxfId="89" priority="163">
      <formula>#REF! ="50≠51+53"</formula>
    </cfRule>
  </conditionalFormatting>
  <conditionalFormatting sqref="T54">
    <cfRule type="expression" dxfId="88" priority="164">
      <formula>#REF! ="54≠55+56+57+58+59"</formula>
    </cfRule>
  </conditionalFormatting>
  <conditionalFormatting sqref="T60">
    <cfRule type="expression" dxfId="87" priority="165">
      <formula>#REF! ="60≠48+49+50+54"</formula>
    </cfRule>
  </conditionalFormatting>
  <conditionalFormatting sqref="T62">
    <cfRule type="expression" dxfId="86" priority="166">
      <formula>#REF! ="62≠45+46+60+61"</formula>
    </cfRule>
  </conditionalFormatting>
  <conditionalFormatting sqref="T79">
    <cfRule type="expression" dxfId="85" priority="167">
      <formula>#REF! ="80≠73+74+75+76+77+78+79"</formula>
    </cfRule>
  </conditionalFormatting>
  <conditionalFormatting sqref="T85">
    <cfRule type="expression" dxfId="84" priority="168">
      <formula>#REF! ="88≠82+83+84+85+86+87"</formula>
    </cfRule>
  </conditionalFormatting>
  <conditionalFormatting sqref="AC64">
    <cfRule type="expression" dxfId="83" priority="133">
      <formula>#REF! ="64≠29+62"</formula>
    </cfRule>
  </conditionalFormatting>
  <conditionalFormatting sqref="AC91">
    <cfRule type="expression" dxfId="82" priority="134">
      <formula>#REF! = "64≠94"</formula>
    </cfRule>
  </conditionalFormatting>
  <conditionalFormatting sqref="AC91">
    <cfRule type="expression" dxfId="81" priority="135">
      <formula>#REF! = "94≠68+69+71+80+88+89+90+91+92"</formula>
    </cfRule>
  </conditionalFormatting>
  <conditionalFormatting sqref="AC35">
    <cfRule type="expression" dxfId="80" priority="136">
      <formula>#REF! ="35≠36+38"</formula>
    </cfRule>
  </conditionalFormatting>
  <conditionalFormatting sqref="AC39">
    <cfRule type="expression" dxfId="79" priority="137">
      <formula>#REF! ="39≠40+41+42+43+44"</formula>
    </cfRule>
  </conditionalFormatting>
  <conditionalFormatting sqref="AC45">
    <cfRule type="expression" dxfId="78" priority="138">
      <formula>#REF! ="45≠33+34+35+39"</formula>
    </cfRule>
  </conditionalFormatting>
  <conditionalFormatting sqref="AC50">
    <cfRule type="expression" dxfId="77" priority="139">
      <formula>#REF! ="50≠51+53"</formula>
    </cfRule>
  </conditionalFormatting>
  <conditionalFormatting sqref="AC54">
    <cfRule type="expression" dxfId="76" priority="140">
      <formula>#REF! ="54≠55+56+57+58+59"</formula>
    </cfRule>
  </conditionalFormatting>
  <conditionalFormatting sqref="AC60">
    <cfRule type="expression" dxfId="75" priority="141">
      <formula>#REF! ="60≠48+49+50+54"</formula>
    </cfRule>
  </conditionalFormatting>
  <conditionalFormatting sqref="AC62">
    <cfRule type="expression" dxfId="74" priority="142">
      <formula>#REF! ="62≠45+46+60+61"</formula>
    </cfRule>
  </conditionalFormatting>
  <conditionalFormatting sqref="AC79">
    <cfRule type="expression" dxfId="73" priority="143">
      <formula>#REF! ="80≠73+74+75+76+77+78+79"</formula>
    </cfRule>
  </conditionalFormatting>
  <conditionalFormatting sqref="AC85">
    <cfRule type="expression" dxfId="72" priority="144">
      <formula>#REF! ="88≠82+83+84+85+86+87"</formula>
    </cfRule>
  </conditionalFormatting>
  <conditionalFormatting sqref="K64">
    <cfRule type="expression" dxfId="71" priority="97">
      <formula>#REF! ="64≠29+62"</formula>
    </cfRule>
  </conditionalFormatting>
  <conditionalFormatting sqref="K91">
    <cfRule type="expression" dxfId="70" priority="98">
      <formula>#REF! = "64≠94"</formula>
    </cfRule>
  </conditionalFormatting>
  <conditionalFormatting sqref="K91">
    <cfRule type="expression" dxfId="69" priority="99">
      <formula>#REF! = "94≠68+69+71+80+88+89+90+91+92"</formula>
    </cfRule>
  </conditionalFormatting>
  <conditionalFormatting sqref="K35">
    <cfRule type="expression" dxfId="68" priority="100">
      <formula>#REF! ="35≠36+38"</formula>
    </cfRule>
  </conditionalFormatting>
  <conditionalFormatting sqref="K39">
    <cfRule type="expression" dxfId="67" priority="101">
      <formula>#REF! ="39≠40+41+42+43+44"</formula>
    </cfRule>
  </conditionalFormatting>
  <conditionalFormatting sqref="K45">
    <cfRule type="expression" dxfId="66" priority="102">
      <formula>#REF! ="45≠33+34+35+39"</formula>
    </cfRule>
  </conditionalFormatting>
  <conditionalFormatting sqref="K50">
    <cfRule type="expression" dxfId="65" priority="103">
      <formula>#REF! ="50≠51+53"</formula>
    </cfRule>
  </conditionalFormatting>
  <conditionalFormatting sqref="K54">
    <cfRule type="expression" dxfId="64" priority="104">
      <formula>#REF! ="54≠55+56+57+58+59"</formula>
    </cfRule>
  </conditionalFormatting>
  <conditionalFormatting sqref="K60">
    <cfRule type="expression" dxfId="63" priority="105">
      <formula>#REF! ="60≠48+49+50+54"</formula>
    </cfRule>
  </conditionalFormatting>
  <conditionalFormatting sqref="K62">
    <cfRule type="expression" dxfId="62" priority="106">
      <formula>#REF! ="62≠45+46+60+61"</formula>
    </cfRule>
  </conditionalFormatting>
  <conditionalFormatting sqref="K79">
    <cfRule type="expression" dxfId="61" priority="107">
      <formula>#REF! ="80≠73+74+75+76+77+78+79"</formula>
    </cfRule>
  </conditionalFormatting>
  <conditionalFormatting sqref="K85">
    <cfRule type="expression" dxfId="60" priority="108">
      <formula>#REF! ="88≠82+83+84+85+86+87"</formula>
    </cfRule>
  </conditionalFormatting>
  <conditionalFormatting sqref="E64">
    <cfRule type="expression" dxfId="59" priority="73">
      <formula>#REF! ="64≠29+62"</formula>
    </cfRule>
  </conditionalFormatting>
  <conditionalFormatting sqref="E91">
    <cfRule type="expression" dxfId="58" priority="74">
      <formula>#REF! = "64≠94"</formula>
    </cfRule>
  </conditionalFormatting>
  <conditionalFormatting sqref="E91">
    <cfRule type="expression" dxfId="57" priority="75">
      <formula>#REF! = "94≠68+69+71+80+88+89+90+91+92"</formula>
    </cfRule>
  </conditionalFormatting>
  <conditionalFormatting sqref="E35">
    <cfRule type="expression" dxfId="56" priority="76">
      <formula>#REF! ="35≠36+38"</formula>
    </cfRule>
  </conditionalFormatting>
  <conditionalFormatting sqref="E39">
    <cfRule type="expression" dxfId="55" priority="77">
      <formula>#REF! ="39≠40+41+42+43+44"</formula>
    </cfRule>
  </conditionalFormatting>
  <conditionalFormatting sqref="E45">
    <cfRule type="expression" dxfId="54" priority="78">
      <formula>#REF! ="45≠33+34+35+39"</formula>
    </cfRule>
  </conditionalFormatting>
  <conditionalFormatting sqref="E50">
    <cfRule type="expression" dxfId="53" priority="79">
      <formula>#REF! ="50≠51+53"</formula>
    </cfRule>
  </conditionalFormatting>
  <conditionalFormatting sqref="E54">
    <cfRule type="expression" dxfId="52" priority="80">
      <formula>#REF! ="54≠55+56+57+58+59"</formula>
    </cfRule>
  </conditionalFormatting>
  <conditionalFormatting sqref="E60">
    <cfRule type="expression" dxfId="51" priority="81">
      <formula>#REF! ="60≠48+49+50+54"</formula>
    </cfRule>
  </conditionalFormatting>
  <conditionalFormatting sqref="E62">
    <cfRule type="expression" dxfId="50" priority="82">
      <formula>#REF! ="62≠45+46+60+61"</formula>
    </cfRule>
  </conditionalFormatting>
  <conditionalFormatting sqref="E79">
    <cfRule type="expression" dxfId="49" priority="83">
      <formula>#REF! ="80≠73+74+75+76+77+78+79"</formula>
    </cfRule>
  </conditionalFormatting>
  <conditionalFormatting sqref="E85">
    <cfRule type="expression" dxfId="48" priority="84">
      <formula>#REF! ="88≠82+83+84+85+86+87"</formula>
    </cfRule>
  </conditionalFormatting>
  <conditionalFormatting sqref="Q64">
    <cfRule type="expression" dxfId="47" priority="49">
      <formula>#REF! ="64≠29+62"</formula>
    </cfRule>
  </conditionalFormatting>
  <conditionalFormatting sqref="Q91">
    <cfRule type="expression" dxfId="46" priority="50">
      <formula>#REF! = "64≠94"</formula>
    </cfRule>
  </conditionalFormatting>
  <conditionalFormatting sqref="Q91">
    <cfRule type="expression" dxfId="45" priority="51">
      <formula>#REF! = "94≠68+69+71+80+88+89+90+91+92"</formula>
    </cfRule>
  </conditionalFormatting>
  <conditionalFormatting sqref="Q35">
    <cfRule type="expression" dxfId="44" priority="52">
      <formula>#REF! ="35≠36+38"</formula>
    </cfRule>
  </conditionalFormatting>
  <conditionalFormatting sqref="Q39">
    <cfRule type="expression" dxfId="43" priority="53">
      <formula>#REF! ="39≠40+41+42+43+44"</formula>
    </cfRule>
  </conditionalFormatting>
  <conditionalFormatting sqref="Q45">
    <cfRule type="expression" dxfId="42" priority="54">
      <formula>#REF! ="45≠33+34+35+39"</formula>
    </cfRule>
  </conditionalFormatting>
  <conditionalFormatting sqref="Q50">
    <cfRule type="expression" dxfId="41" priority="55">
      <formula>#REF! ="50≠51+53"</formula>
    </cfRule>
  </conditionalFormatting>
  <conditionalFormatting sqref="Q54">
    <cfRule type="expression" dxfId="40" priority="56">
      <formula>#REF! ="54≠55+56+57+58+59"</formula>
    </cfRule>
  </conditionalFormatting>
  <conditionalFormatting sqref="Q60">
    <cfRule type="expression" dxfId="39" priority="57">
      <formula>#REF! ="60≠48+49+50+54"</formula>
    </cfRule>
  </conditionalFormatting>
  <conditionalFormatting sqref="Q62">
    <cfRule type="expression" dxfId="38" priority="58">
      <formula>#REF! ="62≠45+46+60+61"</formula>
    </cfRule>
  </conditionalFormatting>
  <conditionalFormatting sqref="Q79">
    <cfRule type="expression" dxfId="37" priority="59">
      <formula>#REF! ="80≠73+74+75+76+77+78+79"</formula>
    </cfRule>
  </conditionalFormatting>
  <conditionalFormatting sqref="Q85">
    <cfRule type="expression" dxfId="36" priority="60">
      <formula>#REF! ="88≠82+83+84+85+86+87"</formula>
    </cfRule>
  </conditionalFormatting>
  <conditionalFormatting sqref="AF64">
    <cfRule type="expression" dxfId="35" priority="25">
      <formula>#REF! ="64≠29+62"</formula>
    </cfRule>
  </conditionalFormatting>
  <conditionalFormatting sqref="AF91">
    <cfRule type="expression" dxfId="34" priority="26">
      <formula>#REF! = "64≠94"</formula>
    </cfRule>
  </conditionalFormatting>
  <conditionalFormatting sqref="AF91">
    <cfRule type="expression" dxfId="33" priority="27">
      <formula>#REF! = "94≠68+69+71+80+88+89+90+91+92"</formula>
    </cfRule>
  </conditionalFormatting>
  <conditionalFormatting sqref="AF35">
    <cfRule type="expression" dxfId="32" priority="28">
      <formula>#REF! ="35≠36+38"</formula>
    </cfRule>
  </conditionalFormatting>
  <conditionalFormatting sqref="AF39">
    <cfRule type="expression" dxfId="31" priority="29">
      <formula>#REF! ="39≠40+41+42+43+44"</formula>
    </cfRule>
  </conditionalFormatting>
  <conditionalFormatting sqref="AF45">
    <cfRule type="expression" dxfId="30" priority="30">
      <formula>#REF! ="45≠33+34+35+39"</formula>
    </cfRule>
  </conditionalFormatting>
  <conditionalFormatting sqref="AF50">
    <cfRule type="expression" dxfId="29" priority="31">
      <formula>#REF! ="50≠51+53"</formula>
    </cfRule>
  </conditionalFormatting>
  <conditionalFormatting sqref="AF54">
    <cfRule type="expression" dxfId="28" priority="32">
      <formula>#REF! ="54≠55+56+57+58+59"</formula>
    </cfRule>
  </conditionalFormatting>
  <conditionalFormatting sqref="AF60">
    <cfRule type="expression" dxfId="27" priority="33">
      <formula>#REF! ="60≠48+49+50+54"</formula>
    </cfRule>
  </conditionalFormatting>
  <conditionalFormatting sqref="AF62">
    <cfRule type="expression" dxfId="26" priority="34">
      <formula>#REF! ="62≠45+46+60+61"</formula>
    </cfRule>
  </conditionalFormatting>
  <conditionalFormatting sqref="AF79">
    <cfRule type="expression" dxfId="25" priority="35">
      <formula>#REF! ="80≠73+74+75+76+77+78+79"</formula>
    </cfRule>
  </conditionalFormatting>
  <conditionalFormatting sqref="AF85">
    <cfRule type="expression" dxfId="24" priority="36">
      <formula>#REF! ="88≠82+83+84+85+86+87"</formula>
    </cfRule>
  </conditionalFormatting>
  <conditionalFormatting sqref="W64">
    <cfRule type="expression" dxfId="23" priority="1">
      <formula>#REF! ="64≠29+62"</formula>
    </cfRule>
  </conditionalFormatting>
  <conditionalFormatting sqref="W91">
    <cfRule type="expression" dxfId="22" priority="2">
      <formula>#REF! = "64≠94"</formula>
    </cfRule>
  </conditionalFormatting>
  <conditionalFormatting sqref="W91">
    <cfRule type="expression" dxfId="21" priority="3">
      <formula>#REF! = "94≠68+69+71+80+88+89+90+91+92"</formula>
    </cfRule>
  </conditionalFormatting>
  <conditionalFormatting sqref="W35">
    <cfRule type="expression" dxfId="20" priority="4">
      <formula>#REF! ="35≠36+38"</formula>
    </cfRule>
  </conditionalFormatting>
  <conditionalFormatting sqref="W39">
    <cfRule type="expression" dxfId="19" priority="5">
      <formula>#REF! ="39≠40+41+42+43+44"</formula>
    </cfRule>
  </conditionalFormatting>
  <conditionalFormatting sqref="W45">
    <cfRule type="expression" dxfId="18" priority="6">
      <formula>#REF! ="45≠33+34+35+39"</formula>
    </cfRule>
  </conditionalFormatting>
  <conditionalFormatting sqref="W50">
    <cfRule type="expression" dxfId="17" priority="7">
      <formula>#REF! ="50≠51+53"</formula>
    </cfRule>
  </conditionalFormatting>
  <conditionalFormatting sqref="W54">
    <cfRule type="expression" dxfId="16" priority="8">
      <formula>#REF! ="54≠55+56+57+58+59"</formula>
    </cfRule>
  </conditionalFormatting>
  <conditionalFormatting sqref="W60">
    <cfRule type="expression" dxfId="15" priority="9">
      <formula>#REF! ="60≠48+49+50+54"</formula>
    </cfRule>
  </conditionalFormatting>
  <conditionalFormatting sqref="W62">
    <cfRule type="expression" dxfId="14" priority="10">
      <formula>#REF! ="62≠45+46+60+61"</formula>
    </cfRule>
  </conditionalFormatting>
  <conditionalFormatting sqref="W79">
    <cfRule type="expression" dxfId="13" priority="11">
      <formula>#REF! ="80≠73+74+75+76+77+78+79"</formula>
    </cfRule>
  </conditionalFormatting>
  <conditionalFormatting sqref="W85">
    <cfRule type="expression" dxfId="12" priority="12">
      <formula>#REF! ="88≠82+83+84+85+86+87"</formula>
    </cfRule>
  </conditionalFormatting>
  <conditionalFormatting sqref="O35 AJ35 AM35 AA35 C35 U35 AD35 H35:I35 L35 F35 R35 AG35 X35">
    <cfRule type="expression" dxfId="11" priority="711">
      <formula>#REF! ="35≠36+38"</formula>
    </cfRule>
  </conditionalFormatting>
  <conditionalFormatting sqref="O39 AJ39 AM39 AA39 C39 U39 AD39 H39:I39 L39 F39 R39 AG39 X39">
    <cfRule type="expression" dxfId="10" priority="712">
      <formula>#REF! ="39≠40+41+42+43+44"</formula>
    </cfRule>
  </conditionalFormatting>
  <conditionalFormatting sqref="O45 AJ45 AM45 AA45 C45 U45 AD45 H45:I45 L45 F45 R45 AG45 X45">
    <cfRule type="expression" dxfId="9" priority="713">
      <formula>#REF! ="45≠33+34+35+39"</formula>
    </cfRule>
  </conditionalFormatting>
  <conditionalFormatting sqref="O50 AJ50 AM50 AA50 C50 U50 AD50 H50:I50 L50 F50 R50 AG50 X50">
    <cfRule type="expression" dxfId="8" priority="714">
      <formula>#REF! ="50≠51+53"</formula>
    </cfRule>
  </conditionalFormatting>
  <conditionalFormatting sqref="O54 AJ54 AM54 AA54 C54 U54 AD54 H54:I54 L54 F54 R54 AG54 X54">
    <cfRule type="expression" dxfId="7" priority="715">
      <formula>#REF! ="54≠55+56+57+58+59"</formula>
    </cfRule>
  </conditionalFormatting>
  <conditionalFormatting sqref="O60 AJ60 AM60 AA60 C60 U60 AD60 H60:I60 L60 F60 R60 AG60 X60">
    <cfRule type="expression" dxfId="6" priority="716">
      <formula>#REF! ="60≠48+49+50+54"</formula>
    </cfRule>
  </conditionalFormatting>
  <conditionalFormatting sqref="O62 AJ62 AM62 AA62 C62 U62 AD62 H62:I62 L62 F62 R62 AG62 X62">
    <cfRule type="expression" dxfId="5" priority="717">
      <formula>#REF! ="62≠45+46+60+61"</formula>
    </cfRule>
  </conditionalFormatting>
  <conditionalFormatting sqref="O64 AJ64 AM64 Z64:AA64 C64 U64 AD64 H64:I64 L64 F64 R64 AG64 X64">
    <cfRule type="expression" dxfId="4" priority="718">
      <formula>#REF! ="64≠29+62"</formula>
    </cfRule>
  </conditionalFormatting>
  <conditionalFormatting sqref="O79 AJ79 AM79 AA79 C79 U79 AD79 H79:I79 L79 F79 R79 AG79 X79">
    <cfRule type="expression" dxfId="3" priority="719">
      <formula>#REF! ="80≠73+74+75+76+77+78+79"</formula>
    </cfRule>
  </conditionalFormatting>
  <conditionalFormatting sqref="O85 AJ85 AM85 AA85 C85 U85 AD85 H85:I85 L85 F85 R85 AG85 X85">
    <cfRule type="expression" dxfId="2" priority="720">
      <formula>#REF! ="88≠82+83+84+85+86+87"</formula>
    </cfRule>
  </conditionalFormatting>
  <conditionalFormatting sqref="O91 AJ91 AM91 Z91:AA91 C91 U91 AD91 H91:I91 L91 F91 R91 AG91 X91">
    <cfRule type="expression" dxfId="1" priority="721">
      <formula>#REF! = "64≠94"</formula>
    </cfRule>
  </conditionalFormatting>
  <conditionalFormatting sqref="O91 AJ91 AM91 Z91:AA91 C91 U91 AD91 H91:I91 L91 F91 R91 AG91 X91">
    <cfRule type="expression" dxfId="0" priority="722">
      <formula>#REF! = "94≠68+69+71+80+88+89+90+91+92"</formula>
    </cfRule>
  </conditionalFormatting>
  <hyperlinks>
    <hyperlink ref="B1" location="Innhold!A1" display="Tilbake" xr:uid="{00000000-0004-0000-22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9ECC-34D8-449C-A45F-BABDDACF2022}">
  <dimension ref="A1:BB18"/>
  <sheetViews>
    <sheetView showGridLines="0" zoomScale="70" zoomScaleNormal="70" workbookViewId="0">
      <pane xSplit="1" ySplit="8" topLeftCell="B9" activePane="bottomRight" state="frozen"/>
      <selection pane="topRight" activeCell="B1" sqref="B1"/>
      <selection pane="bottomLeft" activeCell="A9" sqref="A9"/>
      <selection pane="bottomRight" activeCell="A4" sqref="A4"/>
    </sheetView>
  </sheetViews>
  <sheetFormatPr baseColWidth="10" defaultColWidth="11.42578125" defaultRowHeight="12.75" x14ac:dyDescent="0.2"/>
  <cols>
    <col min="1" max="1" width="62" style="625" customWidth="1"/>
    <col min="2" max="37" width="11.7109375" style="625" customWidth="1"/>
    <col min="38" max="256" width="11.42578125" style="625"/>
    <col min="257" max="257" width="62" style="625" customWidth="1"/>
    <col min="258" max="293" width="11.7109375" style="625" customWidth="1"/>
    <col min="294" max="512" width="11.42578125" style="625"/>
    <col min="513" max="513" width="62" style="625" customWidth="1"/>
    <col min="514" max="549" width="11.7109375" style="625" customWidth="1"/>
    <col min="550" max="768" width="11.42578125" style="625"/>
    <col min="769" max="769" width="62" style="625" customWidth="1"/>
    <col min="770" max="805" width="11.7109375" style="625" customWidth="1"/>
    <col min="806" max="1024" width="11.42578125" style="625"/>
    <col min="1025" max="1025" width="62" style="625" customWidth="1"/>
    <col min="1026" max="1061" width="11.7109375" style="625" customWidth="1"/>
    <col min="1062" max="1280" width="11.42578125" style="625"/>
    <col min="1281" max="1281" width="62" style="625" customWidth="1"/>
    <col min="1282" max="1317" width="11.7109375" style="625" customWidth="1"/>
    <col min="1318" max="1536" width="11.42578125" style="625"/>
    <col min="1537" max="1537" width="62" style="625" customWidth="1"/>
    <col min="1538" max="1573" width="11.7109375" style="625" customWidth="1"/>
    <col min="1574" max="1792" width="11.42578125" style="625"/>
    <col min="1793" max="1793" width="62" style="625" customWidth="1"/>
    <col min="1794" max="1829" width="11.7109375" style="625" customWidth="1"/>
    <col min="1830" max="2048" width="11.42578125" style="625"/>
    <col min="2049" max="2049" width="62" style="625" customWidth="1"/>
    <col min="2050" max="2085" width="11.7109375" style="625" customWidth="1"/>
    <col min="2086" max="2304" width="11.42578125" style="625"/>
    <col min="2305" max="2305" width="62" style="625" customWidth="1"/>
    <col min="2306" max="2341" width="11.7109375" style="625" customWidth="1"/>
    <col min="2342" max="2560" width="11.42578125" style="625"/>
    <col min="2561" max="2561" width="62" style="625" customWidth="1"/>
    <col min="2562" max="2597" width="11.7109375" style="625" customWidth="1"/>
    <col min="2598" max="2816" width="11.42578125" style="625"/>
    <col min="2817" max="2817" width="62" style="625" customWidth="1"/>
    <col min="2818" max="2853" width="11.7109375" style="625" customWidth="1"/>
    <col min="2854" max="3072" width="11.42578125" style="625"/>
    <col min="3073" max="3073" width="62" style="625" customWidth="1"/>
    <col min="3074" max="3109" width="11.7109375" style="625" customWidth="1"/>
    <col min="3110" max="3328" width="11.42578125" style="625"/>
    <col min="3329" max="3329" width="62" style="625" customWidth="1"/>
    <col min="3330" max="3365" width="11.7109375" style="625" customWidth="1"/>
    <col min="3366" max="3584" width="11.42578125" style="625"/>
    <col min="3585" max="3585" width="62" style="625" customWidth="1"/>
    <col min="3586" max="3621" width="11.7109375" style="625" customWidth="1"/>
    <col min="3622" max="3840" width="11.42578125" style="625"/>
    <col min="3841" max="3841" width="62" style="625" customWidth="1"/>
    <col min="3842" max="3877" width="11.7109375" style="625" customWidth="1"/>
    <col min="3878" max="4096" width="11.42578125" style="625"/>
    <col min="4097" max="4097" width="62" style="625" customWidth="1"/>
    <col min="4098" max="4133" width="11.7109375" style="625" customWidth="1"/>
    <col min="4134" max="4352" width="11.42578125" style="625"/>
    <col min="4353" max="4353" width="62" style="625" customWidth="1"/>
    <col min="4354" max="4389" width="11.7109375" style="625" customWidth="1"/>
    <col min="4390" max="4608" width="11.42578125" style="625"/>
    <col min="4609" max="4609" width="62" style="625" customWidth="1"/>
    <col min="4610" max="4645" width="11.7109375" style="625" customWidth="1"/>
    <col min="4646" max="4864" width="11.42578125" style="625"/>
    <col min="4865" max="4865" width="62" style="625" customWidth="1"/>
    <col min="4866" max="4901" width="11.7109375" style="625" customWidth="1"/>
    <col min="4902" max="5120" width="11.42578125" style="625"/>
    <col min="5121" max="5121" width="62" style="625" customWidth="1"/>
    <col min="5122" max="5157" width="11.7109375" style="625" customWidth="1"/>
    <col min="5158" max="5376" width="11.42578125" style="625"/>
    <col min="5377" max="5377" width="62" style="625" customWidth="1"/>
    <col min="5378" max="5413" width="11.7109375" style="625" customWidth="1"/>
    <col min="5414" max="5632" width="11.42578125" style="625"/>
    <col min="5633" max="5633" width="62" style="625" customWidth="1"/>
    <col min="5634" max="5669" width="11.7109375" style="625" customWidth="1"/>
    <col min="5670" max="5888" width="11.42578125" style="625"/>
    <col min="5889" max="5889" width="62" style="625" customWidth="1"/>
    <col min="5890" max="5925" width="11.7109375" style="625" customWidth="1"/>
    <col min="5926" max="6144" width="11.42578125" style="625"/>
    <col min="6145" max="6145" width="62" style="625" customWidth="1"/>
    <col min="6146" max="6181" width="11.7109375" style="625" customWidth="1"/>
    <col min="6182" max="6400" width="11.42578125" style="625"/>
    <col min="6401" max="6401" width="62" style="625" customWidth="1"/>
    <col min="6402" max="6437" width="11.7109375" style="625" customWidth="1"/>
    <col min="6438" max="6656" width="11.42578125" style="625"/>
    <col min="6657" max="6657" width="62" style="625" customWidth="1"/>
    <col min="6658" max="6693" width="11.7109375" style="625" customWidth="1"/>
    <col min="6694" max="6912" width="11.42578125" style="625"/>
    <col min="6913" max="6913" width="62" style="625" customWidth="1"/>
    <col min="6914" max="6949" width="11.7109375" style="625" customWidth="1"/>
    <col min="6950" max="7168" width="11.42578125" style="625"/>
    <col min="7169" max="7169" width="62" style="625" customWidth="1"/>
    <col min="7170" max="7205" width="11.7109375" style="625" customWidth="1"/>
    <col min="7206" max="7424" width="11.42578125" style="625"/>
    <col min="7425" max="7425" width="62" style="625" customWidth="1"/>
    <col min="7426" max="7461" width="11.7109375" style="625" customWidth="1"/>
    <col min="7462" max="7680" width="11.42578125" style="625"/>
    <col min="7681" max="7681" width="62" style="625" customWidth="1"/>
    <col min="7682" max="7717" width="11.7109375" style="625" customWidth="1"/>
    <col min="7718" max="7936" width="11.42578125" style="625"/>
    <col min="7937" max="7937" width="62" style="625" customWidth="1"/>
    <col min="7938" max="7973" width="11.7109375" style="625" customWidth="1"/>
    <col min="7974" max="8192" width="11.42578125" style="625"/>
    <col min="8193" max="8193" width="62" style="625" customWidth="1"/>
    <col min="8194" max="8229" width="11.7109375" style="625" customWidth="1"/>
    <col min="8230" max="8448" width="11.42578125" style="625"/>
    <col min="8449" max="8449" width="62" style="625" customWidth="1"/>
    <col min="8450" max="8485" width="11.7109375" style="625" customWidth="1"/>
    <col min="8486" max="8704" width="11.42578125" style="625"/>
    <col min="8705" max="8705" width="62" style="625" customWidth="1"/>
    <col min="8706" max="8741" width="11.7109375" style="625" customWidth="1"/>
    <col min="8742" max="8960" width="11.42578125" style="625"/>
    <col min="8961" max="8961" width="62" style="625" customWidth="1"/>
    <col min="8962" max="8997" width="11.7109375" style="625" customWidth="1"/>
    <col min="8998" max="9216" width="11.42578125" style="625"/>
    <col min="9217" max="9217" width="62" style="625" customWidth="1"/>
    <col min="9218" max="9253" width="11.7109375" style="625" customWidth="1"/>
    <col min="9254" max="9472" width="11.42578125" style="625"/>
    <col min="9473" max="9473" width="62" style="625" customWidth="1"/>
    <col min="9474" max="9509" width="11.7109375" style="625" customWidth="1"/>
    <col min="9510" max="9728" width="11.42578125" style="625"/>
    <col min="9729" max="9729" width="62" style="625" customWidth="1"/>
    <col min="9730" max="9765" width="11.7109375" style="625" customWidth="1"/>
    <col min="9766" max="9984" width="11.42578125" style="625"/>
    <col min="9985" max="9985" width="62" style="625" customWidth="1"/>
    <col min="9986" max="10021" width="11.7109375" style="625" customWidth="1"/>
    <col min="10022" max="10240" width="11.42578125" style="625"/>
    <col min="10241" max="10241" width="62" style="625" customWidth="1"/>
    <col min="10242" max="10277" width="11.7109375" style="625" customWidth="1"/>
    <col min="10278" max="10496" width="11.42578125" style="625"/>
    <col min="10497" max="10497" width="62" style="625" customWidth="1"/>
    <col min="10498" max="10533" width="11.7109375" style="625" customWidth="1"/>
    <col min="10534" max="10752" width="11.42578125" style="625"/>
    <col min="10753" max="10753" width="62" style="625" customWidth="1"/>
    <col min="10754" max="10789" width="11.7109375" style="625" customWidth="1"/>
    <col min="10790" max="11008" width="11.42578125" style="625"/>
    <col min="11009" max="11009" width="62" style="625" customWidth="1"/>
    <col min="11010" max="11045" width="11.7109375" style="625" customWidth="1"/>
    <col min="11046" max="11264" width="11.42578125" style="625"/>
    <col min="11265" max="11265" width="62" style="625" customWidth="1"/>
    <col min="11266" max="11301" width="11.7109375" style="625" customWidth="1"/>
    <col min="11302" max="11520" width="11.42578125" style="625"/>
    <col min="11521" max="11521" width="62" style="625" customWidth="1"/>
    <col min="11522" max="11557" width="11.7109375" style="625" customWidth="1"/>
    <col min="11558" max="11776" width="11.42578125" style="625"/>
    <col min="11777" max="11777" width="62" style="625" customWidth="1"/>
    <col min="11778" max="11813" width="11.7109375" style="625" customWidth="1"/>
    <col min="11814" max="12032" width="11.42578125" style="625"/>
    <col min="12033" max="12033" width="62" style="625" customWidth="1"/>
    <col min="12034" max="12069" width="11.7109375" style="625" customWidth="1"/>
    <col min="12070" max="12288" width="11.42578125" style="625"/>
    <col min="12289" max="12289" width="62" style="625" customWidth="1"/>
    <col min="12290" max="12325" width="11.7109375" style="625" customWidth="1"/>
    <col min="12326" max="12544" width="11.42578125" style="625"/>
    <col min="12545" max="12545" width="62" style="625" customWidth="1"/>
    <col min="12546" max="12581" width="11.7109375" style="625" customWidth="1"/>
    <col min="12582" max="12800" width="11.42578125" style="625"/>
    <col min="12801" max="12801" width="62" style="625" customWidth="1"/>
    <col min="12802" max="12837" width="11.7109375" style="625" customWidth="1"/>
    <col min="12838" max="13056" width="11.42578125" style="625"/>
    <col min="13057" max="13057" width="62" style="625" customWidth="1"/>
    <col min="13058" max="13093" width="11.7109375" style="625" customWidth="1"/>
    <col min="13094" max="13312" width="11.42578125" style="625"/>
    <col min="13313" max="13313" width="62" style="625" customWidth="1"/>
    <col min="13314" max="13349" width="11.7109375" style="625" customWidth="1"/>
    <col min="13350" max="13568" width="11.42578125" style="625"/>
    <col min="13569" max="13569" width="62" style="625" customWidth="1"/>
    <col min="13570" max="13605" width="11.7109375" style="625" customWidth="1"/>
    <col min="13606" max="13824" width="11.42578125" style="625"/>
    <col min="13825" max="13825" width="62" style="625" customWidth="1"/>
    <col min="13826" max="13861" width="11.7109375" style="625" customWidth="1"/>
    <col min="13862" max="14080" width="11.42578125" style="625"/>
    <col min="14081" max="14081" width="62" style="625" customWidth="1"/>
    <col min="14082" max="14117" width="11.7109375" style="625" customWidth="1"/>
    <col min="14118" max="14336" width="11.42578125" style="625"/>
    <col min="14337" max="14337" width="62" style="625" customWidth="1"/>
    <col min="14338" max="14373" width="11.7109375" style="625" customWidth="1"/>
    <col min="14374" max="14592" width="11.42578125" style="625"/>
    <col min="14593" max="14593" width="62" style="625" customWidth="1"/>
    <col min="14594" max="14629" width="11.7109375" style="625" customWidth="1"/>
    <col min="14630" max="14848" width="11.42578125" style="625"/>
    <col min="14849" max="14849" width="62" style="625" customWidth="1"/>
    <col min="14850" max="14885" width="11.7109375" style="625" customWidth="1"/>
    <col min="14886" max="15104" width="11.42578125" style="625"/>
    <col min="15105" max="15105" width="62" style="625" customWidth="1"/>
    <col min="15106" max="15141" width="11.7109375" style="625" customWidth="1"/>
    <col min="15142" max="15360" width="11.42578125" style="625"/>
    <col min="15361" max="15361" width="62" style="625" customWidth="1"/>
    <col min="15362" max="15397" width="11.7109375" style="625" customWidth="1"/>
    <col min="15398" max="15616" width="11.42578125" style="625"/>
    <col min="15617" max="15617" width="62" style="625" customWidth="1"/>
    <col min="15618" max="15653" width="11.7109375" style="625" customWidth="1"/>
    <col min="15654" max="15872" width="11.42578125" style="625"/>
    <col min="15873" max="15873" width="62" style="625" customWidth="1"/>
    <col min="15874" max="15909" width="11.7109375" style="625" customWidth="1"/>
    <col min="15910" max="16128" width="11.42578125" style="625"/>
    <col min="16129" max="16129" width="62" style="625" customWidth="1"/>
    <col min="16130" max="16165" width="11.7109375" style="625" customWidth="1"/>
    <col min="16166" max="16384" width="11.42578125" style="625"/>
  </cols>
  <sheetData>
    <row r="1" spans="1:54" ht="20.25" x14ac:dyDescent="0.3">
      <c r="A1" s="623" t="s">
        <v>174</v>
      </c>
      <c r="B1" s="624" t="s">
        <v>52</v>
      </c>
      <c r="AL1" s="626"/>
    </row>
    <row r="2" spans="1:54" ht="20.25" x14ac:dyDescent="0.3">
      <c r="A2" s="623" t="s">
        <v>272</v>
      </c>
      <c r="AL2" s="626"/>
    </row>
    <row r="3" spans="1:54" ht="18.75" x14ac:dyDescent="0.3">
      <c r="A3" s="627" t="s">
        <v>340</v>
      </c>
      <c r="AL3" s="626"/>
    </row>
    <row r="4" spans="1:54" ht="18.75" x14ac:dyDescent="0.3">
      <c r="A4" s="628" t="s">
        <v>410</v>
      </c>
      <c r="B4" s="629"/>
      <c r="C4" s="630"/>
      <c r="D4" s="631"/>
      <c r="E4" s="629"/>
      <c r="F4" s="630"/>
      <c r="G4" s="631"/>
      <c r="H4" s="630"/>
      <c r="I4" s="630"/>
      <c r="J4" s="631"/>
      <c r="K4" s="630"/>
      <c r="L4" s="630"/>
      <c r="M4" s="631"/>
      <c r="N4" s="629"/>
      <c r="O4" s="630"/>
      <c r="P4" s="631"/>
      <c r="Q4" s="629"/>
      <c r="R4" s="630"/>
      <c r="S4" s="631"/>
      <c r="T4" s="629"/>
      <c r="U4" s="630"/>
      <c r="V4" s="631"/>
      <c r="W4" s="629"/>
      <c r="X4" s="630"/>
      <c r="Y4" s="631"/>
      <c r="Z4" s="629"/>
      <c r="AA4" s="630"/>
      <c r="AB4" s="631"/>
      <c r="AC4" s="629"/>
      <c r="AD4" s="630"/>
      <c r="AE4" s="631"/>
      <c r="AF4" s="629"/>
      <c r="AG4" s="630"/>
      <c r="AH4" s="631"/>
      <c r="AI4" s="629"/>
      <c r="AJ4" s="632"/>
      <c r="AK4" s="631"/>
      <c r="AL4" s="633"/>
      <c r="AM4" s="634"/>
      <c r="AN4" s="634"/>
      <c r="AO4" s="634"/>
      <c r="AP4" s="634"/>
      <c r="AQ4" s="634"/>
      <c r="AR4" s="634"/>
      <c r="AS4" s="634"/>
      <c r="AT4" s="634"/>
      <c r="AU4" s="634"/>
      <c r="AV4" s="634"/>
      <c r="AW4" s="634"/>
      <c r="AX4" s="634"/>
      <c r="AY4" s="634"/>
      <c r="AZ4" s="634"/>
      <c r="BA4" s="634"/>
      <c r="BB4" s="634"/>
    </row>
    <row r="5" spans="1:54" ht="18.75" x14ac:dyDescent="0.3">
      <c r="A5" s="635"/>
      <c r="B5" s="759" t="s">
        <v>177</v>
      </c>
      <c r="C5" s="760"/>
      <c r="D5" s="761"/>
      <c r="E5" s="759" t="s">
        <v>178</v>
      </c>
      <c r="F5" s="760"/>
      <c r="G5" s="761"/>
      <c r="H5" s="760" t="s">
        <v>406</v>
      </c>
      <c r="I5" s="760"/>
      <c r="J5" s="761"/>
      <c r="K5" s="760" t="s">
        <v>179</v>
      </c>
      <c r="L5" s="760"/>
      <c r="M5" s="761"/>
      <c r="N5" s="759" t="s">
        <v>180</v>
      </c>
      <c r="O5" s="760"/>
      <c r="P5" s="761"/>
      <c r="Q5" s="676" t="s">
        <v>181</v>
      </c>
      <c r="R5" s="677"/>
      <c r="S5" s="678"/>
      <c r="T5" s="759" t="s">
        <v>63</v>
      </c>
      <c r="U5" s="760"/>
      <c r="V5" s="761"/>
      <c r="W5" s="668"/>
      <c r="X5" s="669"/>
      <c r="Y5" s="670"/>
      <c r="Z5" s="759" t="s">
        <v>182</v>
      </c>
      <c r="AA5" s="760"/>
      <c r="AB5" s="761"/>
      <c r="AC5" s="759"/>
      <c r="AD5" s="760"/>
      <c r="AE5" s="761"/>
      <c r="AF5" s="759" t="s">
        <v>73</v>
      </c>
      <c r="AG5" s="760"/>
      <c r="AH5" s="761"/>
      <c r="AI5" s="762" t="s">
        <v>290</v>
      </c>
      <c r="AJ5" s="763"/>
      <c r="AK5" s="764"/>
      <c r="AM5" s="636"/>
      <c r="AN5" s="752"/>
      <c r="AO5" s="752"/>
      <c r="AP5" s="752"/>
      <c r="AQ5" s="752"/>
      <c r="AR5" s="752"/>
      <c r="AS5" s="752"/>
      <c r="AT5" s="752"/>
      <c r="AU5" s="752"/>
      <c r="AV5" s="752"/>
      <c r="AW5" s="752"/>
      <c r="AX5" s="752"/>
      <c r="AY5" s="752"/>
      <c r="AZ5" s="752"/>
      <c r="BA5" s="752"/>
      <c r="BB5" s="752"/>
    </row>
    <row r="6" spans="1:54" ht="18.75" x14ac:dyDescent="0.3">
      <c r="A6" s="637"/>
      <c r="B6" s="753" t="s">
        <v>183</v>
      </c>
      <c r="C6" s="754"/>
      <c r="D6" s="755"/>
      <c r="E6" s="753" t="s">
        <v>184</v>
      </c>
      <c r="F6" s="754"/>
      <c r="G6" s="755"/>
      <c r="H6" s="754" t="s">
        <v>184</v>
      </c>
      <c r="I6" s="754"/>
      <c r="J6" s="755"/>
      <c r="K6" s="754" t="s">
        <v>184</v>
      </c>
      <c r="L6" s="754"/>
      <c r="M6" s="755"/>
      <c r="N6" s="753" t="s">
        <v>185</v>
      </c>
      <c r="O6" s="754"/>
      <c r="P6" s="755"/>
      <c r="Q6" s="753" t="s">
        <v>63</v>
      </c>
      <c r="R6" s="754"/>
      <c r="S6" s="755"/>
      <c r="T6" s="753" t="s">
        <v>186</v>
      </c>
      <c r="U6" s="754"/>
      <c r="V6" s="755"/>
      <c r="W6" s="753" t="s">
        <v>66</v>
      </c>
      <c r="X6" s="754"/>
      <c r="Y6" s="755"/>
      <c r="Z6" s="753" t="s">
        <v>183</v>
      </c>
      <c r="AA6" s="754"/>
      <c r="AB6" s="755"/>
      <c r="AC6" s="753" t="s">
        <v>68</v>
      </c>
      <c r="AD6" s="754"/>
      <c r="AE6" s="755"/>
      <c r="AF6" s="753" t="s">
        <v>184</v>
      </c>
      <c r="AG6" s="754"/>
      <c r="AH6" s="755"/>
      <c r="AI6" s="756" t="s">
        <v>291</v>
      </c>
      <c r="AJ6" s="757"/>
      <c r="AK6" s="758"/>
      <c r="AM6" s="636"/>
      <c r="AN6" s="752"/>
      <c r="AO6" s="752"/>
      <c r="AP6" s="752"/>
      <c r="AQ6" s="752"/>
      <c r="AR6" s="752"/>
      <c r="AS6" s="752"/>
      <c r="AT6" s="752"/>
      <c r="AU6" s="752"/>
      <c r="AV6" s="752"/>
      <c r="AW6" s="752"/>
      <c r="AX6" s="752"/>
      <c r="AY6" s="752"/>
      <c r="AZ6" s="752"/>
      <c r="BA6" s="752"/>
      <c r="BB6" s="752"/>
    </row>
    <row r="7" spans="1:54" ht="18.75" x14ac:dyDescent="0.3">
      <c r="A7" s="637"/>
      <c r="B7" s="638"/>
      <c r="C7" s="638"/>
      <c r="D7" s="639" t="s">
        <v>81</v>
      </c>
      <c r="E7" s="638"/>
      <c r="F7" s="638"/>
      <c r="G7" s="639" t="s">
        <v>81</v>
      </c>
      <c r="H7" s="638"/>
      <c r="I7" s="638"/>
      <c r="J7" s="639" t="s">
        <v>81</v>
      </c>
      <c r="K7" s="638"/>
      <c r="L7" s="638"/>
      <c r="M7" s="639" t="s">
        <v>81</v>
      </c>
      <c r="N7" s="638"/>
      <c r="O7" s="638"/>
      <c r="P7" s="639" t="s">
        <v>81</v>
      </c>
      <c r="Q7" s="638"/>
      <c r="R7" s="638"/>
      <c r="S7" s="639" t="s">
        <v>81</v>
      </c>
      <c r="T7" s="638"/>
      <c r="U7" s="638"/>
      <c r="V7" s="639" t="s">
        <v>81</v>
      </c>
      <c r="W7" s="638"/>
      <c r="X7" s="638"/>
      <c r="Y7" s="639" t="s">
        <v>81</v>
      </c>
      <c r="Z7" s="638"/>
      <c r="AA7" s="638"/>
      <c r="AB7" s="639" t="s">
        <v>81</v>
      </c>
      <c r="AC7" s="638"/>
      <c r="AD7" s="638"/>
      <c r="AE7" s="639" t="s">
        <v>81</v>
      </c>
      <c r="AF7" s="638"/>
      <c r="AG7" s="638"/>
      <c r="AH7" s="639" t="s">
        <v>81</v>
      </c>
      <c r="AI7" s="638"/>
      <c r="AJ7" s="638"/>
      <c r="AK7" s="639" t="s">
        <v>81</v>
      </c>
      <c r="AM7" s="636"/>
      <c r="AN7" s="636"/>
      <c r="AO7" s="636"/>
      <c r="AP7" s="636"/>
      <c r="AQ7" s="636"/>
      <c r="AR7" s="636"/>
      <c r="AS7" s="636"/>
      <c r="AT7" s="636"/>
      <c r="AU7" s="636"/>
      <c r="AV7" s="636"/>
      <c r="AW7" s="636"/>
      <c r="AX7" s="636"/>
      <c r="AY7" s="636"/>
      <c r="AZ7" s="636"/>
      <c r="BA7" s="636"/>
      <c r="BB7" s="636"/>
    </row>
    <row r="8" spans="1:54" ht="15.75" x14ac:dyDescent="0.25">
      <c r="A8" s="640" t="s">
        <v>293</v>
      </c>
      <c r="B8" s="641">
        <v>2019</v>
      </c>
      <c r="C8" s="641">
        <v>2020</v>
      </c>
      <c r="D8" s="642" t="s">
        <v>83</v>
      </c>
      <c r="E8" s="641">
        <v>2019</v>
      </c>
      <c r="F8" s="641">
        <v>2020</v>
      </c>
      <c r="G8" s="642" t="s">
        <v>83</v>
      </c>
      <c r="H8" s="641">
        <v>2019</v>
      </c>
      <c r="I8" s="641">
        <v>2020</v>
      </c>
      <c r="J8" s="642" t="s">
        <v>83</v>
      </c>
      <c r="K8" s="641">
        <v>2019</v>
      </c>
      <c r="L8" s="641">
        <v>2020</v>
      </c>
      <c r="M8" s="642" t="s">
        <v>83</v>
      </c>
      <c r="N8" s="641">
        <v>2019</v>
      </c>
      <c r="O8" s="641">
        <v>2020</v>
      </c>
      <c r="P8" s="642" t="s">
        <v>83</v>
      </c>
      <c r="Q8" s="641">
        <v>2019</v>
      </c>
      <c r="R8" s="641">
        <v>2020</v>
      </c>
      <c r="S8" s="642" t="s">
        <v>83</v>
      </c>
      <c r="T8" s="641">
        <v>2019</v>
      </c>
      <c r="U8" s="641">
        <v>2020</v>
      </c>
      <c r="V8" s="642" t="s">
        <v>83</v>
      </c>
      <c r="W8" s="641">
        <v>2019</v>
      </c>
      <c r="X8" s="641">
        <v>2020</v>
      </c>
      <c r="Y8" s="642" t="s">
        <v>83</v>
      </c>
      <c r="Z8" s="641">
        <v>2019</v>
      </c>
      <c r="AA8" s="641">
        <v>2020</v>
      </c>
      <c r="AB8" s="642" t="s">
        <v>83</v>
      </c>
      <c r="AC8" s="641">
        <v>2019</v>
      </c>
      <c r="AD8" s="641">
        <v>2020</v>
      </c>
      <c r="AE8" s="642" t="s">
        <v>83</v>
      </c>
      <c r="AF8" s="641">
        <v>2019</v>
      </c>
      <c r="AG8" s="641">
        <v>2020</v>
      </c>
      <c r="AH8" s="642" t="s">
        <v>83</v>
      </c>
      <c r="AI8" s="641">
        <v>2019</v>
      </c>
      <c r="AJ8" s="641">
        <v>2020</v>
      </c>
      <c r="AK8" s="642" t="s">
        <v>83</v>
      </c>
      <c r="AM8" s="643"/>
      <c r="AN8" s="644"/>
      <c r="AO8" s="644"/>
      <c r="AP8" s="643"/>
      <c r="AQ8" s="644"/>
      <c r="AR8" s="644"/>
      <c r="AS8" s="643"/>
      <c r="AT8" s="644"/>
      <c r="AU8" s="644"/>
      <c r="AV8" s="643"/>
      <c r="AW8" s="644"/>
      <c r="AX8" s="644"/>
      <c r="AY8" s="643"/>
      <c r="AZ8" s="644"/>
      <c r="BA8" s="644"/>
      <c r="BB8" s="643"/>
    </row>
    <row r="9" spans="1:54" s="595" customFormat="1" ht="18.75" x14ac:dyDescent="0.3">
      <c r="A9" s="645"/>
      <c r="B9" s="646"/>
      <c r="C9" s="647"/>
      <c r="D9" s="599"/>
      <c r="E9" s="648"/>
      <c r="F9" s="599"/>
      <c r="G9" s="599"/>
      <c r="H9" s="648"/>
      <c r="I9" s="599"/>
      <c r="J9" s="599"/>
      <c r="K9" s="648"/>
      <c r="L9" s="599"/>
      <c r="M9" s="599"/>
      <c r="N9" s="649"/>
      <c r="O9" s="599"/>
      <c r="P9" s="599"/>
      <c r="Q9" s="648"/>
      <c r="R9" s="599"/>
      <c r="S9" s="599"/>
      <c r="T9" s="649"/>
      <c r="U9" s="599"/>
      <c r="V9" s="599"/>
      <c r="W9" s="649"/>
      <c r="X9" s="599"/>
      <c r="Y9" s="599"/>
      <c r="Z9" s="648"/>
      <c r="AA9" s="599"/>
      <c r="AB9" s="599"/>
      <c r="AC9" s="648"/>
      <c r="AD9" s="599"/>
      <c r="AE9" s="599"/>
      <c r="AF9" s="648"/>
      <c r="AG9" s="599"/>
      <c r="AH9" s="599"/>
      <c r="AI9" s="647"/>
      <c r="AJ9" s="647"/>
      <c r="AK9" s="647"/>
    </row>
    <row r="10" spans="1:54" s="595" customFormat="1" ht="18.75" x14ac:dyDescent="0.3">
      <c r="A10" s="650" t="s">
        <v>411</v>
      </c>
      <c r="B10" s="648"/>
      <c r="C10" s="599"/>
      <c r="D10" s="599"/>
      <c r="E10" s="648"/>
      <c r="F10" s="599"/>
      <c r="G10" s="599"/>
      <c r="H10" s="648"/>
      <c r="I10" s="599"/>
      <c r="J10" s="599"/>
      <c r="K10" s="648"/>
      <c r="L10" s="599"/>
      <c r="M10" s="599"/>
      <c r="N10" s="649"/>
      <c r="O10" s="599"/>
      <c r="P10" s="599"/>
      <c r="Q10" s="648"/>
      <c r="R10" s="599"/>
      <c r="S10" s="599"/>
      <c r="T10" s="649"/>
      <c r="U10" s="599"/>
      <c r="V10" s="599"/>
      <c r="W10" s="649"/>
      <c r="X10" s="599"/>
      <c r="Y10" s="599"/>
      <c r="Z10" s="649"/>
      <c r="AA10" s="599"/>
      <c r="AB10" s="599"/>
      <c r="AC10" s="649"/>
      <c r="AD10" s="599"/>
      <c r="AE10" s="599"/>
      <c r="AF10" s="648"/>
      <c r="AG10" s="599"/>
      <c r="AH10" s="599"/>
      <c r="AI10" s="599"/>
      <c r="AJ10" s="599"/>
      <c r="AK10" s="600"/>
    </row>
    <row r="11" spans="1:54" ht="22.5" x14ac:dyDescent="0.3">
      <c r="A11" s="650" t="s">
        <v>412</v>
      </c>
      <c r="B11" s="648">
        <v>0.28000000000000003</v>
      </c>
      <c r="C11" s="599">
        <v>0.4</v>
      </c>
      <c r="D11" s="600">
        <f t="shared" ref="D11:D12" si="0">IF(B11=0, "    ---- ", IF(ABS(ROUND(100/B11*C11-100,1))&lt;999,ROUND(100/B11*C11-100,1),IF(ROUND(100/B11*C11-100,1)&gt;999,999,-999)))</f>
        <v>42.9</v>
      </c>
      <c r="E11" s="648">
        <v>0.96</v>
      </c>
      <c r="F11" s="599">
        <v>-0.16</v>
      </c>
      <c r="G11" s="600">
        <f t="shared" ref="G11:G12" si="1">IF(E11=0, "    ---- ", IF(ABS(ROUND(100/E11*F11-100,1))&lt;999,ROUND(100/E11*F11-100,1),IF(ROUND(100/E11*F11-100,1)&gt;999,999,-999)))</f>
        <v>-116.7</v>
      </c>
      <c r="H11" s="648"/>
      <c r="I11" s="599">
        <v>-0.71</v>
      </c>
      <c r="J11" s="600" t="str">
        <f t="shared" ref="J11:J12" si="2">IF(H11=0, "    ---- ", IF(ABS(ROUND(100/H11*I11-100,1))&lt;999,ROUND(100/H11*I11-100,1),IF(ROUND(100/H11*I11-100,1)&gt;999,999,-999)))</f>
        <v xml:space="preserve">    ---- </v>
      </c>
      <c r="K11" s="648"/>
      <c r="L11" s="599"/>
      <c r="M11" s="600"/>
      <c r="N11" s="649">
        <v>1.1319999999999999</v>
      </c>
      <c r="O11" s="599">
        <v>0.19</v>
      </c>
      <c r="P11" s="600">
        <f t="shared" ref="P11:P12" si="3">IF(N11=0, "    ---- ", IF(ABS(ROUND(100/N11*O11-100,1))&lt;999,ROUND(100/N11*O11-100,1),IF(ROUND(100/N11*O11-100,1)&gt;999,999,-999)))</f>
        <v>-83.2</v>
      </c>
      <c r="Q11" s="648">
        <v>1.01</v>
      </c>
      <c r="R11" s="599">
        <v>0.55218583741709626</v>
      </c>
      <c r="S11" s="600">
        <f t="shared" ref="S11:S12" si="4">IF(Q11=0, "    ---- ", IF(ABS(ROUND(100/Q11*R11-100,1))&lt;999,ROUND(100/Q11*R11-100,1),IF(ROUND(100/Q11*R11-100,1)&gt;999,999,-999)))</f>
        <v>-45.3</v>
      </c>
      <c r="T11" s="649">
        <v>0.84</v>
      </c>
      <c r="U11" s="596">
        <v>0.75</v>
      </c>
      <c r="V11" s="600">
        <f t="shared" ref="V11:V12" si="5">IF(T11=0, "    ---- ", IF(ABS(ROUND(100/T11*U11-100,1))&lt;999,ROUND(100/T11*U11-100,1),IF(ROUND(100/T11*U11-100,1)&gt;999,999,-999)))</f>
        <v>-10.7</v>
      </c>
      <c r="W11" s="649">
        <v>0.6</v>
      </c>
      <c r="X11" s="599">
        <v>0.9</v>
      </c>
      <c r="Y11" s="600">
        <f t="shared" ref="Y11:Y12" si="6">IF(W11=0, "    ---- ", IF(ABS(ROUND(100/W11*X11-100,1))&lt;999,ROUND(100/W11*X11-100,1),IF(ROUND(100/W11*X11-100,1)&gt;999,999,-999)))</f>
        <v>50</v>
      </c>
      <c r="Z11" s="649">
        <v>0.22</v>
      </c>
      <c r="AA11" s="599">
        <v>3.57</v>
      </c>
      <c r="AB11" s="600">
        <f t="shared" ref="AB11:AB12" si="7">IF(Z11=0, "    ---- ", IF(ABS(ROUND(100/Z11*AA11-100,1))&lt;999,ROUND(100/Z11*AA11-100,1),IF(ROUND(100/Z11*AA11-100,1)&gt;999,999,-999)))</f>
        <v>999</v>
      </c>
      <c r="AC11" s="649">
        <v>0.65</v>
      </c>
      <c r="AD11" s="600">
        <v>-0.52</v>
      </c>
      <c r="AE11" s="600">
        <f t="shared" ref="AE11:AE12" si="8">IF(AC11=0, "    ---- ", IF(ABS(ROUND(100/AC11*AD11-100,1))&lt;999,ROUND(100/AC11*AD11-100,1),IF(ROUND(100/AC11*AD11-100,1)&gt;999,999,-999)))</f>
        <v>-180</v>
      </c>
      <c r="AF11" s="651">
        <v>0.77</v>
      </c>
      <c r="AG11" s="599">
        <v>0.82</v>
      </c>
      <c r="AH11" s="600">
        <f t="shared" ref="AH11:AH12" si="9">IF(AF11=0, "    ---- ", IF(ABS(ROUND(100/AF11*AG11-100,1))&lt;999,ROUND(100/AF11*AG11-100,1),IF(ROUND(100/AF11*AG11-100,1)&gt;999,999,-999)))</f>
        <v>6.5</v>
      </c>
      <c r="AI11" s="600"/>
      <c r="AJ11" s="600"/>
      <c r="AK11" s="600"/>
    </row>
    <row r="12" spans="1:54" ht="18.75" x14ac:dyDescent="0.3">
      <c r="A12" s="650" t="s">
        <v>413</v>
      </c>
      <c r="B12" s="648">
        <v>1.88</v>
      </c>
      <c r="C12" s="599">
        <v>-1.23</v>
      </c>
      <c r="D12" s="600">
        <f t="shared" si="0"/>
        <v>-165.4</v>
      </c>
      <c r="E12" s="648">
        <v>2.0099999999999998</v>
      </c>
      <c r="F12" s="599">
        <v>-2.91</v>
      </c>
      <c r="G12" s="600">
        <f t="shared" si="1"/>
        <v>-244.8</v>
      </c>
      <c r="H12" s="648"/>
      <c r="I12" s="599">
        <v>-0.71</v>
      </c>
      <c r="J12" s="600" t="str">
        <f t="shared" si="2"/>
        <v xml:space="preserve">    ---- </v>
      </c>
      <c r="K12" s="648"/>
      <c r="L12" s="599"/>
      <c r="M12" s="600"/>
      <c r="N12" s="649">
        <v>1.2749999999999999</v>
      </c>
      <c r="O12" s="599">
        <v>-0.13</v>
      </c>
      <c r="P12" s="600">
        <f t="shared" si="3"/>
        <v>-110.2</v>
      </c>
      <c r="Q12" s="648">
        <v>3.06</v>
      </c>
      <c r="R12" s="599">
        <v>-3.7233715662952194</v>
      </c>
      <c r="S12" s="600">
        <f t="shared" si="4"/>
        <v>-221.7</v>
      </c>
      <c r="T12" s="649">
        <v>1.1399999999999999</v>
      </c>
      <c r="U12" s="596">
        <v>0.2</v>
      </c>
      <c r="V12" s="600">
        <f t="shared" si="5"/>
        <v>-82.5</v>
      </c>
      <c r="W12" s="649">
        <v>1.6</v>
      </c>
      <c r="X12" s="599">
        <v>-0.8</v>
      </c>
      <c r="Y12" s="600">
        <f t="shared" si="6"/>
        <v>-150</v>
      </c>
      <c r="Z12" s="649">
        <v>3.57</v>
      </c>
      <c r="AA12" s="599">
        <v>-4.5599999999999996</v>
      </c>
      <c r="AB12" s="600">
        <f t="shared" si="7"/>
        <v>-227.7</v>
      </c>
      <c r="AC12" s="649">
        <v>2.39</v>
      </c>
      <c r="AD12" s="600">
        <v>-4.3600000000000003</v>
      </c>
      <c r="AE12" s="600">
        <f t="shared" si="8"/>
        <v>-282.39999999999998</v>
      </c>
      <c r="AF12" s="651">
        <v>1.87</v>
      </c>
      <c r="AG12" s="599">
        <v>0.67</v>
      </c>
      <c r="AH12" s="600">
        <f t="shared" si="9"/>
        <v>-64.2</v>
      </c>
      <c r="AI12" s="600"/>
      <c r="AJ12" s="600"/>
      <c r="AK12" s="600"/>
    </row>
    <row r="13" spans="1:54" ht="18.75" x14ac:dyDescent="0.3">
      <c r="A13" s="650"/>
      <c r="B13" s="648"/>
      <c r="C13" s="599"/>
      <c r="D13" s="599"/>
      <c r="E13" s="648"/>
      <c r="F13" s="599"/>
      <c r="G13" s="599"/>
      <c r="H13" s="648"/>
      <c r="I13" s="599"/>
      <c r="J13" s="599"/>
      <c r="K13" s="648"/>
      <c r="L13" s="599"/>
      <c r="M13" s="599"/>
      <c r="N13" s="649"/>
      <c r="O13" s="599"/>
      <c r="P13" s="599"/>
      <c r="Q13" s="648"/>
      <c r="R13" s="599"/>
      <c r="S13" s="599"/>
      <c r="T13" s="649"/>
      <c r="U13" s="596"/>
      <c r="V13" s="599"/>
      <c r="W13" s="649"/>
      <c r="X13" s="599"/>
      <c r="Y13" s="599"/>
      <c r="Z13" s="649"/>
      <c r="AA13" s="599"/>
      <c r="AB13" s="599"/>
      <c r="AC13" s="649"/>
      <c r="AD13" s="599"/>
      <c r="AE13" s="599"/>
      <c r="AF13" s="648"/>
      <c r="AG13" s="599"/>
      <c r="AH13" s="599"/>
      <c r="AI13" s="599"/>
      <c r="AJ13" s="599"/>
      <c r="AK13" s="599"/>
    </row>
    <row r="14" spans="1:54" ht="18.75" x14ac:dyDescent="0.3">
      <c r="A14" s="650" t="s">
        <v>414</v>
      </c>
      <c r="B14" s="648"/>
      <c r="C14" s="599"/>
      <c r="D14" s="600"/>
      <c r="E14" s="648">
        <v>23.58</v>
      </c>
      <c r="F14" s="599">
        <f>0.2323*100</f>
        <v>23.23</v>
      </c>
      <c r="G14" s="600">
        <f>IF(E14=0, "    ---- ", IF(ABS(ROUND(100/E14*F14-100,1))&lt;999,ROUND(100/E14*F14-100,1),IF(ROUND(100/E14*F14-100,1)&gt;999,999,-999)))</f>
        <v>-1.5</v>
      </c>
      <c r="H14" s="648"/>
      <c r="I14" s="599">
        <v>17.440000000000001</v>
      </c>
      <c r="J14" s="600" t="str">
        <f>IF(H14=0, "    ---- ", IF(ABS(ROUND(100/H14*I14-100,1))&lt;999,ROUND(100/H14*I14-100,1),IF(ROUND(100/H14*I14-100,1)&gt;999,999,-999)))</f>
        <v xml:space="preserve">    ---- </v>
      </c>
      <c r="K14" s="648">
        <v>27.2</v>
      </c>
      <c r="L14" s="599">
        <v>30.3</v>
      </c>
      <c r="M14" s="600">
        <f>IF(K14=0, "    ---- ", IF(ABS(ROUND(100/K14*L14-100,1))&lt;999,ROUND(100/K14*L14-100,1),IF(ROUND(100/K14*L14-100,1)&gt;999,999,-999)))</f>
        <v>11.4</v>
      </c>
      <c r="N14" s="649">
        <v>17.97</v>
      </c>
      <c r="O14" s="599">
        <v>19.48</v>
      </c>
      <c r="P14" s="600">
        <f>IF(N14=0, "    ---- ", IF(ABS(ROUND(100/N14*O14-100,1))&lt;999,ROUND(100/N14*O14-100,1),IF(ROUND(100/N14*O14-100,1)&gt;999,999,-999)))</f>
        <v>8.4</v>
      </c>
      <c r="Q14" s="648">
        <v>27.406370233345001</v>
      </c>
      <c r="R14" s="599">
        <v>22.7</v>
      </c>
      <c r="S14" s="600">
        <f>IF(Q14=0, "    ---- ", IF(ABS(ROUND(100/Q14*R14-100,1))&lt;999,ROUND(100/Q14*R14-100,1),IF(ROUND(100/Q14*R14-100,1)&gt;999,999,-999)))</f>
        <v>-17.2</v>
      </c>
      <c r="T14" s="649">
        <v>41.5</v>
      </c>
      <c r="U14" s="596">
        <v>45</v>
      </c>
      <c r="V14" s="600">
        <f>IF(T14=0, "    ---- ", IF(ABS(ROUND(100/T14*U14-100,1))&lt;999,ROUND(100/T14*U14-100,1),IF(ROUND(100/T14*U14-100,1)&gt;999,999,-999)))</f>
        <v>8.4</v>
      </c>
      <c r="W14" s="649">
        <v>33</v>
      </c>
      <c r="X14" s="599">
        <v>34.5</v>
      </c>
      <c r="Y14" s="600">
        <f>IF(W14=0, "    ---- ", IF(ABS(ROUND(100/W14*X14-100,1))&lt;999,ROUND(100/W14*X14-100,1),IF(ROUND(100/W14*X14-100,1)&gt;999,999,-999)))</f>
        <v>4.5</v>
      </c>
      <c r="Z14" s="648">
        <f>(1430+7303+1240+7492+12170+734)/(64239+3195)*100</f>
        <v>45.035145475576122</v>
      </c>
      <c r="AA14" s="599">
        <f>(1430+7928+1240+7241+9577+909)/(66985+1526)*100</f>
        <v>41.343725825049994</v>
      </c>
      <c r="AB14" s="600">
        <f>IF(Z14=0, "    ---- ", IF(ABS(ROUND(100/Z14*AA14-100,1))&lt;999,ROUND(100/Z14*AA14-100,1),IF(ROUND(100/Z14*AA14-100,1)&gt;999,999,-999)))</f>
        <v>-8.1999999999999993</v>
      </c>
      <c r="AC14" s="652">
        <v>24.54</v>
      </c>
      <c r="AD14" s="600">
        <v>44.39</v>
      </c>
      <c r="AE14" s="600">
        <f>IF(AC14=0, "    ---- ", IF(ABS(ROUND(100/AC14*AD14-100,1))&lt;999,ROUND(100/AC14*AD14-100,1),IF(ROUND(100/AC14*AD14-100,1)&gt;999,999,-999)))</f>
        <v>80.900000000000006</v>
      </c>
      <c r="AF14" s="651">
        <v>23.43</v>
      </c>
      <c r="AG14" s="599">
        <v>24.3</v>
      </c>
      <c r="AH14" s="600">
        <f>IF(AF14=0, "    ---- ", IF(ABS(ROUND(100/AF14*AG14-100,1))&lt;999,ROUND(100/AF14*AG14-100,1),IF(ROUND(100/AF14*AG14-100,1)&gt;999,999,-999)))</f>
        <v>3.7</v>
      </c>
      <c r="AI14" s="600"/>
      <c r="AJ14" s="600"/>
      <c r="AK14" s="600"/>
    </row>
    <row r="15" spans="1:54" ht="18.75" x14ac:dyDescent="0.3">
      <c r="A15" s="650"/>
      <c r="B15" s="648"/>
      <c r="C15" s="599"/>
      <c r="D15" s="599"/>
      <c r="E15" s="648"/>
      <c r="F15" s="599"/>
      <c r="G15" s="599"/>
      <c r="H15" s="648"/>
      <c r="I15" s="599"/>
      <c r="J15" s="599"/>
      <c r="K15" s="648"/>
      <c r="L15" s="599"/>
      <c r="M15" s="599"/>
      <c r="N15" s="649"/>
      <c r="O15" s="599"/>
      <c r="P15" s="599"/>
      <c r="Q15" s="648"/>
      <c r="R15" s="599"/>
      <c r="S15" s="599"/>
      <c r="T15" s="649"/>
      <c r="U15" s="596"/>
      <c r="V15" s="599"/>
      <c r="W15" s="649"/>
      <c r="X15" s="599"/>
      <c r="Y15" s="599"/>
      <c r="Z15" s="649"/>
      <c r="AA15" s="599"/>
      <c r="AB15" s="599"/>
      <c r="AC15" s="649"/>
      <c r="AD15" s="599"/>
      <c r="AE15" s="599"/>
      <c r="AF15" s="648"/>
      <c r="AG15" s="599"/>
      <c r="AH15" s="599"/>
      <c r="AI15" s="599"/>
      <c r="AJ15" s="599"/>
      <c r="AK15" s="599"/>
    </row>
    <row r="16" spans="1:54" ht="18.75" x14ac:dyDescent="0.3">
      <c r="A16" s="650" t="s">
        <v>349</v>
      </c>
      <c r="B16" s="651">
        <v>37.843000000000004</v>
      </c>
      <c r="C16" s="600">
        <v>24.056000000000001</v>
      </c>
      <c r="D16" s="600">
        <f>IF(B16=0, "    ---- ", IF(ABS(ROUND(100/B16*C16-100,1))&lt;999,ROUND(100/B16*C16-100,1),IF(ROUND(100/B16*C16-100,1)&gt;999,999,-999)))</f>
        <v>-36.4</v>
      </c>
      <c r="E16" s="651">
        <v>3647.3310000000001</v>
      </c>
      <c r="F16" s="600">
        <v>0</v>
      </c>
      <c r="G16" s="600">
        <f>IF(E16=0, "    ---- ", IF(ABS(ROUND(100/E16*F16-100,1))&lt;999,ROUND(100/E16*F16-100,1),IF(ROUND(100/E16*F16-100,1)&gt;999,999,-999)))</f>
        <v>-100</v>
      </c>
      <c r="H16" s="651"/>
      <c r="I16" s="600"/>
      <c r="J16" s="600"/>
      <c r="K16" s="651"/>
      <c r="L16" s="600"/>
      <c r="M16" s="600"/>
      <c r="N16" s="653">
        <v>15.2</v>
      </c>
      <c r="O16" s="600">
        <v>0</v>
      </c>
      <c r="P16" s="600">
        <f>IF(N16=0, "    ---- ", IF(ABS(ROUND(100/N16*O16-100,1))&lt;999,ROUND(100/N16*O16-100,1),IF(ROUND(100/N16*O16-100,1)&gt;999,999,-999)))</f>
        <v>-100</v>
      </c>
      <c r="Q16" s="651">
        <v>44313.762024000003</v>
      </c>
      <c r="R16" s="600">
        <v>31731.070842000001</v>
      </c>
      <c r="S16" s="600">
        <f>IF(Q16=0, "    ---- ", IF(ABS(ROUND(100/Q16*R16-100,1))&lt;999,ROUND(100/Q16*R16-100,1),IF(ROUND(100/Q16*R16-100,1)&gt;999,999,-999)))</f>
        <v>-28.4</v>
      </c>
      <c r="T16" s="653">
        <v>13.1</v>
      </c>
      <c r="U16" s="597">
        <v>9.3000000000000007</v>
      </c>
      <c r="V16" s="600">
        <f>IF(T16=0, "    ---- ", IF(ABS(ROUND(100/T16*U16-100,1))&lt;999,ROUND(100/T16*U16-100,1),IF(ROUND(100/T16*U16-100,1)&gt;999,999,-999)))</f>
        <v>-29</v>
      </c>
      <c r="W16" s="653">
        <v>1512</v>
      </c>
      <c r="X16" s="600">
        <v>725</v>
      </c>
      <c r="Y16" s="600">
        <f>IF(W16=0, "    ---- ", IF(ABS(ROUND(100/W16*X16-100,1))&lt;999,ROUND(100/W16*X16-100,1),IF(ROUND(100/W16*X16-100,1)&gt;999,999,-999)))</f>
        <v>-52.1</v>
      </c>
      <c r="Z16" s="653">
        <v>12170</v>
      </c>
      <c r="AA16" s="600">
        <v>9577</v>
      </c>
      <c r="AB16" s="600">
        <f>IF(Z16=0, "    ---- ", IF(ABS(ROUND(100/Z16*AA16-100,1))&lt;999,ROUND(100/Z16*AA16-100,1),IF(ROUND(100/Z16*AA16-100,1)&gt;999,999,-999)))</f>
        <v>-21.3</v>
      </c>
      <c r="AC16" s="653">
        <v>1947</v>
      </c>
      <c r="AD16" s="600">
        <v>1486</v>
      </c>
      <c r="AE16" s="600">
        <f>IF(AC16=0, "    ---- ", IF(ABS(ROUND(100/AC16*AD16-100,1))&lt;999,ROUND(100/AC16*AD16-100,1),IF(ROUND(100/AC16*AD16-100,1)&gt;999,999,-999)))</f>
        <v>-23.7</v>
      </c>
      <c r="AF16" s="651">
        <v>4312</v>
      </c>
      <c r="AG16" s="600">
        <v>5279</v>
      </c>
      <c r="AH16" s="600">
        <f>IF(AF16=0, "    ---- ", IF(ABS(ROUND(100/AF16*AG16-100,1))&lt;999,ROUND(100/AF16*AG16-100,1),IF(ROUND(100/AF16*AG16-100,1)&gt;999,999,-999)))</f>
        <v>22.4</v>
      </c>
      <c r="AI16" s="600">
        <f>B16+E16+H16+K16+N16+Q16+T16+W16+Z16+AC16+AF16</f>
        <v>67968.236024000013</v>
      </c>
      <c r="AJ16" s="600">
        <f>C16+F16+I16+L16+O16+R16+U16+X16+AA16+AD16+AG16</f>
        <v>48831.426842000001</v>
      </c>
      <c r="AK16" s="600">
        <f>IF(AI16=0, "    ---- ", IF(ABS(ROUND(100/AI16*AJ16-100,1))&lt;999,ROUND(100/AI16*AJ16-100,1),IF(ROUND(100/AI16*AJ16-100,1)&gt;999,999,-999)))</f>
        <v>-28.2</v>
      </c>
    </row>
    <row r="17" spans="1:37" ht="18.75" x14ac:dyDescent="0.3">
      <c r="A17" s="650"/>
      <c r="B17" s="651"/>
      <c r="C17" s="600"/>
      <c r="D17" s="600"/>
      <c r="E17" s="651"/>
      <c r="F17" s="600"/>
      <c r="G17" s="600"/>
      <c r="H17" s="651"/>
      <c r="I17" s="600"/>
      <c r="J17" s="600"/>
      <c r="K17" s="651"/>
      <c r="L17" s="600"/>
      <c r="M17" s="600"/>
      <c r="N17" s="653"/>
      <c r="O17" s="600"/>
      <c r="P17" s="600"/>
      <c r="Q17" s="651"/>
      <c r="R17" s="600"/>
      <c r="S17" s="600"/>
      <c r="T17" s="653"/>
      <c r="U17" s="597"/>
      <c r="V17" s="600"/>
      <c r="W17" s="653"/>
      <c r="X17" s="600"/>
      <c r="Y17" s="600"/>
      <c r="Z17" s="653"/>
      <c r="AA17" s="600"/>
      <c r="AB17" s="600"/>
      <c r="AC17" s="653"/>
      <c r="AD17" s="600"/>
      <c r="AE17" s="600"/>
      <c r="AF17" s="651"/>
      <c r="AG17" s="600"/>
      <c r="AH17" s="600"/>
      <c r="AI17" s="600"/>
      <c r="AJ17" s="600"/>
      <c r="AK17" s="600"/>
    </row>
    <row r="18" spans="1:37" ht="18.75" x14ac:dyDescent="0.3">
      <c r="A18" s="654" t="s">
        <v>415</v>
      </c>
      <c r="B18" s="655"/>
      <c r="C18" s="601"/>
      <c r="D18" s="601"/>
      <c r="E18" s="655">
        <v>6388.451</v>
      </c>
      <c r="F18" s="601">
        <v>7664.0659999999998</v>
      </c>
      <c r="G18" s="601">
        <f>IF(E18=0, "    ---- ", IF(ABS(ROUND(100/E18*F18-100,1))&lt;999,ROUND(100/E18*F18-100,1),IF(ROUND(100/E18*F18-100,1)&gt;999,999,-999)))</f>
        <v>20</v>
      </c>
      <c r="H18" s="655"/>
      <c r="I18" s="601"/>
      <c r="J18" s="601"/>
      <c r="K18" s="655"/>
      <c r="L18" s="601"/>
      <c r="M18" s="601"/>
      <c r="N18" s="656"/>
      <c r="O18" s="601"/>
      <c r="P18" s="601" t="str">
        <f>IF(N18=0, "    ---- ", IF(ABS(ROUND(100/N18*O18-100,1))&lt;999,ROUND(100/N18*O18-100,1),IF(ROUND(100/N18*O18-100,1)&gt;999,999,-999)))</f>
        <v xml:space="preserve">    ---- </v>
      </c>
      <c r="Q18" s="655">
        <v>394.88847181466099</v>
      </c>
      <c r="R18" s="601"/>
      <c r="S18" s="601">
        <f>IF(Q18=0, "    ---- ", IF(ABS(ROUND(100/Q18*R18-100,1))&lt;999,ROUND(100/Q18*R18-100,1),IF(ROUND(100/Q18*R18-100,1)&gt;999,999,-999)))</f>
        <v>-100</v>
      </c>
      <c r="T18" s="657">
        <v>47</v>
      </c>
      <c r="U18" s="598">
        <v>65</v>
      </c>
      <c r="V18" s="601">
        <f>IF(T18=0, "    ---- ", IF(ABS(ROUND(100/T18*U18-100,1))&lt;999,ROUND(100/T18*U18-100,1),IF(ROUND(100/T18*U18-100,1)&gt;999,999,-999)))</f>
        <v>38.299999999999997</v>
      </c>
      <c r="W18" s="657">
        <v>1389</v>
      </c>
      <c r="X18" s="601">
        <v>2214</v>
      </c>
      <c r="Y18" s="601">
        <f>IF(W18=0, "    ---- ", IF(ABS(ROUND(100/W18*X18-100,1))&lt;999,ROUND(100/W18*X18-100,1),IF(ROUND(100/W18*X18-100,1)&gt;999,999,-999)))</f>
        <v>59.4</v>
      </c>
      <c r="Z18" s="657">
        <v>734</v>
      </c>
      <c r="AA18" s="601">
        <f>813+96</f>
        <v>909</v>
      </c>
      <c r="AB18" s="601">
        <f>IF(Z18=0, "    ---- ", IF(ABS(ROUND(100/Z18*AA18-100,1))&lt;999,ROUND(100/Z18*AA18-100,1),IF(ROUND(100/Z18*AA18-100,1)&gt;999,999,-999)))</f>
        <v>23.8</v>
      </c>
      <c r="AC18" s="657">
        <v>40</v>
      </c>
      <c r="AD18" s="601">
        <v>73</v>
      </c>
      <c r="AE18" s="601"/>
      <c r="AF18" s="655">
        <v>5863</v>
      </c>
      <c r="AG18" s="601">
        <v>6719</v>
      </c>
      <c r="AH18" s="601">
        <f>IF(AF18=0, "    ---- ", IF(ABS(ROUND(100/AF18*AG18-100,1))&lt;999,ROUND(100/AF18*AG18-100,1),IF(ROUND(100/AF18*AG18-100,1)&gt;999,999,-999)))</f>
        <v>14.6</v>
      </c>
      <c r="AI18" s="601">
        <f t="shared" ref="AI18:AJ18" si="10">B18+E18+H18+K18+N18+Q18+T18+W18+Z18+AC18+AF18</f>
        <v>14856.339471814661</v>
      </c>
      <c r="AJ18" s="601">
        <f t="shared" si="10"/>
        <v>17644.065999999999</v>
      </c>
      <c r="AK18" s="601">
        <f>IF(AI18=0, "    ---- ", IF(ABS(ROUND(100/AI18*AJ18-100,1))&lt;999,ROUND(100/AI18*AJ18-100,1),IF(ROUND(100/AI18*AJ18-100,1)&gt;999,999,-999)))</f>
        <v>18.8</v>
      </c>
    </row>
  </sheetData>
  <protectedRanges>
    <protectedRange sqref="O9:O13 O15:O18" name="Område1_9"/>
    <protectedRange sqref="O14" name="Område1_4_2"/>
    <protectedRange sqref="N9:N10" name="Område1_10"/>
    <protectedRange sqref="N11:N18" name="Område1_7_2"/>
    <protectedRange sqref="AC9:AC18" name="Område1_9_1_1"/>
    <protectedRange sqref="AG9:AG13 AG15:AG18" name="Område1_9_1"/>
    <protectedRange sqref="AG14" name="Område1_4_2_2"/>
    <protectedRange sqref="X9:X13 X15:X18" name="Område1_9_3"/>
    <protectedRange sqref="X14" name="Område1_4_2_3"/>
    <protectedRange sqref="W9:W10" name="Område1_4_1"/>
    <protectedRange sqref="W11:W18" name="Område1_5_2_1"/>
    <protectedRange sqref="B9:C10 B17:C18" name="Område1_4"/>
    <protectedRange sqref="B11:C16" name="Område1_1_1"/>
    <protectedRange sqref="R9:R13 R15:R18" name="Område1_9_4"/>
    <protectedRange sqref="R14" name="Område1_4_2_4"/>
    <protectedRange sqref="Q9:Q10" name="Område1_2_1"/>
    <protectedRange sqref="Q11:Q18" name="Område1_3_2_1"/>
    <protectedRange sqref="AA9:AA13 AA15:AA18" name="Område1_9_5"/>
    <protectedRange sqref="AA14" name="Område1_4_2_5"/>
    <protectedRange sqref="Z9:Z10" name="Område1_3_1"/>
    <protectedRange sqref="Z11:Z18" name="Område1_6_2_1"/>
    <protectedRange sqref="H9:I13 H15:I18" name="Område1_9_6"/>
    <protectedRange sqref="H14:I14" name="Område1_4_2_6"/>
    <protectedRange sqref="K9:L13 K15:L18" name="Område1_9_7"/>
    <protectedRange sqref="K14:L14" name="Område1_4_2_7"/>
    <protectedRange sqref="E9:F10" name="Område1_8_1"/>
    <protectedRange sqref="E11:F18" name="Område1_2_2_1"/>
    <protectedRange sqref="U9:U13 U15:U18" name="Område1_9_8"/>
    <protectedRange sqref="U14" name="Område1_4_2_8"/>
  </protectedRanges>
  <mergeCells count="32">
    <mergeCell ref="T5:V5"/>
    <mergeCell ref="B5:D5"/>
    <mergeCell ref="E5:G5"/>
    <mergeCell ref="H5:J5"/>
    <mergeCell ref="K5:M5"/>
    <mergeCell ref="N5:P5"/>
    <mergeCell ref="AT5:AV5"/>
    <mergeCell ref="AW5:AY5"/>
    <mergeCell ref="AZ5:BB5"/>
    <mergeCell ref="B6:D6"/>
    <mergeCell ref="E6:G6"/>
    <mergeCell ref="H6:J6"/>
    <mergeCell ref="K6:M6"/>
    <mergeCell ref="N6:P6"/>
    <mergeCell ref="Q6:S6"/>
    <mergeCell ref="T6:V6"/>
    <mergeCell ref="Z5:AB5"/>
    <mergeCell ref="AC5:AE5"/>
    <mergeCell ref="AF5:AH5"/>
    <mergeCell ref="AI5:AK5"/>
    <mergeCell ref="AN5:AP5"/>
    <mergeCell ref="AQ5:AS5"/>
    <mergeCell ref="AQ6:AS6"/>
    <mergeCell ref="AT6:AV6"/>
    <mergeCell ref="AW6:AY6"/>
    <mergeCell ref="AZ6:BB6"/>
    <mergeCell ref="W6:Y6"/>
    <mergeCell ref="Z6:AB6"/>
    <mergeCell ref="AC6:AE6"/>
    <mergeCell ref="AF6:AH6"/>
    <mergeCell ref="AI6:AK6"/>
    <mergeCell ref="AN6:AP6"/>
  </mergeCells>
  <hyperlinks>
    <hyperlink ref="B1" location="Innhold!A1" display="Tilbake" xr:uid="{10497701-2AA6-4565-8F01-4AFD14AEF8B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Q65"/>
  <sheetViews>
    <sheetView showGridLines="0" zoomScale="90" zoomScaleNormal="90" workbookViewId="0">
      <selection activeCell="A10" sqref="A10"/>
    </sheetView>
  </sheetViews>
  <sheetFormatPr baseColWidth="10" defaultColWidth="11.42578125" defaultRowHeight="12.75" x14ac:dyDescent="0.2"/>
  <cols>
    <col min="1" max="1" width="66.28515625" style="1" customWidth="1"/>
    <col min="2" max="2" width="4.28515625" style="50" customWidth="1"/>
    <col min="3" max="3" width="105.140625" style="1" customWidth="1"/>
    <col min="4" max="8" width="12.7109375" style="1" customWidth="1"/>
    <col min="9" max="257" width="11.42578125" style="1"/>
    <col min="258" max="258" width="2.7109375" style="1" customWidth="1"/>
    <col min="259" max="259" width="176.7109375" style="1" customWidth="1"/>
    <col min="260" max="260" width="11.42578125" style="1"/>
    <col min="261" max="261" width="176.7109375" style="1" customWidth="1"/>
    <col min="262" max="262" width="11.42578125" style="1"/>
    <col min="263" max="263" width="88.7109375" style="1" customWidth="1"/>
    <col min="264" max="513" width="11.42578125" style="1"/>
    <col min="514" max="514" width="2.7109375" style="1" customWidth="1"/>
    <col min="515" max="515" width="176.7109375" style="1" customWidth="1"/>
    <col min="516" max="516" width="11.42578125" style="1"/>
    <col min="517" max="517" width="176.7109375" style="1" customWidth="1"/>
    <col min="518" max="518" width="11.42578125" style="1"/>
    <col min="519" max="519" width="88.7109375" style="1" customWidth="1"/>
    <col min="520" max="769" width="11.42578125" style="1"/>
    <col min="770" max="770" width="2.7109375" style="1" customWidth="1"/>
    <col min="771" max="771" width="176.7109375" style="1" customWidth="1"/>
    <col min="772" max="772" width="11.42578125" style="1"/>
    <col min="773" max="773" width="176.7109375" style="1" customWidth="1"/>
    <col min="774" max="774" width="11.42578125" style="1"/>
    <col min="775" max="775" width="88.7109375" style="1" customWidth="1"/>
    <col min="776" max="1025" width="11.42578125" style="1"/>
    <col min="1026" max="1026" width="2.7109375" style="1" customWidth="1"/>
    <col min="1027" max="1027" width="176.7109375" style="1" customWidth="1"/>
    <col min="1028" max="1028" width="11.42578125" style="1"/>
    <col min="1029" max="1029" width="176.7109375" style="1" customWidth="1"/>
    <col min="1030" max="1030" width="11.42578125" style="1"/>
    <col min="1031" max="1031" width="88.7109375" style="1" customWidth="1"/>
    <col min="1032" max="1281" width="11.42578125" style="1"/>
    <col min="1282" max="1282" width="2.7109375" style="1" customWidth="1"/>
    <col min="1283" max="1283" width="176.7109375" style="1" customWidth="1"/>
    <col min="1284" max="1284" width="11.42578125" style="1"/>
    <col min="1285" max="1285" width="176.7109375" style="1" customWidth="1"/>
    <col min="1286" max="1286" width="11.42578125" style="1"/>
    <col min="1287" max="1287" width="88.7109375" style="1" customWidth="1"/>
    <col min="1288" max="1537" width="11.42578125" style="1"/>
    <col min="1538" max="1538" width="2.7109375" style="1" customWidth="1"/>
    <col min="1539" max="1539" width="176.7109375" style="1" customWidth="1"/>
    <col min="1540" max="1540" width="11.42578125" style="1"/>
    <col min="1541" max="1541" width="176.7109375" style="1" customWidth="1"/>
    <col min="1542" max="1542" width="11.42578125" style="1"/>
    <col min="1543" max="1543" width="88.7109375" style="1" customWidth="1"/>
    <col min="1544" max="1793" width="11.42578125" style="1"/>
    <col min="1794" max="1794" width="2.7109375" style="1" customWidth="1"/>
    <col min="1795" max="1795" width="176.7109375" style="1" customWidth="1"/>
    <col min="1796" max="1796" width="11.42578125" style="1"/>
    <col min="1797" max="1797" width="176.7109375" style="1" customWidth="1"/>
    <col min="1798" max="1798" width="11.42578125" style="1"/>
    <col min="1799" max="1799" width="88.7109375" style="1" customWidth="1"/>
    <col min="1800" max="2049" width="11.42578125" style="1"/>
    <col min="2050" max="2050" width="2.7109375" style="1" customWidth="1"/>
    <col min="2051" max="2051" width="176.7109375" style="1" customWidth="1"/>
    <col min="2052" max="2052" width="11.42578125" style="1"/>
    <col min="2053" max="2053" width="176.7109375" style="1" customWidth="1"/>
    <col min="2054" max="2054" width="11.42578125" style="1"/>
    <col min="2055" max="2055" width="88.7109375" style="1" customWidth="1"/>
    <col min="2056" max="2305" width="11.42578125" style="1"/>
    <col min="2306" max="2306" width="2.7109375" style="1" customWidth="1"/>
    <col min="2307" max="2307" width="176.7109375" style="1" customWidth="1"/>
    <col min="2308" max="2308" width="11.42578125" style="1"/>
    <col min="2309" max="2309" width="176.7109375" style="1" customWidth="1"/>
    <col min="2310" max="2310" width="11.42578125" style="1"/>
    <col min="2311" max="2311" width="88.7109375" style="1" customWidth="1"/>
    <col min="2312" max="2561" width="11.42578125" style="1"/>
    <col min="2562" max="2562" width="2.7109375" style="1" customWidth="1"/>
    <col min="2563" max="2563" width="176.7109375" style="1" customWidth="1"/>
    <col min="2564" max="2564" width="11.42578125" style="1"/>
    <col min="2565" max="2565" width="176.7109375" style="1" customWidth="1"/>
    <col min="2566" max="2566" width="11.42578125" style="1"/>
    <col min="2567" max="2567" width="88.7109375" style="1" customWidth="1"/>
    <col min="2568" max="2817" width="11.42578125" style="1"/>
    <col min="2818" max="2818" width="2.7109375" style="1" customWidth="1"/>
    <col min="2819" max="2819" width="176.7109375" style="1" customWidth="1"/>
    <col min="2820" max="2820" width="11.42578125" style="1"/>
    <col min="2821" max="2821" width="176.7109375" style="1" customWidth="1"/>
    <col min="2822" max="2822" width="11.42578125" style="1"/>
    <col min="2823" max="2823" width="88.7109375" style="1" customWidth="1"/>
    <col min="2824" max="3073" width="11.42578125" style="1"/>
    <col min="3074" max="3074" width="2.7109375" style="1" customWidth="1"/>
    <col min="3075" max="3075" width="176.7109375" style="1" customWidth="1"/>
    <col min="3076" max="3076" width="11.42578125" style="1"/>
    <col min="3077" max="3077" width="176.7109375" style="1" customWidth="1"/>
    <col min="3078" max="3078" width="11.42578125" style="1"/>
    <col min="3079" max="3079" width="88.7109375" style="1" customWidth="1"/>
    <col min="3080" max="3329" width="11.42578125" style="1"/>
    <col min="3330" max="3330" width="2.7109375" style="1" customWidth="1"/>
    <col min="3331" max="3331" width="176.7109375" style="1" customWidth="1"/>
    <col min="3332" max="3332" width="11.42578125" style="1"/>
    <col min="3333" max="3333" width="176.7109375" style="1" customWidth="1"/>
    <col min="3334" max="3334" width="11.42578125" style="1"/>
    <col min="3335" max="3335" width="88.7109375" style="1" customWidth="1"/>
    <col min="3336" max="3585" width="11.42578125" style="1"/>
    <col min="3586" max="3586" width="2.7109375" style="1" customWidth="1"/>
    <col min="3587" max="3587" width="176.7109375" style="1" customWidth="1"/>
    <col min="3588" max="3588" width="11.42578125" style="1"/>
    <col min="3589" max="3589" width="176.7109375" style="1" customWidth="1"/>
    <col min="3590" max="3590" width="11.42578125" style="1"/>
    <col min="3591" max="3591" width="88.7109375" style="1" customWidth="1"/>
    <col min="3592" max="3841" width="11.42578125" style="1"/>
    <col min="3842" max="3842" width="2.7109375" style="1" customWidth="1"/>
    <col min="3843" max="3843" width="176.7109375" style="1" customWidth="1"/>
    <col min="3844" max="3844" width="11.42578125" style="1"/>
    <col min="3845" max="3845" width="176.7109375" style="1" customWidth="1"/>
    <col min="3846" max="3846" width="11.42578125" style="1"/>
    <col min="3847" max="3847" width="88.7109375" style="1" customWidth="1"/>
    <col min="3848" max="4097" width="11.42578125" style="1"/>
    <col min="4098" max="4098" width="2.7109375" style="1" customWidth="1"/>
    <col min="4099" max="4099" width="176.7109375" style="1" customWidth="1"/>
    <col min="4100" max="4100" width="11.42578125" style="1"/>
    <col min="4101" max="4101" width="176.7109375" style="1" customWidth="1"/>
    <col min="4102" max="4102" width="11.42578125" style="1"/>
    <col min="4103" max="4103" width="88.7109375" style="1" customWidth="1"/>
    <col min="4104" max="4353" width="11.42578125" style="1"/>
    <col min="4354" max="4354" width="2.7109375" style="1" customWidth="1"/>
    <col min="4355" max="4355" width="176.7109375" style="1" customWidth="1"/>
    <col min="4356" max="4356" width="11.42578125" style="1"/>
    <col min="4357" max="4357" width="176.7109375" style="1" customWidth="1"/>
    <col min="4358" max="4358" width="11.42578125" style="1"/>
    <col min="4359" max="4359" width="88.7109375" style="1" customWidth="1"/>
    <col min="4360" max="4609" width="11.42578125" style="1"/>
    <col min="4610" max="4610" width="2.7109375" style="1" customWidth="1"/>
    <col min="4611" max="4611" width="176.7109375" style="1" customWidth="1"/>
    <col min="4612" max="4612" width="11.42578125" style="1"/>
    <col min="4613" max="4613" width="176.7109375" style="1" customWidth="1"/>
    <col min="4614" max="4614" width="11.42578125" style="1"/>
    <col min="4615" max="4615" width="88.7109375" style="1" customWidth="1"/>
    <col min="4616" max="4865" width="11.42578125" style="1"/>
    <col min="4866" max="4866" width="2.7109375" style="1" customWidth="1"/>
    <col min="4867" max="4867" width="176.7109375" style="1" customWidth="1"/>
    <col min="4868" max="4868" width="11.42578125" style="1"/>
    <col min="4869" max="4869" width="176.7109375" style="1" customWidth="1"/>
    <col min="4870" max="4870" width="11.42578125" style="1"/>
    <col min="4871" max="4871" width="88.7109375" style="1" customWidth="1"/>
    <col min="4872" max="5121" width="11.42578125" style="1"/>
    <col min="5122" max="5122" width="2.7109375" style="1" customWidth="1"/>
    <col min="5123" max="5123" width="176.7109375" style="1" customWidth="1"/>
    <col min="5124" max="5124" width="11.42578125" style="1"/>
    <col min="5125" max="5125" width="176.7109375" style="1" customWidth="1"/>
    <col min="5126" max="5126" width="11.42578125" style="1"/>
    <col min="5127" max="5127" width="88.7109375" style="1" customWidth="1"/>
    <col min="5128" max="5377" width="11.42578125" style="1"/>
    <col min="5378" max="5378" width="2.7109375" style="1" customWidth="1"/>
    <col min="5379" max="5379" width="176.7109375" style="1" customWidth="1"/>
    <col min="5380" max="5380" width="11.42578125" style="1"/>
    <col min="5381" max="5381" width="176.7109375" style="1" customWidth="1"/>
    <col min="5382" max="5382" width="11.42578125" style="1"/>
    <col min="5383" max="5383" width="88.7109375" style="1" customWidth="1"/>
    <col min="5384" max="5633" width="11.42578125" style="1"/>
    <col min="5634" max="5634" width="2.7109375" style="1" customWidth="1"/>
    <col min="5635" max="5635" width="176.7109375" style="1" customWidth="1"/>
    <col min="5636" max="5636" width="11.42578125" style="1"/>
    <col min="5637" max="5637" width="176.7109375" style="1" customWidth="1"/>
    <col min="5638" max="5638" width="11.42578125" style="1"/>
    <col min="5639" max="5639" width="88.7109375" style="1" customWidth="1"/>
    <col min="5640" max="5889" width="11.42578125" style="1"/>
    <col min="5890" max="5890" width="2.7109375" style="1" customWidth="1"/>
    <col min="5891" max="5891" width="176.7109375" style="1" customWidth="1"/>
    <col min="5892" max="5892" width="11.42578125" style="1"/>
    <col min="5893" max="5893" width="176.7109375" style="1" customWidth="1"/>
    <col min="5894" max="5894" width="11.42578125" style="1"/>
    <col min="5895" max="5895" width="88.7109375" style="1" customWidth="1"/>
    <col min="5896" max="6145" width="11.42578125" style="1"/>
    <col min="6146" max="6146" width="2.7109375" style="1" customWidth="1"/>
    <col min="6147" max="6147" width="176.7109375" style="1" customWidth="1"/>
    <col min="6148" max="6148" width="11.42578125" style="1"/>
    <col min="6149" max="6149" width="176.7109375" style="1" customWidth="1"/>
    <col min="6150" max="6150" width="11.42578125" style="1"/>
    <col min="6151" max="6151" width="88.7109375" style="1" customWidth="1"/>
    <col min="6152" max="6401" width="11.42578125" style="1"/>
    <col min="6402" max="6402" width="2.7109375" style="1" customWidth="1"/>
    <col min="6403" max="6403" width="176.7109375" style="1" customWidth="1"/>
    <col min="6404" max="6404" width="11.42578125" style="1"/>
    <col min="6405" max="6405" width="176.7109375" style="1" customWidth="1"/>
    <col min="6406" max="6406" width="11.42578125" style="1"/>
    <col min="6407" max="6407" width="88.7109375" style="1" customWidth="1"/>
    <col min="6408" max="6657" width="11.42578125" style="1"/>
    <col min="6658" max="6658" width="2.7109375" style="1" customWidth="1"/>
    <col min="6659" max="6659" width="176.7109375" style="1" customWidth="1"/>
    <col min="6660" max="6660" width="11.42578125" style="1"/>
    <col min="6661" max="6661" width="176.7109375" style="1" customWidth="1"/>
    <col min="6662" max="6662" width="11.42578125" style="1"/>
    <col min="6663" max="6663" width="88.7109375" style="1" customWidth="1"/>
    <col min="6664" max="6913" width="11.42578125" style="1"/>
    <col min="6914" max="6914" width="2.7109375" style="1" customWidth="1"/>
    <col min="6915" max="6915" width="176.7109375" style="1" customWidth="1"/>
    <col min="6916" max="6916" width="11.42578125" style="1"/>
    <col min="6917" max="6917" width="176.7109375" style="1" customWidth="1"/>
    <col min="6918" max="6918" width="11.42578125" style="1"/>
    <col min="6919" max="6919" width="88.7109375" style="1" customWidth="1"/>
    <col min="6920" max="7169" width="11.42578125" style="1"/>
    <col min="7170" max="7170" width="2.7109375" style="1" customWidth="1"/>
    <col min="7171" max="7171" width="176.7109375" style="1" customWidth="1"/>
    <col min="7172" max="7172" width="11.42578125" style="1"/>
    <col min="7173" max="7173" width="176.7109375" style="1" customWidth="1"/>
    <col min="7174" max="7174" width="11.42578125" style="1"/>
    <col min="7175" max="7175" width="88.7109375" style="1" customWidth="1"/>
    <col min="7176" max="7425" width="11.42578125" style="1"/>
    <col min="7426" max="7426" width="2.7109375" style="1" customWidth="1"/>
    <col min="7427" max="7427" width="176.7109375" style="1" customWidth="1"/>
    <col min="7428" max="7428" width="11.42578125" style="1"/>
    <col min="7429" max="7429" width="176.7109375" style="1" customWidth="1"/>
    <col min="7430" max="7430" width="11.42578125" style="1"/>
    <col min="7431" max="7431" width="88.7109375" style="1" customWidth="1"/>
    <col min="7432" max="7681" width="11.42578125" style="1"/>
    <col min="7682" max="7682" width="2.7109375" style="1" customWidth="1"/>
    <col min="7683" max="7683" width="176.7109375" style="1" customWidth="1"/>
    <col min="7684" max="7684" width="11.42578125" style="1"/>
    <col min="7685" max="7685" width="176.7109375" style="1" customWidth="1"/>
    <col min="7686" max="7686" width="11.42578125" style="1"/>
    <col min="7687" max="7687" width="88.7109375" style="1" customWidth="1"/>
    <col min="7688" max="7937" width="11.42578125" style="1"/>
    <col min="7938" max="7938" width="2.7109375" style="1" customWidth="1"/>
    <col min="7939" max="7939" width="176.7109375" style="1" customWidth="1"/>
    <col min="7940" max="7940" width="11.42578125" style="1"/>
    <col min="7941" max="7941" width="176.7109375" style="1" customWidth="1"/>
    <col min="7942" max="7942" width="11.42578125" style="1"/>
    <col min="7943" max="7943" width="88.7109375" style="1" customWidth="1"/>
    <col min="7944" max="8193" width="11.42578125" style="1"/>
    <col min="8194" max="8194" width="2.7109375" style="1" customWidth="1"/>
    <col min="8195" max="8195" width="176.7109375" style="1" customWidth="1"/>
    <col min="8196" max="8196" width="11.42578125" style="1"/>
    <col min="8197" max="8197" width="176.7109375" style="1" customWidth="1"/>
    <col min="8198" max="8198" width="11.42578125" style="1"/>
    <col min="8199" max="8199" width="88.7109375" style="1" customWidth="1"/>
    <col min="8200" max="8449" width="11.42578125" style="1"/>
    <col min="8450" max="8450" width="2.7109375" style="1" customWidth="1"/>
    <col min="8451" max="8451" width="176.7109375" style="1" customWidth="1"/>
    <col min="8452" max="8452" width="11.42578125" style="1"/>
    <col min="8453" max="8453" width="176.7109375" style="1" customWidth="1"/>
    <col min="8454" max="8454" width="11.42578125" style="1"/>
    <col min="8455" max="8455" width="88.7109375" style="1" customWidth="1"/>
    <col min="8456" max="8705" width="11.42578125" style="1"/>
    <col min="8706" max="8706" width="2.7109375" style="1" customWidth="1"/>
    <col min="8707" max="8707" width="176.7109375" style="1" customWidth="1"/>
    <col min="8708" max="8708" width="11.42578125" style="1"/>
    <col min="8709" max="8709" width="176.7109375" style="1" customWidth="1"/>
    <col min="8710" max="8710" width="11.42578125" style="1"/>
    <col min="8711" max="8711" width="88.7109375" style="1" customWidth="1"/>
    <col min="8712" max="8961" width="11.42578125" style="1"/>
    <col min="8962" max="8962" width="2.7109375" style="1" customWidth="1"/>
    <col min="8963" max="8963" width="176.7109375" style="1" customWidth="1"/>
    <col min="8964" max="8964" width="11.42578125" style="1"/>
    <col min="8965" max="8965" width="176.7109375" style="1" customWidth="1"/>
    <col min="8966" max="8966" width="11.42578125" style="1"/>
    <col min="8967" max="8967" width="88.7109375" style="1" customWidth="1"/>
    <col min="8968" max="9217" width="11.42578125" style="1"/>
    <col min="9218" max="9218" width="2.7109375" style="1" customWidth="1"/>
    <col min="9219" max="9219" width="176.7109375" style="1" customWidth="1"/>
    <col min="9220" max="9220" width="11.42578125" style="1"/>
    <col min="9221" max="9221" width="176.7109375" style="1" customWidth="1"/>
    <col min="9222" max="9222" width="11.42578125" style="1"/>
    <col min="9223" max="9223" width="88.7109375" style="1" customWidth="1"/>
    <col min="9224" max="9473" width="11.42578125" style="1"/>
    <col min="9474" max="9474" width="2.7109375" style="1" customWidth="1"/>
    <col min="9475" max="9475" width="176.7109375" style="1" customWidth="1"/>
    <col min="9476" max="9476" width="11.42578125" style="1"/>
    <col min="9477" max="9477" width="176.7109375" style="1" customWidth="1"/>
    <col min="9478" max="9478" width="11.42578125" style="1"/>
    <col min="9479" max="9479" width="88.7109375" style="1" customWidth="1"/>
    <col min="9480" max="9729" width="11.42578125" style="1"/>
    <col min="9730" max="9730" width="2.7109375" style="1" customWidth="1"/>
    <col min="9731" max="9731" width="176.7109375" style="1" customWidth="1"/>
    <col min="9732" max="9732" width="11.42578125" style="1"/>
    <col min="9733" max="9733" width="176.7109375" style="1" customWidth="1"/>
    <col min="9734" max="9734" width="11.42578125" style="1"/>
    <col min="9735" max="9735" width="88.7109375" style="1" customWidth="1"/>
    <col min="9736" max="9985" width="11.42578125" style="1"/>
    <col min="9986" max="9986" width="2.7109375" style="1" customWidth="1"/>
    <col min="9987" max="9987" width="176.7109375" style="1" customWidth="1"/>
    <col min="9988" max="9988" width="11.42578125" style="1"/>
    <col min="9989" max="9989" width="176.7109375" style="1" customWidth="1"/>
    <col min="9990" max="9990" width="11.42578125" style="1"/>
    <col min="9991" max="9991" width="88.7109375" style="1" customWidth="1"/>
    <col min="9992" max="10241" width="11.42578125" style="1"/>
    <col min="10242" max="10242" width="2.7109375" style="1" customWidth="1"/>
    <col min="10243" max="10243" width="176.7109375" style="1" customWidth="1"/>
    <col min="10244" max="10244" width="11.42578125" style="1"/>
    <col min="10245" max="10245" width="176.7109375" style="1" customWidth="1"/>
    <col min="10246" max="10246" width="11.42578125" style="1"/>
    <col min="10247" max="10247" width="88.7109375" style="1" customWidth="1"/>
    <col min="10248" max="10497" width="11.42578125" style="1"/>
    <col min="10498" max="10498" width="2.7109375" style="1" customWidth="1"/>
    <col min="10499" max="10499" width="176.7109375" style="1" customWidth="1"/>
    <col min="10500" max="10500" width="11.42578125" style="1"/>
    <col min="10501" max="10501" width="176.7109375" style="1" customWidth="1"/>
    <col min="10502" max="10502" width="11.42578125" style="1"/>
    <col min="10503" max="10503" width="88.7109375" style="1" customWidth="1"/>
    <col min="10504" max="10753" width="11.42578125" style="1"/>
    <col min="10754" max="10754" width="2.7109375" style="1" customWidth="1"/>
    <col min="10755" max="10755" width="176.7109375" style="1" customWidth="1"/>
    <col min="10756" max="10756" width="11.42578125" style="1"/>
    <col min="10757" max="10757" width="176.7109375" style="1" customWidth="1"/>
    <col min="10758" max="10758" width="11.42578125" style="1"/>
    <col min="10759" max="10759" width="88.7109375" style="1" customWidth="1"/>
    <col min="10760" max="11009" width="11.42578125" style="1"/>
    <col min="11010" max="11010" width="2.7109375" style="1" customWidth="1"/>
    <col min="11011" max="11011" width="176.7109375" style="1" customWidth="1"/>
    <col min="11012" max="11012" width="11.42578125" style="1"/>
    <col min="11013" max="11013" width="176.7109375" style="1" customWidth="1"/>
    <col min="11014" max="11014" width="11.42578125" style="1"/>
    <col min="11015" max="11015" width="88.7109375" style="1" customWidth="1"/>
    <col min="11016" max="11265" width="11.42578125" style="1"/>
    <col min="11266" max="11266" width="2.7109375" style="1" customWidth="1"/>
    <col min="11267" max="11267" width="176.7109375" style="1" customWidth="1"/>
    <col min="11268" max="11268" width="11.42578125" style="1"/>
    <col min="11269" max="11269" width="176.7109375" style="1" customWidth="1"/>
    <col min="11270" max="11270" width="11.42578125" style="1"/>
    <col min="11271" max="11271" width="88.7109375" style="1" customWidth="1"/>
    <col min="11272" max="11521" width="11.42578125" style="1"/>
    <col min="11522" max="11522" width="2.7109375" style="1" customWidth="1"/>
    <col min="11523" max="11523" width="176.7109375" style="1" customWidth="1"/>
    <col min="11524" max="11524" width="11.42578125" style="1"/>
    <col min="11525" max="11525" width="176.7109375" style="1" customWidth="1"/>
    <col min="11526" max="11526" width="11.42578125" style="1"/>
    <col min="11527" max="11527" width="88.7109375" style="1" customWidth="1"/>
    <col min="11528" max="11777" width="11.42578125" style="1"/>
    <col min="11778" max="11778" width="2.7109375" style="1" customWidth="1"/>
    <col min="11779" max="11779" width="176.7109375" style="1" customWidth="1"/>
    <col min="11780" max="11780" width="11.42578125" style="1"/>
    <col min="11781" max="11781" width="176.7109375" style="1" customWidth="1"/>
    <col min="11782" max="11782" width="11.42578125" style="1"/>
    <col min="11783" max="11783" width="88.7109375" style="1" customWidth="1"/>
    <col min="11784" max="12033" width="11.42578125" style="1"/>
    <col min="12034" max="12034" width="2.7109375" style="1" customWidth="1"/>
    <col min="12035" max="12035" width="176.7109375" style="1" customWidth="1"/>
    <col min="12036" max="12036" width="11.42578125" style="1"/>
    <col min="12037" max="12037" width="176.7109375" style="1" customWidth="1"/>
    <col min="12038" max="12038" width="11.42578125" style="1"/>
    <col min="12039" max="12039" width="88.7109375" style="1" customWidth="1"/>
    <col min="12040" max="12289" width="11.42578125" style="1"/>
    <col min="12290" max="12290" width="2.7109375" style="1" customWidth="1"/>
    <col min="12291" max="12291" width="176.7109375" style="1" customWidth="1"/>
    <col min="12292" max="12292" width="11.42578125" style="1"/>
    <col min="12293" max="12293" width="176.7109375" style="1" customWidth="1"/>
    <col min="12294" max="12294" width="11.42578125" style="1"/>
    <col min="12295" max="12295" width="88.7109375" style="1" customWidth="1"/>
    <col min="12296" max="12545" width="11.42578125" style="1"/>
    <col min="12546" max="12546" width="2.7109375" style="1" customWidth="1"/>
    <col min="12547" max="12547" width="176.7109375" style="1" customWidth="1"/>
    <col min="12548" max="12548" width="11.42578125" style="1"/>
    <col min="12549" max="12549" width="176.7109375" style="1" customWidth="1"/>
    <col min="12550" max="12550" width="11.42578125" style="1"/>
    <col min="12551" max="12551" width="88.7109375" style="1" customWidth="1"/>
    <col min="12552" max="12801" width="11.42578125" style="1"/>
    <col min="12802" max="12802" width="2.7109375" style="1" customWidth="1"/>
    <col min="12803" max="12803" width="176.7109375" style="1" customWidth="1"/>
    <col min="12804" max="12804" width="11.42578125" style="1"/>
    <col min="12805" max="12805" width="176.7109375" style="1" customWidth="1"/>
    <col min="12806" max="12806" width="11.42578125" style="1"/>
    <col min="12807" max="12807" width="88.7109375" style="1" customWidth="1"/>
    <col min="12808" max="13057" width="11.42578125" style="1"/>
    <col min="13058" max="13058" width="2.7109375" style="1" customWidth="1"/>
    <col min="13059" max="13059" width="176.7109375" style="1" customWidth="1"/>
    <col min="13060" max="13060" width="11.42578125" style="1"/>
    <col min="13061" max="13061" width="176.7109375" style="1" customWidth="1"/>
    <col min="13062" max="13062" width="11.42578125" style="1"/>
    <col min="13063" max="13063" width="88.7109375" style="1" customWidth="1"/>
    <col min="13064" max="13313" width="11.42578125" style="1"/>
    <col min="13314" max="13314" width="2.7109375" style="1" customWidth="1"/>
    <col min="13315" max="13315" width="176.7109375" style="1" customWidth="1"/>
    <col min="13316" max="13316" width="11.42578125" style="1"/>
    <col min="13317" max="13317" width="176.7109375" style="1" customWidth="1"/>
    <col min="13318" max="13318" width="11.42578125" style="1"/>
    <col min="13319" max="13319" width="88.7109375" style="1" customWidth="1"/>
    <col min="13320" max="13569" width="11.42578125" style="1"/>
    <col min="13570" max="13570" width="2.7109375" style="1" customWidth="1"/>
    <col min="13571" max="13571" width="176.7109375" style="1" customWidth="1"/>
    <col min="13572" max="13572" width="11.42578125" style="1"/>
    <col min="13573" max="13573" width="176.7109375" style="1" customWidth="1"/>
    <col min="13574" max="13574" width="11.42578125" style="1"/>
    <col min="13575" max="13575" width="88.7109375" style="1" customWidth="1"/>
    <col min="13576" max="13825" width="11.42578125" style="1"/>
    <col min="13826" max="13826" width="2.7109375" style="1" customWidth="1"/>
    <col min="13827" max="13827" width="176.7109375" style="1" customWidth="1"/>
    <col min="13828" max="13828" width="11.42578125" style="1"/>
    <col min="13829" max="13829" width="176.7109375" style="1" customWidth="1"/>
    <col min="13830" max="13830" width="11.42578125" style="1"/>
    <col min="13831" max="13831" width="88.7109375" style="1" customWidth="1"/>
    <col min="13832" max="14081" width="11.42578125" style="1"/>
    <col min="14082" max="14082" width="2.7109375" style="1" customWidth="1"/>
    <col min="14083" max="14083" width="176.7109375" style="1" customWidth="1"/>
    <col min="14084" max="14084" width="11.42578125" style="1"/>
    <col min="14085" max="14085" width="176.7109375" style="1" customWidth="1"/>
    <col min="14086" max="14086" width="11.42578125" style="1"/>
    <col min="14087" max="14087" width="88.7109375" style="1" customWidth="1"/>
    <col min="14088" max="14337" width="11.42578125" style="1"/>
    <col min="14338" max="14338" width="2.7109375" style="1" customWidth="1"/>
    <col min="14339" max="14339" width="176.7109375" style="1" customWidth="1"/>
    <col min="14340" max="14340" width="11.42578125" style="1"/>
    <col min="14341" max="14341" width="176.7109375" style="1" customWidth="1"/>
    <col min="14342" max="14342" width="11.42578125" style="1"/>
    <col min="14343" max="14343" width="88.7109375" style="1" customWidth="1"/>
    <col min="14344" max="14593" width="11.42578125" style="1"/>
    <col min="14594" max="14594" width="2.7109375" style="1" customWidth="1"/>
    <col min="14595" max="14595" width="176.7109375" style="1" customWidth="1"/>
    <col min="14596" max="14596" width="11.42578125" style="1"/>
    <col min="14597" max="14597" width="176.7109375" style="1" customWidth="1"/>
    <col min="14598" max="14598" width="11.42578125" style="1"/>
    <col min="14599" max="14599" width="88.7109375" style="1" customWidth="1"/>
    <col min="14600" max="14849" width="11.42578125" style="1"/>
    <col min="14850" max="14850" width="2.7109375" style="1" customWidth="1"/>
    <col min="14851" max="14851" width="176.7109375" style="1" customWidth="1"/>
    <col min="14852" max="14852" width="11.42578125" style="1"/>
    <col min="14853" max="14853" width="176.7109375" style="1" customWidth="1"/>
    <col min="14854" max="14854" width="11.42578125" style="1"/>
    <col min="14855" max="14855" width="88.7109375" style="1" customWidth="1"/>
    <col min="14856" max="15105" width="11.42578125" style="1"/>
    <col min="15106" max="15106" width="2.7109375" style="1" customWidth="1"/>
    <col min="15107" max="15107" width="176.7109375" style="1" customWidth="1"/>
    <col min="15108" max="15108" width="11.42578125" style="1"/>
    <col min="15109" max="15109" width="176.7109375" style="1" customWidth="1"/>
    <col min="15110" max="15110" width="11.42578125" style="1"/>
    <col min="15111" max="15111" width="88.7109375" style="1" customWidth="1"/>
    <col min="15112" max="15361" width="11.42578125" style="1"/>
    <col min="15362" max="15362" width="2.7109375" style="1" customWidth="1"/>
    <col min="15363" max="15363" width="176.7109375" style="1" customWidth="1"/>
    <col min="15364" max="15364" width="11.42578125" style="1"/>
    <col min="15365" max="15365" width="176.7109375" style="1" customWidth="1"/>
    <col min="15366" max="15366" width="11.42578125" style="1"/>
    <col min="15367" max="15367" width="88.7109375" style="1" customWidth="1"/>
    <col min="15368" max="15617" width="11.42578125" style="1"/>
    <col min="15618" max="15618" width="2.7109375" style="1" customWidth="1"/>
    <col min="15619" max="15619" width="176.7109375" style="1" customWidth="1"/>
    <col min="15620" max="15620" width="11.42578125" style="1"/>
    <col min="15621" max="15621" width="176.7109375" style="1" customWidth="1"/>
    <col min="15622" max="15622" width="11.42578125" style="1"/>
    <col min="15623" max="15623" width="88.7109375" style="1" customWidth="1"/>
    <col min="15624" max="15873" width="11.42578125" style="1"/>
    <col min="15874" max="15874" width="2.7109375" style="1" customWidth="1"/>
    <col min="15875" max="15875" width="176.7109375" style="1" customWidth="1"/>
    <col min="15876" max="15876" width="11.42578125" style="1"/>
    <col min="15877" max="15877" width="176.7109375" style="1" customWidth="1"/>
    <col min="15878" max="15878" width="11.42578125" style="1"/>
    <col min="15879" max="15879" width="88.7109375" style="1" customWidth="1"/>
    <col min="15880" max="16129" width="11.42578125" style="1"/>
    <col min="16130" max="16130" width="2.7109375" style="1" customWidth="1"/>
    <col min="16131" max="16131" width="176.7109375" style="1" customWidth="1"/>
    <col min="16132" max="16132" width="11.42578125" style="1"/>
    <col min="16133" max="16133" width="176.7109375" style="1" customWidth="1"/>
    <col min="16134" max="16134" width="11.42578125" style="1"/>
    <col min="16135" max="16135" width="88.7109375" style="1" customWidth="1"/>
    <col min="16136" max="16384" width="11.42578125" style="1"/>
  </cols>
  <sheetData>
    <row r="2" spans="1:17" x14ac:dyDescent="0.2">
      <c r="C2" s="330"/>
      <c r="D2" s="330"/>
      <c r="E2" s="330"/>
    </row>
    <row r="3" spans="1:17" x14ac:dyDescent="0.2">
      <c r="A3" s="43" t="s">
        <v>51</v>
      </c>
    </row>
    <row r="4" spans="1:17" x14ac:dyDescent="0.2">
      <c r="C4" s="330"/>
      <c r="D4" s="330"/>
      <c r="E4" s="330"/>
      <c r="F4" s="330"/>
      <c r="G4" s="330"/>
      <c r="H4" s="330"/>
      <c r="I4" s="330"/>
      <c r="J4" s="330"/>
      <c r="K4" s="330"/>
    </row>
    <row r="6" spans="1:17" ht="15.75" x14ac:dyDescent="0.25">
      <c r="C6" s="337" t="s">
        <v>16</v>
      </c>
      <c r="D6" s="3"/>
      <c r="E6" s="337"/>
    </row>
    <row r="7" spans="1:17" ht="18.75" customHeight="1" x14ac:dyDescent="0.2">
      <c r="C7" s="3"/>
      <c r="D7" s="3"/>
      <c r="E7" s="50"/>
    </row>
    <row r="8" spans="1:17" ht="15.75" x14ac:dyDescent="0.25">
      <c r="B8" s="331">
        <v>1</v>
      </c>
      <c r="C8" s="332" t="s">
        <v>354</v>
      </c>
      <c r="E8" s="341"/>
    </row>
    <row r="9" spans="1:17" ht="31.5" x14ac:dyDescent="0.2">
      <c r="B9" s="331">
        <v>2</v>
      </c>
      <c r="C9" s="334" t="s">
        <v>280</v>
      </c>
      <c r="E9" s="8"/>
      <c r="Q9" s="3"/>
    </row>
    <row r="10" spans="1:17" ht="47.25" x14ac:dyDescent="0.2">
      <c r="B10" s="331">
        <v>3</v>
      </c>
      <c r="C10" s="332" t="s">
        <v>281</v>
      </c>
      <c r="E10" s="8"/>
    </row>
    <row r="11" spans="1:17" ht="47.25" x14ac:dyDescent="0.2">
      <c r="B11" s="331">
        <v>4</v>
      </c>
      <c r="C11" s="334" t="s">
        <v>282</v>
      </c>
      <c r="E11" s="8"/>
    </row>
    <row r="12" spans="1:17" ht="31.5" x14ac:dyDescent="0.2">
      <c r="B12" s="331">
        <v>5</v>
      </c>
      <c r="C12" s="332" t="s">
        <v>21</v>
      </c>
      <c r="E12" s="3"/>
    </row>
    <row r="13" spans="1:17" ht="15.75" x14ac:dyDescent="0.2">
      <c r="B13" s="331">
        <v>6</v>
      </c>
      <c r="C13" s="332" t="s">
        <v>355</v>
      </c>
      <c r="E13" s="3"/>
    </row>
    <row r="14" spans="1:17" ht="15.75" x14ac:dyDescent="0.2">
      <c r="B14" s="331">
        <v>7</v>
      </c>
      <c r="C14" s="332" t="s">
        <v>17</v>
      </c>
    </row>
    <row r="15" spans="1:17" ht="18.75" customHeight="1" x14ac:dyDescent="0.2">
      <c r="B15" s="331">
        <v>8</v>
      </c>
      <c r="C15" s="332" t="s">
        <v>18</v>
      </c>
    </row>
    <row r="16" spans="1:17" ht="18.75" customHeight="1" x14ac:dyDescent="0.2">
      <c r="B16" s="331">
        <v>9</v>
      </c>
      <c r="C16" s="332" t="s">
        <v>22</v>
      </c>
    </row>
    <row r="17" spans="2:9" ht="63" x14ac:dyDescent="0.25">
      <c r="B17" s="331">
        <v>10</v>
      </c>
      <c r="C17" s="332" t="s">
        <v>364</v>
      </c>
      <c r="E17" s="337"/>
    </row>
    <row r="18" spans="2:9" ht="15.75" x14ac:dyDescent="0.2">
      <c r="B18" s="331">
        <v>11</v>
      </c>
      <c r="C18" s="332" t="s">
        <v>19</v>
      </c>
      <c r="E18" s="8"/>
    </row>
    <row r="19" spans="2:9" ht="15.75" x14ac:dyDescent="0.2">
      <c r="B19" s="331">
        <v>12</v>
      </c>
      <c r="C19" s="332" t="s">
        <v>284</v>
      </c>
      <c r="E19" s="8"/>
    </row>
    <row r="20" spans="2:9" ht="15.75" x14ac:dyDescent="0.2">
      <c r="B20" s="331">
        <v>13</v>
      </c>
      <c r="C20" s="332" t="s">
        <v>20</v>
      </c>
      <c r="E20" s="3"/>
    </row>
    <row r="21" spans="2:9" ht="47.25" x14ac:dyDescent="0.2">
      <c r="B21" s="331">
        <v>14</v>
      </c>
      <c r="C21" s="332" t="s">
        <v>285</v>
      </c>
      <c r="E21" s="342"/>
    </row>
    <row r="22" spans="2:9" ht="31.5" x14ac:dyDescent="0.2">
      <c r="B22" s="331">
        <v>15</v>
      </c>
      <c r="C22" s="334" t="s">
        <v>343</v>
      </c>
      <c r="E22" s="3"/>
    </row>
    <row r="23" spans="2:9" ht="15.75" x14ac:dyDescent="0.25">
      <c r="B23" s="331">
        <v>16</v>
      </c>
      <c r="C23" s="336" t="s">
        <v>283</v>
      </c>
      <c r="D23" s="335"/>
      <c r="E23" s="330"/>
      <c r="F23" s="335"/>
      <c r="G23" s="2"/>
      <c r="H23" s="2"/>
      <c r="I23" s="2"/>
    </row>
    <row r="24" spans="2:9" ht="18.75" customHeight="1" x14ac:dyDescent="0.25">
      <c r="B24" s="333">
        <v>17</v>
      </c>
      <c r="C24" s="336" t="s">
        <v>286</v>
      </c>
    </row>
    <row r="25" spans="2:9" ht="18.75" customHeight="1" x14ac:dyDescent="0.25">
      <c r="B25" s="333"/>
      <c r="C25" s="339"/>
    </row>
    <row r="26" spans="2:9" ht="18.75" customHeight="1" x14ac:dyDescent="0.25">
      <c r="B26" s="333"/>
      <c r="C26" s="354"/>
    </row>
    <row r="27" spans="2:9" ht="18.75" customHeight="1" x14ac:dyDescent="0.2">
      <c r="C27" s="339"/>
    </row>
    <row r="28" spans="2:9" ht="18.75" customHeight="1" x14ac:dyDescent="0.2">
      <c r="C28" s="339"/>
    </row>
    <row r="29" spans="2:9" ht="18.75" customHeight="1" x14ac:dyDescent="0.2">
      <c r="C29" s="339"/>
    </row>
    <row r="31" spans="2:9" ht="18.75" customHeight="1" x14ac:dyDescent="0.2"/>
    <row r="32" spans="2:9" ht="18.75" customHeight="1" x14ac:dyDescent="0.2"/>
    <row r="33" spans="1:14" ht="18.75" customHeight="1" x14ac:dyDescent="0.2"/>
    <row r="34" spans="1:14" ht="18.75" customHeight="1" x14ac:dyDescent="0.2"/>
    <row r="35" spans="1:14" ht="18.75" customHeight="1" x14ac:dyDescent="0.2"/>
    <row r="36" spans="1:14" ht="18.75" customHeight="1" x14ac:dyDescent="0.2"/>
    <row r="37" spans="1:14" ht="18.75" customHeight="1" x14ac:dyDescent="0.2">
      <c r="D37" s="3"/>
      <c r="E37" s="3"/>
      <c r="F37" s="3"/>
      <c r="G37" s="3"/>
      <c r="H37" s="3"/>
      <c r="I37" s="3"/>
      <c r="J37" s="3"/>
      <c r="K37" s="3"/>
      <c r="L37" s="3"/>
      <c r="M37" s="3"/>
      <c r="N37" s="3"/>
    </row>
    <row r="38" spans="1:14" ht="18.75" customHeight="1" x14ac:dyDescent="0.2">
      <c r="D38" s="3"/>
      <c r="E38" s="3"/>
      <c r="F38" s="3"/>
      <c r="G38" s="3"/>
      <c r="H38" s="3"/>
      <c r="I38" s="3"/>
      <c r="J38" s="3"/>
      <c r="K38" s="3"/>
      <c r="L38" s="3"/>
      <c r="M38" s="3"/>
      <c r="N38" s="3"/>
    </row>
    <row r="39" spans="1:14" ht="18.75" customHeight="1" x14ac:dyDescent="0.2">
      <c r="A39" s="4"/>
      <c r="D39" s="3"/>
      <c r="E39" s="3"/>
      <c r="F39" s="3"/>
      <c r="G39" s="3"/>
      <c r="H39" s="3"/>
      <c r="I39" s="3"/>
      <c r="J39" s="3"/>
      <c r="K39" s="3"/>
      <c r="L39" s="3"/>
      <c r="M39" s="3"/>
      <c r="N39" s="3"/>
    </row>
    <row r="40" spans="1:14" ht="18.75" customHeight="1" x14ac:dyDescent="0.2">
      <c r="A40" s="4"/>
      <c r="B40" s="8"/>
      <c r="D40" s="3"/>
      <c r="E40" s="3"/>
      <c r="F40" s="3"/>
      <c r="G40" s="3"/>
      <c r="H40" s="3"/>
      <c r="I40" s="3"/>
      <c r="J40" s="3"/>
      <c r="K40" s="3"/>
      <c r="L40" s="3"/>
      <c r="M40" s="3"/>
      <c r="N40" s="3"/>
    </row>
    <row r="41" spans="1:14" ht="18.75" customHeight="1" x14ac:dyDescent="0.2">
      <c r="A41" s="4"/>
      <c r="B41" s="8"/>
      <c r="D41" s="3"/>
      <c r="E41" s="3"/>
      <c r="F41" s="3"/>
      <c r="G41" s="3"/>
      <c r="H41" s="3"/>
      <c r="I41" s="3"/>
      <c r="J41" s="3"/>
      <c r="K41" s="3"/>
      <c r="L41" s="3"/>
      <c r="M41" s="3"/>
      <c r="N41" s="3"/>
    </row>
    <row r="42" spans="1:14" ht="18.75" customHeight="1" x14ac:dyDescent="0.2">
      <c r="A42" s="4"/>
      <c r="B42" s="8"/>
      <c r="C42" s="4"/>
      <c r="D42" s="3"/>
      <c r="E42" s="3"/>
      <c r="F42" s="3"/>
      <c r="G42" s="3"/>
      <c r="H42" s="3"/>
      <c r="I42" s="3"/>
      <c r="J42" s="3"/>
      <c r="K42" s="3"/>
      <c r="L42" s="3"/>
      <c r="M42" s="3"/>
      <c r="N42" s="3"/>
    </row>
    <row r="43" spans="1:14" ht="18.75" customHeight="1" x14ac:dyDescent="0.2">
      <c r="A43" s="4"/>
      <c r="B43" s="340"/>
      <c r="D43" s="3"/>
      <c r="E43" s="3"/>
      <c r="F43" s="3"/>
      <c r="G43" s="3"/>
      <c r="H43" s="3"/>
      <c r="I43" s="3"/>
      <c r="J43" s="3"/>
      <c r="K43" s="3"/>
      <c r="L43" s="3"/>
      <c r="M43" s="3"/>
      <c r="N43" s="3"/>
    </row>
    <row r="44" spans="1:14" ht="18.75" customHeight="1" x14ac:dyDescent="0.2">
      <c r="B44" s="8"/>
      <c r="D44" s="3"/>
      <c r="E44" s="3"/>
      <c r="F44" s="3"/>
      <c r="G44" s="3"/>
      <c r="H44" s="3"/>
      <c r="I44" s="3"/>
      <c r="J44" s="3"/>
      <c r="K44" s="3"/>
      <c r="L44" s="3"/>
      <c r="M44" s="3"/>
      <c r="N44" s="3"/>
    </row>
    <row r="45" spans="1:14" ht="18.75" customHeight="1" x14ac:dyDescent="0.2">
      <c r="B45" s="8"/>
      <c r="D45" s="3"/>
      <c r="E45" s="3"/>
      <c r="F45" s="3"/>
      <c r="G45" s="3"/>
      <c r="H45" s="3"/>
      <c r="I45" s="3"/>
      <c r="J45" s="3"/>
      <c r="K45" s="3"/>
      <c r="L45" s="3"/>
      <c r="M45" s="3"/>
      <c r="N45" s="3"/>
    </row>
    <row r="46" spans="1:14" ht="18.75" customHeight="1" x14ac:dyDescent="0.2">
      <c r="D46" s="3"/>
      <c r="E46" s="3"/>
      <c r="F46" s="3"/>
      <c r="G46" s="3"/>
      <c r="H46" s="3"/>
      <c r="I46" s="3"/>
      <c r="J46" s="3"/>
      <c r="K46" s="3"/>
      <c r="L46" s="3"/>
      <c r="M46" s="3"/>
      <c r="N46" s="3"/>
    </row>
    <row r="47" spans="1:14" ht="18.75" customHeight="1" x14ac:dyDescent="0.2">
      <c r="D47" s="3"/>
      <c r="E47" s="3"/>
      <c r="F47" s="3"/>
      <c r="G47" s="3"/>
      <c r="H47" s="3"/>
      <c r="I47" s="3"/>
      <c r="J47" s="3"/>
      <c r="K47" s="3"/>
      <c r="L47" s="3"/>
      <c r="M47" s="3"/>
      <c r="N47" s="3"/>
    </row>
    <row r="48" spans="1:14" ht="18.75" customHeight="1" x14ac:dyDescent="0.2">
      <c r="D48" s="3"/>
      <c r="E48" s="3"/>
      <c r="F48" s="3"/>
      <c r="G48" s="3"/>
      <c r="H48" s="3"/>
      <c r="I48" s="3"/>
      <c r="J48" s="3"/>
      <c r="K48" s="3"/>
      <c r="L48" s="3"/>
      <c r="M48" s="3"/>
      <c r="N48" s="3"/>
    </row>
    <row r="49" spans="4:14" ht="18.75" customHeight="1" x14ac:dyDescent="0.2">
      <c r="D49" s="3"/>
      <c r="E49" s="3"/>
      <c r="F49" s="3"/>
      <c r="G49" s="3"/>
      <c r="H49" s="3"/>
      <c r="I49" s="3"/>
      <c r="J49" s="3"/>
      <c r="K49" s="3"/>
      <c r="L49" s="3"/>
      <c r="M49" s="3"/>
      <c r="N49" s="3"/>
    </row>
    <row r="50" spans="4:14" ht="18.75" customHeight="1" x14ac:dyDescent="0.2">
      <c r="D50" s="330"/>
      <c r="E50" s="330"/>
      <c r="F50" s="330"/>
      <c r="G50" s="330"/>
      <c r="H50" s="330"/>
      <c r="I50" s="330"/>
      <c r="J50" s="330"/>
      <c r="K50" s="330"/>
      <c r="L50" s="330"/>
      <c r="M50" s="330"/>
      <c r="N50" s="330"/>
    </row>
    <row r="51" spans="4:14" ht="18.75" customHeight="1" x14ac:dyDescent="0.2"/>
    <row r="52" spans="4:14" ht="18.75" customHeight="1" x14ac:dyDescent="0.2"/>
    <row r="53" spans="4:14" ht="18.75" customHeight="1" x14ac:dyDescent="0.2"/>
    <row r="54" spans="4:14" ht="18.75" customHeight="1" x14ac:dyDescent="0.2"/>
    <row r="55" spans="4:14" ht="18.75" customHeight="1" x14ac:dyDescent="0.2"/>
    <row r="56" spans="4:14" ht="18.75" customHeight="1" x14ac:dyDescent="0.2"/>
    <row r="57" spans="4:14" ht="18.75" customHeight="1" x14ac:dyDescent="0.2"/>
    <row r="58" spans="4:14" ht="18.75" customHeight="1" x14ac:dyDescent="0.2"/>
    <row r="59" spans="4:14" ht="18.75" customHeight="1" x14ac:dyDescent="0.2"/>
    <row r="60" spans="4:14" ht="18.75" customHeight="1" x14ac:dyDescent="0.2"/>
    <row r="61" spans="4:14" ht="18.75" customHeight="1" x14ac:dyDescent="0.2"/>
    <row r="62" spans="4:14" ht="18.75" customHeight="1" x14ac:dyDescent="0.2"/>
    <row r="63" spans="4:14" ht="18.75" customHeight="1" x14ac:dyDescent="0.2"/>
    <row r="64" spans="4:14" ht="18.75" customHeight="1" x14ac:dyDescent="0.2"/>
    <row r="65" ht="18.75" customHeight="1" x14ac:dyDescent="0.2"/>
  </sheetData>
  <sortState xmlns:xlrd2="http://schemas.microsoft.com/office/spreadsheetml/2017/richdata2" ref="B5:E41">
    <sortCondition ref="B5:B41"/>
  </sortState>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13"/>
  <sheetViews>
    <sheetView showGridLines="0" showZeros="0" zoomScale="90" zoomScaleNormal="90" workbookViewId="0">
      <pane xSplit="1" ySplit="7" topLeftCell="B11" activePane="bottomRight" state="frozen"/>
      <selection pane="topRight" activeCell="B1" sqref="B1"/>
      <selection pane="bottomLeft" activeCell="A8" sqref="A8"/>
      <selection pane="bottomRight" activeCell="B31" sqref="B31"/>
    </sheetView>
  </sheetViews>
  <sheetFormatPr baseColWidth="10" defaultColWidth="11.42578125" defaultRowHeight="12.75" x14ac:dyDescent="0.2"/>
  <cols>
    <col min="1" max="1" width="49" style="87" customWidth="1"/>
    <col min="2" max="3" width="15.7109375" style="87" customWidth="1"/>
    <col min="4" max="4" width="8.7109375" style="87" customWidth="1"/>
    <col min="5" max="5" width="9" style="87" bestFit="1" customWidth="1"/>
    <col min="6" max="6" width="4.7109375" style="87" customWidth="1"/>
    <col min="7" max="7" width="18.42578125" style="87" customWidth="1"/>
    <col min="8" max="8" width="17.85546875" style="87" customWidth="1"/>
    <col min="9" max="9" width="8.7109375" style="87" customWidth="1"/>
    <col min="10" max="10" width="9" style="87" bestFit="1" customWidth="1"/>
    <col min="11" max="11" width="13.42578125" style="87" hidden="1" customWidth="1"/>
    <col min="12" max="12" width="14.85546875" style="188" hidden="1" customWidth="1"/>
    <col min="13" max="13" width="13.85546875" style="188" hidden="1" customWidth="1"/>
    <col min="14" max="15" width="15.7109375" style="188" hidden="1" customWidth="1"/>
    <col min="16" max="16" width="11.42578125" style="87" hidden="1" customWidth="1"/>
    <col min="17" max="19" width="11.42578125" style="87" customWidth="1"/>
    <col min="20" max="16384" width="11.42578125" style="87"/>
  </cols>
  <sheetData>
    <row r="1" spans="1:16" ht="20.25" x14ac:dyDescent="0.3">
      <c r="A1" s="80" t="s">
        <v>77</v>
      </c>
      <c r="B1" s="73" t="s">
        <v>52</v>
      </c>
      <c r="C1" s="74"/>
      <c r="D1" s="74"/>
      <c r="E1" s="74"/>
      <c r="F1" s="74"/>
      <c r="G1" s="74"/>
      <c r="H1" s="74"/>
      <c r="I1" s="74"/>
      <c r="J1" s="74"/>
      <c r="K1" s="74"/>
    </row>
    <row r="2" spans="1:16" ht="20.25" x14ac:dyDescent="0.3">
      <c r="A2" s="80" t="s">
        <v>78</v>
      </c>
      <c r="B2" s="74"/>
      <c r="C2" s="74"/>
      <c r="D2" s="74"/>
      <c r="E2" s="74"/>
      <c r="F2" s="74"/>
      <c r="G2" s="74"/>
      <c r="H2" s="74"/>
      <c r="I2" s="74"/>
      <c r="J2" s="74"/>
      <c r="K2" s="74"/>
    </row>
    <row r="3" spans="1:16" ht="18.75" x14ac:dyDescent="0.3">
      <c r="A3" s="707" t="s">
        <v>79</v>
      </c>
      <c r="B3" s="707"/>
      <c r="C3" s="74"/>
      <c r="D3" s="74"/>
      <c r="E3" s="74"/>
      <c r="F3" s="74"/>
      <c r="G3" s="74"/>
      <c r="H3" s="74"/>
      <c r="I3" s="74"/>
      <c r="J3" s="74"/>
      <c r="K3" s="74"/>
    </row>
    <row r="4" spans="1:16" ht="18.75" x14ac:dyDescent="0.3">
      <c r="A4" s="82" t="s">
        <v>410</v>
      </c>
      <c r="B4" s="83"/>
      <c r="C4" s="84"/>
      <c r="D4" s="84"/>
      <c r="E4" s="85"/>
      <c r="F4" s="86"/>
      <c r="G4" s="83"/>
      <c r="H4" s="84"/>
      <c r="I4" s="84"/>
      <c r="J4" s="85"/>
      <c r="K4" s="112"/>
      <c r="L4" s="211"/>
      <c r="M4" s="212"/>
      <c r="N4" s="213"/>
      <c r="O4" s="212"/>
    </row>
    <row r="5" spans="1:16" ht="22.5" x14ac:dyDescent="0.3">
      <c r="A5" s="88"/>
      <c r="B5" s="708" t="s">
        <v>80</v>
      </c>
      <c r="C5" s="709"/>
      <c r="D5" s="709"/>
      <c r="E5" s="710"/>
      <c r="F5" s="90"/>
      <c r="G5" s="708" t="s">
        <v>398</v>
      </c>
      <c r="H5" s="709"/>
      <c r="I5" s="709"/>
      <c r="J5" s="710"/>
      <c r="K5" s="89"/>
      <c r="L5" s="711" t="s">
        <v>138</v>
      </c>
      <c r="M5" s="706"/>
      <c r="N5" s="705" t="s">
        <v>139</v>
      </c>
      <c r="O5" s="706"/>
    </row>
    <row r="6" spans="1:16" ht="18.75" x14ac:dyDescent="0.3">
      <c r="A6" s="91"/>
      <c r="B6" s="92"/>
      <c r="C6" s="93"/>
      <c r="D6" s="93" t="s">
        <v>81</v>
      </c>
      <c r="E6" s="94" t="s">
        <v>29</v>
      </c>
      <c r="F6" s="95"/>
      <c r="G6" s="92"/>
      <c r="H6" s="93"/>
      <c r="I6" s="93" t="s">
        <v>81</v>
      </c>
      <c r="J6" s="94" t="s">
        <v>29</v>
      </c>
      <c r="K6" s="100"/>
      <c r="L6" s="214"/>
      <c r="M6" s="215"/>
      <c r="N6" s="216"/>
      <c r="O6" s="215"/>
    </row>
    <row r="7" spans="1:16" ht="15.75" x14ac:dyDescent="0.25">
      <c r="A7" s="96" t="s">
        <v>82</v>
      </c>
      <c r="B7" s="97">
        <v>2019</v>
      </c>
      <c r="C7" s="97">
        <v>2020</v>
      </c>
      <c r="D7" s="98" t="s">
        <v>83</v>
      </c>
      <c r="E7" s="99" t="s">
        <v>30</v>
      </c>
      <c r="F7" s="95"/>
      <c r="G7" s="97">
        <v>2019</v>
      </c>
      <c r="H7" s="97">
        <v>2020</v>
      </c>
      <c r="I7" s="98" t="s">
        <v>83</v>
      </c>
      <c r="J7" s="99" t="s">
        <v>30</v>
      </c>
      <c r="K7" s="100"/>
      <c r="L7" s="217">
        <v>2015</v>
      </c>
      <c r="M7" s="218">
        <v>2016</v>
      </c>
      <c r="N7" s="219">
        <v>2015</v>
      </c>
      <c r="O7" s="218">
        <v>2016</v>
      </c>
      <c r="P7" s="87" t="s">
        <v>142</v>
      </c>
    </row>
    <row r="8" spans="1:16" ht="18.75" x14ac:dyDescent="0.3">
      <c r="B8" s="129"/>
      <c r="C8" s="103"/>
      <c r="D8" s="104"/>
      <c r="E8" s="409"/>
      <c r="F8" s="176"/>
      <c r="G8" s="129"/>
      <c r="H8" s="129"/>
      <c r="I8" s="103"/>
      <c r="J8" s="409"/>
      <c r="K8" s="139"/>
      <c r="L8" s="220" t="s">
        <v>0</v>
      </c>
      <c r="M8" s="221"/>
      <c r="N8" s="222"/>
      <c r="O8" s="221"/>
      <c r="P8" s="87" t="s">
        <v>150</v>
      </c>
    </row>
    <row r="9" spans="1:16" ht="18.75" x14ac:dyDescent="0.3">
      <c r="A9" s="101" t="s">
        <v>0</v>
      </c>
      <c r="B9" s="176"/>
      <c r="C9" s="176"/>
      <c r="D9" s="104"/>
      <c r="E9" s="409"/>
      <c r="F9" s="103"/>
      <c r="G9" s="176"/>
      <c r="H9" s="176"/>
      <c r="I9" s="104"/>
      <c r="J9" s="409"/>
      <c r="K9" s="207" t="s">
        <v>146</v>
      </c>
      <c r="L9" s="223" t="e">
        <f ca="1">INDIRECT("'" &amp;#REF! &amp; "'!" &amp; $P$7)</f>
        <v>#REF!</v>
      </c>
      <c r="M9" s="221" t="e">
        <f ca="1">INDIRECT("'" &amp;#REF! &amp; "'!" &amp; $P$8)</f>
        <v>#REF!</v>
      </c>
      <c r="N9" s="223" t="e">
        <f ca="1">INDIRECT("'" &amp;#REF! &amp; "'!" &amp; $P$9)</f>
        <v>#REF!</v>
      </c>
      <c r="O9" s="221" t="e">
        <f ca="1">INDIRECT("'" &amp;#REF! &amp; "'!" &amp; $P$10)</f>
        <v>#REF!</v>
      </c>
      <c r="P9" s="87" t="s">
        <v>154</v>
      </c>
    </row>
    <row r="10" spans="1:16" ht="18.75" x14ac:dyDescent="0.3">
      <c r="A10" s="193" t="s">
        <v>84</v>
      </c>
      <c r="B10" s="176">
        <f>'Danica Pensjonsforsikring'!B7+'Danica Pensjonsforsikring'!B22+'Danica Pensjonsforsikring'!B36+'Danica Pensjonsforsikring'!B47+'Danica Pensjonsforsikring'!B66+'Danica Pensjonsforsikring'!B134</f>
        <v>106551.42599999999</v>
      </c>
      <c r="C10" s="176">
        <f>'Danica Pensjonsforsikring'!C7+'Danica Pensjonsforsikring'!C22+'Danica Pensjonsforsikring'!C36+'Danica Pensjonsforsikring'!C47+'Danica Pensjonsforsikring'!C66+'Danica Pensjonsforsikring'!C134</f>
        <v>109603.56300000001</v>
      </c>
      <c r="D10" s="104">
        <f t="shared" ref="D10:D33" si="0">IF(B10=0, "    ---- ", IF(ABS(ROUND(100/B10*C10-100,1))&lt;999,ROUND(100/B10*C10-100,1),IF(ROUND(100/B10*C10-100,1)&gt;999,999,-999)))</f>
        <v>2.9</v>
      </c>
      <c r="E10" s="409">
        <f t="shared" ref="E10:E32" si="1">100/C$33*C10</f>
        <v>0.66876007395345138</v>
      </c>
      <c r="F10" s="103"/>
      <c r="G10" s="176">
        <f>'Danica Pensjonsforsikring'!B10+'Danica Pensjonsforsikring'!B29+'Danica Pensjonsforsikring'!B37+'Danica Pensjonsforsikring'!B87+'Danica Pensjonsforsikring'!B135</f>
        <v>1186547.58</v>
      </c>
      <c r="H10" s="176">
        <f>'Danica Pensjonsforsikring'!C10+'Danica Pensjonsforsikring'!C29+'Danica Pensjonsforsikring'!C37+'Danica Pensjonsforsikring'!C87+'Danica Pensjonsforsikring'!C135</f>
        <v>1183791.0419999999</v>
      </c>
      <c r="I10" s="104">
        <f t="shared" ref="I10:I33" si="2">IF(G10=0, "    ---- ", IF(ABS(ROUND(100/G10*H10-100,1))&lt;999,ROUND(100/G10*H10-100,1),IF(ROUND(100/G10*H10-100,1)&gt;999,999,-999)))</f>
        <v>-0.2</v>
      </c>
      <c r="J10" s="409">
        <f t="shared" ref="J10:J31" si="3">100/H$33*H10</f>
        <v>0.11291424847813648</v>
      </c>
      <c r="K10" s="208" t="s">
        <v>147</v>
      </c>
      <c r="L10" s="223">
        <f t="shared" ref="L10:L31" ca="1" si="4">INDIRECT("'" &amp; $A10 &amp; "'!" &amp; $P$7)</f>
        <v>0</v>
      </c>
      <c r="M10" s="221">
        <f t="shared" ref="M10:M31" ca="1" si="5">INDIRECT("'" &amp; $A10 &amp; "'!" &amp; $P$8)</f>
        <v>0</v>
      </c>
      <c r="N10" s="223">
        <f t="shared" ref="N10:N31" ca="1" si="6">INDIRECT("'" &amp; $A10 &amp; "'!" &amp; $P$9)</f>
        <v>0</v>
      </c>
      <c r="O10" s="221">
        <f t="shared" ref="O10:O31" ca="1" si="7">INDIRECT("'" &amp; $A10 &amp; "'!" &amp; $P$10)</f>
        <v>0</v>
      </c>
      <c r="P10" s="87" t="s">
        <v>159</v>
      </c>
    </row>
    <row r="11" spans="1:16" ht="18.75" x14ac:dyDescent="0.3">
      <c r="A11" s="193" t="s">
        <v>85</v>
      </c>
      <c r="B11" s="176">
        <f>'DNB Livsforsikring'!B7+'DNB Livsforsikring'!B22+'DNB Livsforsikring'!B36+'DNB Livsforsikring'!B47+'DNB Livsforsikring'!B66+'DNB Livsforsikring'!B134</f>
        <v>1720403.8</v>
      </c>
      <c r="C11" s="176">
        <f>'DNB Livsforsikring'!C7+'DNB Livsforsikring'!C22+'DNB Livsforsikring'!C36+'DNB Livsforsikring'!C47+'DNB Livsforsikring'!C66+'DNB Livsforsikring'!C134</f>
        <v>1392573.169</v>
      </c>
      <c r="D11" s="104">
        <f t="shared" si="0"/>
        <v>-19.100000000000001</v>
      </c>
      <c r="E11" s="409">
        <f t="shared" si="1"/>
        <v>8.4969622336641741</v>
      </c>
      <c r="F11" s="103"/>
      <c r="G11" s="176">
        <f>'DNB Livsforsikring'!B10+'DNB Livsforsikring'!B29+'DNB Livsforsikring'!B37+'DNB Livsforsikring'!B87+'DNB Livsforsikring'!B135</f>
        <v>200343540.27200001</v>
      </c>
      <c r="H11" s="176">
        <f>'DNB Livsforsikring'!C10+'DNB Livsforsikring'!C29+'DNB Livsforsikring'!C37+'DNB Livsforsikring'!C87+'DNB Livsforsikring'!C135</f>
        <v>197164195.84099999</v>
      </c>
      <c r="I11" s="104">
        <f t="shared" si="2"/>
        <v>-1.6</v>
      </c>
      <c r="J11" s="409">
        <f t="shared" si="3"/>
        <v>18.806230331469799</v>
      </c>
      <c r="K11" s="87" t="s">
        <v>140</v>
      </c>
      <c r="L11" s="223">
        <f t="shared" ca="1" si="4"/>
        <v>0</v>
      </c>
      <c r="M11" s="221">
        <f t="shared" ca="1" si="5"/>
        <v>0</v>
      </c>
      <c r="N11" s="223">
        <f t="shared" ca="1" si="6"/>
        <v>0</v>
      </c>
      <c r="O11" s="221">
        <f t="shared" ca="1" si="7"/>
        <v>0</v>
      </c>
    </row>
    <row r="12" spans="1:16" ht="18.75" x14ac:dyDescent="0.3">
      <c r="A12" s="193" t="s">
        <v>86</v>
      </c>
      <c r="B12" s="176">
        <f>'Eika Forsikring AS'!B7+'Eika Forsikring AS'!B22+'Eika Forsikring AS'!B36+'Eika Forsikring AS'!B47+'Eika Forsikring AS'!B66+'Eika Forsikring AS'!B134</f>
        <v>73468</v>
      </c>
      <c r="C12" s="176">
        <f>'Eika Forsikring AS'!C7+'Eika Forsikring AS'!C22+'Eika Forsikring AS'!C36+'Eika Forsikring AS'!C47+'Eika Forsikring AS'!C66+'Eika Forsikring AS'!C134</f>
        <v>79343</v>
      </c>
      <c r="D12" s="104">
        <f t="shared" si="0"/>
        <v>8</v>
      </c>
      <c r="E12" s="409">
        <f t="shared" si="1"/>
        <v>0.48412140167093548</v>
      </c>
      <c r="F12" s="103"/>
      <c r="G12" s="176">
        <f>'Eika Forsikring AS'!B10+'Eika Forsikring AS'!B29+'Eika Forsikring AS'!B37+'Eika Forsikring AS'!B87+'Eika Forsikring AS'!B135</f>
        <v>0</v>
      </c>
      <c r="H12" s="176">
        <f>'Eika Forsikring AS'!C10+'Eika Forsikring AS'!C29+'Eika Forsikring AS'!C37+'Eika Forsikring AS'!C87+'Eika Forsikring AS'!C135</f>
        <v>0</v>
      </c>
      <c r="I12" s="104" t="str">
        <f t="shared" si="2"/>
        <v xml:space="preserve">    ---- </v>
      </c>
      <c r="J12" s="409">
        <f t="shared" si="3"/>
        <v>0</v>
      </c>
      <c r="K12" s="87" t="s">
        <v>148</v>
      </c>
      <c r="L12" s="223">
        <f t="shared" ca="1" si="4"/>
        <v>0</v>
      </c>
      <c r="M12" s="221">
        <f t="shared" ca="1" si="5"/>
        <v>0</v>
      </c>
      <c r="N12" s="223">
        <f t="shared" ca="1" si="6"/>
        <v>0</v>
      </c>
      <c r="O12" s="221">
        <f t="shared" ca="1" si="7"/>
        <v>0</v>
      </c>
    </row>
    <row r="13" spans="1:16" ht="18.75" x14ac:dyDescent="0.3">
      <c r="A13" s="108" t="s">
        <v>405</v>
      </c>
      <c r="B13" s="176">
        <f>'Fremtind Livsforsikring'!B8+'Fremtind Livsforsikring'!B23+'Fremtind Livsforsikring'!B37+'Fremtind Livsforsikring'!B48+'Fremtind Livsforsikring'!B67+'Fremtind Livsforsikring'!B135</f>
        <v>0</v>
      </c>
      <c r="C13" s="176">
        <f>'Fremtind Livsforsikring'!C7+'Fremtind Livsforsikring'!C22+'Fremtind Livsforsikring'!C36+'Fremtind Livsforsikring'!C47+'Fremtind Livsforsikring'!C66+'Fremtind Livsforsikring'!C134</f>
        <v>825203.29516999994</v>
      </c>
      <c r="D13" s="104" t="str">
        <f>IF(B13=0, "    ---- ", IF(ABS(ROUND(100/B13*C13-100,1))&lt;999,ROUND(100/B13*C13-100,1),IF(ROUND(100/B13*C13-100,1)&gt;999,999,-999)))</f>
        <v xml:space="preserve">    ---- </v>
      </c>
      <c r="E13" s="409">
        <f t="shared" si="1"/>
        <v>5.0350828166463968</v>
      </c>
      <c r="F13" s="103"/>
      <c r="G13" s="176">
        <f>'Fremtind Livsforsikring'!B11+'Fremtind Livsforsikring'!B30+'Fremtind Livsforsikring'!B38+'Fremtind Livsforsikring'!B88+'Fremtind Livsforsikring'!B136</f>
        <v>0</v>
      </c>
      <c r="H13" s="176">
        <f>'Fremtind Livsforsikring'!C11+'Fremtind Livsforsikring'!C30+'Fremtind Livsforsikring'!C38+'Fremtind Livsforsikring'!C88+'Fremtind Livsforsikring'!C136</f>
        <v>0</v>
      </c>
      <c r="I13" s="104" t="str">
        <f t="shared" ref="I13" si="8">IF(G13=0, "    ---- ", IF(ABS(ROUND(100/G13*H13-100,1))&lt;999,ROUND(100/G13*H13-100,1),IF(ROUND(100/G13*H13-100,1)&gt;999,999,-999)))</f>
        <v xml:space="preserve">    ---- </v>
      </c>
      <c r="J13" s="409">
        <f t="shared" si="3"/>
        <v>0</v>
      </c>
      <c r="L13" s="223"/>
      <c r="M13" s="221"/>
      <c r="N13" s="223"/>
      <c r="O13" s="221"/>
    </row>
    <row r="14" spans="1:16" ht="18.75" x14ac:dyDescent="0.3">
      <c r="A14" s="193" t="s">
        <v>87</v>
      </c>
      <c r="B14" s="177">
        <f>'Frende Livsforsikring'!B7+'Frende Livsforsikring'!B22+'Frende Livsforsikring'!B36+'Frende Livsforsikring'!B47+'Frende Livsforsikring'!B66+'Frende Livsforsikring'!B134</f>
        <v>493427</v>
      </c>
      <c r="C14" s="177">
        <f>'Frende Livsforsikring'!C7+'Frende Livsforsikring'!C22+'Frende Livsforsikring'!C36+'Frende Livsforsikring'!C47+'Frende Livsforsikring'!C66+'Frende Livsforsikring'!C134</f>
        <v>508634</v>
      </c>
      <c r="D14" s="104">
        <f t="shared" si="0"/>
        <v>3.1</v>
      </c>
      <c r="E14" s="409">
        <f t="shared" si="1"/>
        <v>3.1034950155337535</v>
      </c>
      <c r="F14" s="103"/>
      <c r="G14" s="176">
        <f>'Frende Livsforsikring'!B10+'Frende Livsforsikring'!B29+'Frende Livsforsikring'!B37+'Frende Livsforsikring'!B87+'Frende Livsforsikring'!B135</f>
        <v>1154102.79</v>
      </c>
      <c r="H14" s="176">
        <f>'Frende Livsforsikring'!C10+'Frende Livsforsikring'!C29+'Frende Livsforsikring'!C37+'Frende Livsforsikring'!C87+'Frende Livsforsikring'!C135</f>
        <v>1243833</v>
      </c>
      <c r="I14" s="104">
        <f t="shared" si="2"/>
        <v>7.8</v>
      </c>
      <c r="J14" s="409">
        <f t="shared" si="3"/>
        <v>0.11864126644346236</v>
      </c>
      <c r="K14" s="87" t="s">
        <v>141</v>
      </c>
      <c r="L14" s="223">
        <f t="shared" ca="1" si="4"/>
        <v>0</v>
      </c>
      <c r="M14" s="221">
        <f t="shared" ca="1" si="5"/>
        <v>0</v>
      </c>
      <c r="N14" s="223">
        <f t="shared" ca="1" si="6"/>
        <v>0</v>
      </c>
      <c r="O14" s="221">
        <f t="shared" ca="1" si="7"/>
        <v>0</v>
      </c>
    </row>
    <row r="15" spans="1:16" ht="18.75" x14ac:dyDescent="0.3">
      <c r="A15" s="193" t="s">
        <v>88</v>
      </c>
      <c r="B15" s="176">
        <f>'Frende Skadeforsikring'!B7+'Frende Skadeforsikring'!B22+'Frende Skadeforsikring'!B36+'Frende Skadeforsikring'!B47+'Frende Skadeforsikring'!B66+'Frende Skadeforsikring'!B134</f>
        <v>1699</v>
      </c>
      <c r="C15" s="176">
        <f>'Frende Skadeforsikring'!C7+'Frende Skadeforsikring'!C22+'Frende Skadeforsikring'!C36+'Frende Skadeforsikring'!C47+'Frende Skadeforsikring'!C66+'Frende Skadeforsikring'!C134</f>
        <v>838</v>
      </c>
      <c r="D15" s="104">
        <f t="shared" si="0"/>
        <v>-50.7</v>
      </c>
      <c r="E15" s="409">
        <f t="shared" si="1"/>
        <v>5.1131635380593623E-3</v>
      </c>
      <c r="F15" s="103"/>
      <c r="G15" s="176">
        <f>'Frende Skadeforsikring'!B10+'Frende Skadeforsikring'!B29+'Frende Skadeforsikring'!B37+'Frende Skadeforsikring'!B87+'Frende Skadeforsikring'!B135</f>
        <v>0</v>
      </c>
      <c r="H15" s="176">
        <f>'Frende Skadeforsikring'!C10+'Frende Skadeforsikring'!C29+'Frende Skadeforsikring'!C37+'Frende Skadeforsikring'!C87+'Frende Skadeforsikring'!C135</f>
        <v>0</v>
      </c>
      <c r="I15" s="104"/>
      <c r="J15" s="409">
        <f t="shared" si="3"/>
        <v>0</v>
      </c>
      <c r="K15" s="87" t="s">
        <v>149</v>
      </c>
      <c r="L15" s="223">
        <f t="shared" ca="1" si="4"/>
        <v>0</v>
      </c>
      <c r="M15" s="221">
        <f t="shared" ca="1" si="5"/>
        <v>0</v>
      </c>
      <c r="N15" s="223">
        <f t="shared" ca="1" si="6"/>
        <v>0</v>
      </c>
      <c r="O15" s="221">
        <f t="shared" ca="1" si="7"/>
        <v>0</v>
      </c>
    </row>
    <row r="16" spans="1:16" ht="18.75" x14ac:dyDescent="0.3">
      <c r="A16" s="193" t="s">
        <v>89</v>
      </c>
      <c r="B16" s="176">
        <f>'Gjensidige Forsikring'!B7+'Gjensidige Forsikring'!B22+'Gjensidige Forsikring'!B36+'Gjensidige Forsikring'!B47+'Gjensidige Forsikring'!B66+'Gjensidige Forsikring'!B134</f>
        <v>1031602</v>
      </c>
      <c r="C16" s="176">
        <f>'Gjensidige Forsikring'!C7+'Gjensidige Forsikring'!C22+'Gjensidige Forsikring'!C36+'Gjensidige Forsikring'!C47+'Gjensidige Forsikring'!C66+'Gjensidige Forsikring'!C134</f>
        <v>1082036</v>
      </c>
      <c r="D16" s="104">
        <f t="shared" si="0"/>
        <v>4.9000000000000004</v>
      </c>
      <c r="E16" s="409">
        <f t="shared" si="1"/>
        <v>6.602180217264439</v>
      </c>
      <c r="F16" s="103"/>
      <c r="G16" s="176">
        <f>'Gjensidige Forsikring'!B10+'Gjensidige Forsikring'!B29+'Gjensidige Forsikring'!B37+'Gjensidige Forsikring'!B87+'Gjensidige Forsikring'!B135</f>
        <v>0</v>
      </c>
      <c r="H16" s="176">
        <f>'Gjensidige Forsikring'!C10+'Gjensidige Forsikring'!C29+'Gjensidige Forsikring'!C37+'Gjensidige Forsikring'!C87+'Gjensidige Forsikring'!C135</f>
        <v>0</v>
      </c>
      <c r="I16" s="104"/>
      <c r="J16" s="409">
        <f t="shared" si="3"/>
        <v>0</v>
      </c>
      <c r="K16" s="87" t="s">
        <v>142</v>
      </c>
      <c r="L16" s="223">
        <f t="shared" ca="1" si="4"/>
        <v>0</v>
      </c>
      <c r="M16" s="221">
        <f t="shared" ca="1" si="5"/>
        <v>0</v>
      </c>
      <c r="N16" s="223">
        <f t="shared" ca="1" si="6"/>
        <v>0</v>
      </c>
      <c r="O16" s="221">
        <f t="shared" ca="1" si="7"/>
        <v>0</v>
      </c>
    </row>
    <row r="17" spans="1:21" ht="18.75" x14ac:dyDescent="0.3">
      <c r="A17" s="193" t="s">
        <v>90</v>
      </c>
      <c r="B17" s="176">
        <f>'Gjensidige Pensjon'!B7+'Gjensidige Pensjon'!B22+'Gjensidige Pensjon'!B36+'Gjensidige Pensjon'!B47+'Gjensidige Pensjon'!B66+'Gjensidige Pensjon'!B134</f>
        <v>201661</v>
      </c>
      <c r="C17" s="176">
        <f>'Gjensidige Pensjon'!C7+'Gjensidige Pensjon'!C22+'Gjensidige Pensjon'!C36+'Gjensidige Pensjon'!C47+'Gjensidige Pensjon'!C66+'Gjensidige Pensjon'!C134</f>
        <v>209361</v>
      </c>
      <c r="D17" s="104">
        <f t="shared" si="0"/>
        <v>3.8</v>
      </c>
      <c r="E17" s="409">
        <f t="shared" si="1"/>
        <v>1.277442758343253</v>
      </c>
      <c r="F17" s="103"/>
      <c r="G17" s="176">
        <f>'Gjensidige Pensjon'!B10+'Gjensidige Pensjon'!B29+'Gjensidige Pensjon'!B37+'Gjensidige Pensjon'!B87+'Gjensidige Pensjon'!B135</f>
        <v>6798454</v>
      </c>
      <c r="H17" s="176">
        <f>'Gjensidige Pensjon'!C10+'Gjensidige Pensjon'!C29+'Gjensidige Pensjon'!C37+'Gjensidige Pensjon'!C87+'Gjensidige Pensjon'!C135</f>
        <v>7256412</v>
      </c>
      <c r="I17" s="104">
        <f t="shared" si="2"/>
        <v>6.7</v>
      </c>
      <c r="J17" s="409">
        <f t="shared" si="3"/>
        <v>0.69214268275205559</v>
      </c>
      <c r="K17" s="87" t="s">
        <v>150</v>
      </c>
      <c r="L17" s="223">
        <f t="shared" ca="1" si="4"/>
        <v>0</v>
      </c>
      <c r="M17" s="221">
        <f t="shared" ca="1" si="5"/>
        <v>0</v>
      </c>
      <c r="N17" s="223">
        <f t="shared" ca="1" si="6"/>
        <v>0</v>
      </c>
      <c r="O17" s="221">
        <f t="shared" ca="1" si="7"/>
        <v>0</v>
      </c>
    </row>
    <row r="18" spans="1:21" ht="18.75" x14ac:dyDescent="0.3">
      <c r="A18" s="193" t="s">
        <v>91</v>
      </c>
      <c r="B18" s="176">
        <f>'Handelsbanken Liv'!B7+'Handelsbanken Liv'!B22+'Handelsbanken Liv'!B36+'Handelsbanken Liv'!B47+'Handelsbanken Liv'!B66+'Handelsbanken Liv'!B134</f>
        <v>9227.8753499999984</v>
      </c>
      <c r="C18" s="176">
        <f>'Handelsbanken Liv'!C7+'Handelsbanken Liv'!C22+'Handelsbanken Liv'!C36+'Handelsbanken Liv'!C47+'Handelsbanken Liv'!C66+'Handelsbanken Liv'!C134</f>
        <v>8969.8688000000002</v>
      </c>
      <c r="D18" s="104">
        <f t="shared" si="0"/>
        <v>-2.8</v>
      </c>
      <c r="E18" s="409">
        <f t="shared" si="1"/>
        <v>5.4730794856009887E-2</v>
      </c>
      <c r="F18" s="103"/>
      <c r="G18" s="176">
        <f>'Handelsbanken Liv'!B10+'Handelsbanken Liv'!B29+'Handelsbanken Liv'!B37+'Handelsbanken Liv'!B87+'Handelsbanken Liv'!B135</f>
        <v>24156.061791620199</v>
      </c>
      <c r="H18" s="176">
        <f>'Handelsbanken Liv'!C10+'Handelsbanken Liv'!C29+'Handelsbanken Liv'!C37+'Handelsbanken Liv'!C87+'Handelsbanken Liv'!C135</f>
        <v>27018.357819261299</v>
      </c>
      <c r="I18" s="104">
        <f t="shared" si="2"/>
        <v>11.8</v>
      </c>
      <c r="J18" s="409">
        <f t="shared" si="3"/>
        <v>2.5771081719971928E-3</v>
      </c>
      <c r="K18" s="139"/>
      <c r="L18" s="223">
        <f t="shared" ca="1" si="4"/>
        <v>0</v>
      </c>
      <c r="M18" s="221">
        <f t="shared" ca="1" si="5"/>
        <v>0</v>
      </c>
      <c r="N18" s="223">
        <f t="shared" ca="1" si="6"/>
        <v>0</v>
      </c>
      <c r="O18" s="221">
        <f t="shared" ca="1" si="7"/>
        <v>0</v>
      </c>
    </row>
    <row r="19" spans="1:21" ht="18.75" x14ac:dyDescent="0.3">
      <c r="A19" s="193" t="s">
        <v>92</v>
      </c>
      <c r="B19" s="176">
        <f>'If Skadeforsikring NUF'!B7+'If Skadeforsikring NUF'!B22+'If Skadeforsikring NUF'!B36+'If Skadeforsikring NUF'!B47+'If Skadeforsikring NUF'!B66+'If Skadeforsikring NUF'!B134</f>
        <v>152402.34600000002</v>
      </c>
      <c r="C19" s="176">
        <f>'If Skadeforsikring NUF'!C7+'If Skadeforsikring NUF'!C22+'If Skadeforsikring NUF'!C36+'If Skadeforsikring NUF'!C47+'If Skadeforsikring NUF'!C66+'If Skadeforsikring NUF'!C134</f>
        <v>161371.50700000001</v>
      </c>
      <c r="D19" s="104">
        <f t="shared" si="0"/>
        <v>5.9</v>
      </c>
      <c r="E19" s="409">
        <f t="shared" si="1"/>
        <v>0.98462876572087243</v>
      </c>
      <c r="F19" s="103"/>
      <c r="G19" s="176">
        <f>'If Skadeforsikring NUF'!B10+'If Skadeforsikring NUF'!B29+'If Skadeforsikring NUF'!B37+'If Skadeforsikring NUF'!B87+'If Skadeforsikring NUF'!B135</f>
        <v>0</v>
      </c>
      <c r="H19" s="176">
        <f>'If Skadeforsikring NUF'!C10+'If Skadeforsikring NUF'!C29+'If Skadeforsikring NUF'!C37+'If Skadeforsikring NUF'!C87+'If Skadeforsikring NUF'!C135</f>
        <v>0</v>
      </c>
      <c r="I19" s="104"/>
      <c r="J19" s="409">
        <f t="shared" si="3"/>
        <v>0</v>
      </c>
      <c r="K19" s="139"/>
      <c r="L19" s="223">
        <f t="shared" ca="1" si="4"/>
        <v>0</v>
      </c>
      <c r="M19" s="221">
        <f t="shared" ca="1" si="5"/>
        <v>0</v>
      </c>
      <c r="N19" s="223">
        <f t="shared" ca="1" si="6"/>
        <v>0</v>
      </c>
      <c r="O19" s="221">
        <f t="shared" ca="1" si="7"/>
        <v>0</v>
      </c>
    </row>
    <row r="20" spans="1:21" ht="18.75" x14ac:dyDescent="0.3">
      <c r="A20" s="193" t="s">
        <v>409</v>
      </c>
      <c r="B20" s="176">
        <f>Inrs!B7+Inrs!B22+Inrs!B36+Inrs!B47+Inrs!B66+Inrs!B134</f>
        <v>4425.9740000000002</v>
      </c>
      <c r="C20" s="176">
        <f>Inrs!C7+Inrs!C22+Inrs!C36+Inrs!C47+Inrs!C66+Inrs!C134</f>
        <v>3495.9480000000003</v>
      </c>
      <c r="D20" s="104">
        <f>IF(B20=0, "    ---- ", IF(ABS(ROUND(100/B20*C20-100,1))&lt;999,ROUND(100/B20*C20-100,1),IF(ROUND(100/B20*C20-100,1)&gt;999,999,-999)))</f>
        <v>-21</v>
      </c>
      <c r="E20" s="409">
        <f t="shared" si="1"/>
        <v>2.1330971174882519E-2</v>
      </c>
      <c r="F20" s="103"/>
      <c r="G20" s="176">
        <f>Inrs!B10+Inrs!B29+Inrs!B37+Inrs!B87+Inrs!B135</f>
        <v>2618.067</v>
      </c>
      <c r="H20" s="176">
        <f>Inrs!C10+Inrs!C29+Inrs!C37+Inrs!C87+Inrs!C135</f>
        <v>0</v>
      </c>
      <c r="I20" s="104">
        <f>IF(G20=0, "    ---- ", IF(ABS(ROUND(100/G20*H20-100,1))&lt;999,ROUND(100/G20*H20-100,1),IF(ROUND(100/G20*H20-100,1)&gt;999,999,-999)))</f>
        <v>-100</v>
      </c>
      <c r="J20" s="409">
        <f t="shared" si="3"/>
        <v>0</v>
      </c>
      <c r="K20" s="139"/>
      <c r="L20" s="223" t="e">
        <f ca="1">INDIRECT("'" &amp; $A20 &amp; "'!" &amp; $P$7)</f>
        <v>#REF!</v>
      </c>
      <c r="M20" s="221" t="e">
        <f ca="1">INDIRECT("'" &amp; $A20 &amp; "'!" &amp; $P$8)</f>
        <v>#REF!</v>
      </c>
      <c r="N20" s="223" t="e">
        <f ca="1">INDIRECT("'" &amp; $A20 &amp; "'!" &amp; $P$9)</f>
        <v>#REF!</v>
      </c>
      <c r="O20" s="221" t="e">
        <f ca="1">INDIRECT("'" &amp; $A20 &amp; "'!" &amp; $P$10)</f>
        <v>#REF!</v>
      </c>
    </row>
    <row r="21" spans="1:21" ht="18.75" x14ac:dyDescent="0.3">
      <c r="A21" s="193" t="s">
        <v>63</v>
      </c>
      <c r="B21" s="176">
        <f>KLP!B7+KLP!B22+KLP!B36+KLP!B47+KLP!B66+KLP!B134</f>
        <v>6685288.0742199998</v>
      </c>
      <c r="C21" s="176">
        <f>KLP!C7+KLP!C22+KLP!C36+KLP!C47+KLP!C66+KLP!C134</f>
        <v>7072533.2508100001</v>
      </c>
      <c r="D21" s="104">
        <f t="shared" si="0"/>
        <v>5.8</v>
      </c>
      <c r="E21" s="409">
        <f t="shared" si="1"/>
        <v>43.153960787296107</v>
      </c>
      <c r="F21" s="103"/>
      <c r="G21" s="176">
        <f>KLP!B10+KLP!B29+KLP!B37+KLP!B87+KLP!B135</f>
        <v>477264053.30385</v>
      </c>
      <c r="H21" s="176">
        <f>KLP!C10+KLP!C29+KLP!C37+KLP!C87+KLP!C135</f>
        <v>508505466.93022001</v>
      </c>
      <c r="I21" s="104">
        <f t="shared" si="2"/>
        <v>6.5</v>
      </c>
      <c r="J21" s="409">
        <f t="shared" si="3"/>
        <v>48.503080871809537</v>
      </c>
      <c r="K21" s="139"/>
      <c r="L21" s="223">
        <f t="shared" ca="1" si="4"/>
        <v>0</v>
      </c>
      <c r="M21" s="221">
        <f t="shared" ca="1" si="5"/>
        <v>0</v>
      </c>
      <c r="N21" s="223">
        <f t="shared" ca="1" si="6"/>
        <v>0</v>
      </c>
      <c r="O21" s="221">
        <f t="shared" ca="1" si="7"/>
        <v>0</v>
      </c>
    </row>
    <row r="22" spans="1:21" ht="18.75" x14ac:dyDescent="0.3">
      <c r="A22" s="108" t="s">
        <v>93</v>
      </c>
      <c r="B22" s="176">
        <f>'KLP Bedriftspensjon AS'!B7+'KLP Bedriftspensjon AS'!B22+'KLP Bedriftspensjon AS'!B36+'KLP Bedriftspensjon AS'!B47+'KLP Bedriftspensjon AS'!B66+'KLP Bedriftspensjon AS'!B134</f>
        <v>23364</v>
      </c>
      <c r="C22" s="176">
        <f>'KLP Bedriftspensjon AS'!C7+'KLP Bedriftspensjon AS'!C22+'KLP Bedriftspensjon AS'!C36+'KLP Bedriftspensjon AS'!C47+'KLP Bedriftspensjon AS'!C66+'KLP Bedriftspensjon AS'!C134</f>
        <v>24444</v>
      </c>
      <c r="D22" s="104">
        <f t="shared" si="0"/>
        <v>4.5999999999999996</v>
      </c>
      <c r="E22" s="409">
        <f t="shared" si="1"/>
        <v>0.14914817365671007</v>
      </c>
      <c r="F22" s="103"/>
      <c r="G22" s="176">
        <f>'KLP Bedriftspensjon AS'!B10+'KLP Bedriftspensjon AS'!B29+'KLP Bedriftspensjon AS'!B37+'KLP Bedriftspensjon AS'!B87+'KLP Bedriftspensjon AS'!B135</f>
        <v>1573553</v>
      </c>
      <c r="H22" s="176">
        <f>'KLP Bedriftspensjon AS'!C10+'KLP Bedriftspensjon AS'!C29+'KLP Bedriftspensjon AS'!C37+'KLP Bedriftspensjon AS'!C87+'KLP Bedriftspensjon AS'!C135</f>
        <v>1780872</v>
      </c>
      <c r="I22" s="104">
        <f t="shared" si="2"/>
        <v>13.2</v>
      </c>
      <c r="J22" s="409">
        <f t="shared" si="3"/>
        <v>0.16986597835376752</v>
      </c>
      <c r="K22" s="139"/>
      <c r="L22" s="223">
        <f t="shared" ca="1" si="4"/>
        <v>0</v>
      </c>
      <c r="M22" s="221">
        <f t="shared" ca="1" si="5"/>
        <v>0</v>
      </c>
      <c r="N22" s="223">
        <f t="shared" ca="1" si="6"/>
        <v>0</v>
      </c>
      <c r="O22" s="221">
        <f t="shared" ca="1" si="7"/>
        <v>0</v>
      </c>
    </row>
    <row r="23" spans="1:21" ht="18.75" x14ac:dyDescent="0.3">
      <c r="A23" s="108" t="s">
        <v>94</v>
      </c>
      <c r="B23" s="176">
        <f>'KLP Skadeforsikring AS'!B7+'KLP Skadeforsikring AS'!B22+'KLP Skadeforsikring AS'!B36+'KLP Skadeforsikring AS'!B47+'KLP Skadeforsikring AS'!B66+'KLP Skadeforsikring AS'!B134</f>
        <v>136835</v>
      </c>
      <c r="C23" s="176">
        <f>'KLP Skadeforsikring AS'!C7+'KLP Skadeforsikring AS'!C22+'KLP Skadeforsikring AS'!C36+'KLP Skadeforsikring AS'!C47+'KLP Skadeforsikring AS'!C66+'KLP Skadeforsikring AS'!C134</f>
        <v>156137.83600000001</v>
      </c>
      <c r="D23" s="104">
        <f t="shared" si="0"/>
        <v>14.1</v>
      </c>
      <c r="E23" s="409">
        <f t="shared" si="1"/>
        <v>0.95269485673829646</v>
      </c>
      <c r="F23" s="103"/>
      <c r="G23" s="176">
        <f>'KLP Skadeforsikring AS'!B10+'KLP Skadeforsikring AS'!B29+'KLP Skadeforsikring AS'!B37+'KLP Skadeforsikring AS'!B87+'KLP Skadeforsikring AS'!B135</f>
        <v>23088</v>
      </c>
      <c r="H23" s="176">
        <f>'KLP Skadeforsikring AS'!C10+'KLP Skadeforsikring AS'!C29+'KLP Skadeforsikring AS'!C37+'KLP Skadeforsikring AS'!C87+'KLP Skadeforsikring AS'!C135</f>
        <v>39904.18694</v>
      </c>
      <c r="I23" s="104">
        <f t="shared" si="2"/>
        <v>72.8</v>
      </c>
      <c r="J23" s="409">
        <f t="shared" si="3"/>
        <v>3.8062049125230407E-3</v>
      </c>
      <c r="K23" s="139"/>
      <c r="L23" s="223">
        <f t="shared" ca="1" si="4"/>
        <v>0</v>
      </c>
      <c r="M23" s="221">
        <f t="shared" ca="1" si="5"/>
        <v>0</v>
      </c>
      <c r="N23" s="223">
        <f t="shared" ca="1" si="6"/>
        <v>0</v>
      </c>
      <c r="O23" s="221">
        <f t="shared" ca="1" si="7"/>
        <v>0</v>
      </c>
    </row>
    <row r="24" spans="1:21" ht="18.75" x14ac:dyDescent="0.3">
      <c r="A24" s="108" t="s">
        <v>428</v>
      </c>
      <c r="B24" s="176">
        <f>'Landkreditt Forsikring'!B7+'Landkreditt Forsikring'!B22+'Landkreditt Forsikring'!B36+'Landkreditt Forsikring'!B47+'Landkreditt Forsikring'!B66+'Landkreditt Forsikring'!B134</f>
        <v>22249</v>
      </c>
      <c r="C24" s="176">
        <f>'Landkreditt Forsikring'!C7+'Landkreditt Forsikring'!C22+'Landkreditt Forsikring'!C36+'Landkreditt Forsikring'!C47+'Landkreditt Forsikring'!C66+'Landkreditt Forsikring'!C134</f>
        <v>30906</v>
      </c>
      <c r="D24" s="104">
        <f t="shared" si="0"/>
        <v>38.9</v>
      </c>
      <c r="E24" s="409">
        <f t="shared" si="1"/>
        <v>0.18857688819482415</v>
      </c>
      <c r="F24" s="103"/>
      <c r="G24" s="176">
        <f>'Landkreditt Forsikring'!B10+'Landkreditt Forsikring'!B29+'Landkreditt Forsikring'!B37+'Landkreditt Forsikring'!B87+'Landkreditt Forsikring'!B135</f>
        <v>0</v>
      </c>
      <c r="H24" s="176">
        <f>'Landkreditt Forsikring'!C10+'Landkreditt Forsikring'!C29+'Landkreditt Forsikring'!C37+'Landkreditt Forsikring'!C87+'Landkreditt Forsikring'!C135</f>
        <v>0</v>
      </c>
      <c r="I24" s="104"/>
      <c r="J24" s="409">
        <f t="shared" si="3"/>
        <v>0</v>
      </c>
      <c r="K24" s="139"/>
      <c r="L24" s="223">
        <f t="shared" ca="1" si="4"/>
        <v>0</v>
      </c>
      <c r="M24" s="221">
        <f t="shared" ca="1" si="5"/>
        <v>0</v>
      </c>
      <c r="N24" s="223">
        <f t="shared" ca="1" si="6"/>
        <v>0</v>
      </c>
      <c r="O24" s="221">
        <f t="shared" ca="1" si="7"/>
        <v>0</v>
      </c>
    </row>
    <row r="25" spans="1:21" ht="18.75" x14ac:dyDescent="0.3">
      <c r="A25" s="108" t="s">
        <v>95</v>
      </c>
      <c r="B25" s="176">
        <f>'Nordea Liv '!B7+'Nordea Liv '!B22+'Nordea Liv '!B36+'Nordea Liv '!B47+'Nordea Liv '!B66+'Nordea Liv '!B134</f>
        <v>643709.20639581443</v>
      </c>
      <c r="C25" s="176">
        <f>'Nordea Liv '!C7+'Nordea Liv '!C22+'Nordea Liv '!C36+'Nordea Liv '!C47+'Nordea Liv '!C66+'Nordea Liv '!C134</f>
        <v>629530.54245577473</v>
      </c>
      <c r="D25" s="104">
        <f t="shared" si="0"/>
        <v>-2.2000000000000002</v>
      </c>
      <c r="E25" s="409">
        <f t="shared" si="1"/>
        <v>3.8411606393551296</v>
      </c>
      <c r="F25" s="103"/>
      <c r="G25" s="177">
        <f>'Nordea Liv '!B10+'Nordea Liv '!B29+'Nordea Liv '!B37+'Nordea Liv '!B87+'Nordea Liv '!B135</f>
        <v>50874850.312231541</v>
      </c>
      <c r="H25" s="177">
        <f>'Nordea Liv '!C10+'Nordea Liv '!C29+'Nordea Liv '!C37+'Nordea Liv '!C87+'Nordea Liv '!C135</f>
        <v>51184490.000153631</v>
      </c>
      <c r="I25" s="104">
        <f t="shared" si="2"/>
        <v>0.6</v>
      </c>
      <c r="J25" s="409">
        <f t="shared" si="3"/>
        <v>4.8821608012337361</v>
      </c>
      <c r="K25" s="139"/>
      <c r="L25" s="223">
        <f t="shared" ca="1" si="4"/>
        <v>0</v>
      </c>
      <c r="M25" s="221">
        <f t="shared" ca="1" si="5"/>
        <v>0</v>
      </c>
      <c r="N25" s="223">
        <f t="shared" ca="1" si="6"/>
        <v>0</v>
      </c>
      <c r="O25" s="221">
        <f t="shared" ca="1" si="7"/>
        <v>0</v>
      </c>
    </row>
    <row r="26" spans="1:21" ht="18.75" x14ac:dyDescent="0.3">
      <c r="A26" s="108" t="s">
        <v>96</v>
      </c>
      <c r="B26" s="176">
        <f>'Oslo Pensjonsforsikring'!B7+'Oslo Pensjonsforsikring'!B22+'Oslo Pensjonsforsikring'!B36+'Oslo Pensjonsforsikring'!B47+'Oslo Pensjonsforsikring'!B66+'Oslo Pensjonsforsikring'!B134</f>
        <v>973969.14500999998</v>
      </c>
      <c r="C26" s="176">
        <f>'Oslo Pensjonsforsikring'!C7+'Oslo Pensjonsforsikring'!C22+'Oslo Pensjonsforsikring'!C36+'Oslo Pensjonsforsikring'!C47+'Oslo Pensjonsforsikring'!C66+'Oslo Pensjonsforsikring'!C134</f>
        <v>595788.33617999998</v>
      </c>
      <c r="D26" s="104">
        <f t="shared" si="0"/>
        <v>-38.799999999999997</v>
      </c>
      <c r="E26" s="409">
        <f t="shared" si="1"/>
        <v>3.6352782779912043</v>
      </c>
      <c r="F26" s="103"/>
      <c r="G26" s="176">
        <f>'Oslo Pensjonsforsikring'!B10+'Oslo Pensjonsforsikring'!B29+'Oslo Pensjonsforsikring'!B37+'Oslo Pensjonsforsikring'!B87+'Oslo Pensjonsforsikring'!B135</f>
        <v>75420758.385900304</v>
      </c>
      <c r="H26" s="176">
        <f>'Oslo Pensjonsforsikring'!C10+'Oslo Pensjonsforsikring'!C29+'Oslo Pensjonsforsikring'!C37+'Oslo Pensjonsforsikring'!C87+'Oslo Pensjonsforsikring'!C135</f>
        <v>78512396.264768496</v>
      </c>
      <c r="I26" s="104">
        <f t="shared" si="2"/>
        <v>4.0999999999999996</v>
      </c>
      <c r="J26" s="409">
        <f t="shared" si="3"/>
        <v>7.4887948176026029</v>
      </c>
      <c r="K26" s="139"/>
      <c r="L26" s="223">
        <f t="shared" ca="1" si="4"/>
        <v>0</v>
      </c>
      <c r="M26" s="221">
        <f t="shared" ca="1" si="5"/>
        <v>0</v>
      </c>
      <c r="N26" s="223">
        <f t="shared" ca="1" si="6"/>
        <v>0</v>
      </c>
      <c r="O26" s="221">
        <f t="shared" ca="1" si="7"/>
        <v>0</v>
      </c>
    </row>
    <row r="27" spans="1:21" ht="18.75" x14ac:dyDescent="0.3">
      <c r="A27" s="108" t="s">
        <v>367</v>
      </c>
      <c r="B27" s="176">
        <f>'Protector Forsikring'!B7+'Protector Forsikring'!B22+'Protector Forsikring'!B36+'Protector Forsikring'!B47+'Protector Forsikring'!B66+'Protector Forsikring'!B134</f>
        <v>174427.98112853389</v>
      </c>
      <c r="C27" s="176">
        <f>'Protector Forsikring'!C7+'Protector Forsikring'!C22+'Protector Forsikring'!C36+'Protector Forsikring'!C47+'Protector Forsikring'!C66+'Protector Forsikring'!C134</f>
        <v>196210.82700126772</v>
      </c>
      <c r="D27" s="104">
        <f t="shared" si="0"/>
        <v>12.5</v>
      </c>
      <c r="E27" s="409">
        <f t="shared" si="1"/>
        <v>1.1972053059610448</v>
      </c>
      <c r="F27" s="103"/>
      <c r="G27" s="176">
        <f>'Protector Forsikring'!B10+'Protector Forsikring'!B29+'Protector Forsikring'!B37+'Protector Forsikring'!B87+'Protector Forsikring'!B135</f>
        <v>0</v>
      </c>
      <c r="H27" s="176">
        <f>'Protector Forsikring'!C10+'Protector Forsikring'!C29+'Protector Forsikring'!C37+'Protector Forsikring'!C87+'Protector Forsikring'!C135</f>
        <v>0</v>
      </c>
      <c r="I27" s="104"/>
      <c r="J27" s="409">
        <f t="shared" si="3"/>
        <v>0</v>
      </c>
      <c r="K27" s="139"/>
      <c r="L27" s="223">
        <f t="shared" ca="1" si="4"/>
        <v>0</v>
      </c>
      <c r="M27" s="221">
        <f t="shared" ca="1" si="5"/>
        <v>0</v>
      </c>
      <c r="N27" s="223">
        <f t="shared" ca="1" si="6"/>
        <v>0</v>
      </c>
      <c r="O27" s="221">
        <f t="shared" ca="1" si="7"/>
        <v>0</v>
      </c>
    </row>
    <row r="28" spans="1:21" ht="18.75" x14ac:dyDescent="0.3">
      <c r="A28" s="193" t="s">
        <v>68</v>
      </c>
      <c r="B28" s="176">
        <f>'Sparebank 1'!B7+'Sparebank 1'!B22+'Sparebank 1'!B36+'Sparebank 1'!B47+'Sparebank 1'!B66+'Sparebank 1'!B134</f>
        <v>894213.30877</v>
      </c>
      <c r="C28" s="176">
        <f>'Sparebank 1'!C7+'Sparebank 1'!C22+'Sparebank 1'!C36+'Sparebank 1'!C47+'Sparebank 1'!C66+'Sparebank 1'!C134</f>
        <v>250321.98676</v>
      </c>
      <c r="D28" s="104">
        <f t="shared" si="0"/>
        <v>-72</v>
      </c>
      <c r="E28" s="409">
        <f t="shared" si="1"/>
        <v>1.5273714265821126</v>
      </c>
      <c r="F28" s="103"/>
      <c r="G28" s="176">
        <f>'Sparebank 1'!B10+'Sparebank 1'!B29+'Sparebank 1'!B37+'Sparebank 1'!B87+'Sparebank 1'!B135</f>
        <v>20077494.383109998</v>
      </c>
      <c r="H28" s="176">
        <f>'Sparebank 1'!C10+'Sparebank 1'!C29+'Sparebank 1'!C37+'Sparebank 1'!C87+'Sparebank 1'!C135</f>
        <v>19224127.527090002</v>
      </c>
      <c r="I28" s="104">
        <f t="shared" si="2"/>
        <v>-4.3</v>
      </c>
      <c r="J28" s="409">
        <f t="shared" si="3"/>
        <v>1.833666445643896</v>
      </c>
      <c r="K28" s="139"/>
      <c r="L28" s="223">
        <f t="shared" ca="1" si="4"/>
        <v>0</v>
      </c>
      <c r="M28" s="221">
        <f t="shared" ca="1" si="5"/>
        <v>0</v>
      </c>
      <c r="N28" s="223">
        <f t="shared" ca="1" si="6"/>
        <v>0</v>
      </c>
      <c r="O28" s="221">
        <f t="shared" ca="1" si="7"/>
        <v>0</v>
      </c>
    </row>
    <row r="29" spans="1:21" ht="18.75" x14ac:dyDescent="0.3">
      <c r="A29" s="193" t="s">
        <v>97</v>
      </c>
      <c r="B29" s="176">
        <f>'Storebrand Livsforsikring'!B7+'Storebrand Livsforsikring'!B22+'Storebrand Livsforsikring'!B36+'Storebrand Livsforsikring'!B47+'Storebrand Livsforsikring'!B66+'Storebrand Livsforsikring'!B134</f>
        <v>2180985.9240000001</v>
      </c>
      <c r="C29" s="176">
        <f>'Storebrand Livsforsikring'!C7+'Storebrand Livsforsikring'!C22+'Storebrand Livsforsikring'!C36+'Storebrand Livsforsikring'!C47+'Storebrand Livsforsikring'!C66+'Storebrand Livsforsikring'!C134</f>
        <v>2540938.0070000002</v>
      </c>
      <c r="D29" s="104">
        <f t="shared" si="0"/>
        <v>16.5</v>
      </c>
      <c r="E29" s="409">
        <f t="shared" si="1"/>
        <v>15.50385628861769</v>
      </c>
      <c r="F29" s="103"/>
      <c r="G29" s="176">
        <f>'Storebrand Livsforsikring'!B10+'Storebrand Livsforsikring'!B29+'Storebrand Livsforsikring'!B37+'Storebrand Livsforsikring'!B87+'Storebrand Livsforsikring'!B135</f>
        <v>181276652.00800002</v>
      </c>
      <c r="H29" s="176">
        <f>'Storebrand Livsforsikring'!C10+'Storebrand Livsforsikring'!C29+'Storebrand Livsforsikring'!C37+'Storebrand Livsforsikring'!C87+'Storebrand Livsforsikring'!C135</f>
        <v>182275775.57800004</v>
      </c>
      <c r="I29" s="104">
        <f t="shared" si="2"/>
        <v>0.6</v>
      </c>
      <c r="J29" s="409">
        <f t="shared" si="3"/>
        <v>17.386119243128501</v>
      </c>
      <c r="K29" s="139"/>
      <c r="L29" s="223">
        <f t="shared" ca="1" si="4"/>
        <v>0</v>
      </c>
      <c r="M29" s="221">
        <f t="shared" ca="1" si="5"/>
        <v>0</v>
      </c>
      <c r="N29" s="223">
        <f t="shared" ca="1" si="6"/>
        <v>0</v>
      </c>
      <c r="O29" s="221">
        <f t="shared" ca="1" si="7"/>
        <v>0</v>
      </c>
    </row>
    <row r="30" spans="1:21" ht="18.75" x14ac:dyDescent="0.3">
      <c r="A30" s="193" t="s">
        <v>98</v>
      </c>
      <c r="B30" s="176">
        <f>'Telenor Forsikring'!B7+'Telenor Forsikring'!B22+'Telenor Forsikring'!B36+'Telenor Forsikring'!B47+'Telenor Forsikring'!B66+'Telenor Forsikring'!B134</f>
        <v>0</v>
      </c>
      <c r="C30" s="176">
        <f>'Telenor Forsikring'!C7+'Telenor Forsikring'!C22+'Telenor Forsikring'!C36+'Telenor Forsikring'!C47+'Telenor Forsikring'!C66+'Telenor Forsikring'!C134</f>
        <v>0</v>
      </c>
      <c r="D30" s="104"/>
      <c r="E30" s="409">
        <f t="shared" si="1"/>
        <v>0</v>
      </c>
      <c r="F30" s="103"/>
      <c r="G30" s="176">
        <f>'Telenor Forsikring'!B10+'Telenor Forsikring'!B29+'Telenor Forsikring'!B37+'Telenor Forsikring'!B87+'Telenor Forsikring'!B135</f>
        <v>0</v>
      </c>
      <c r="H30" s="176">
        <f>'Telenor Forsikring'!C10+'Telenor Forsikring'!C29+'Telenor Forsikring'!C37+'Telenor Forsikring'!C87+'Telenor Forsikring'!C135</f>
        <v>0</v>
      </c>
      <c r="I30" s="104"/>
      <c r="J30" s="409">
        <f t="shared" si="3"/>
        <v>0</v>
      </c>
      <c r="K30" s="207"/>
      <c r="L30" s="223">
        <f t="shared" ca="1" si="4"/>
        <v>0</v>
      </c>
      <c r="M30" s="221">
        <f t="shared" ca="1" si="5"/>
        <v>0</v>
      </c>
      <c r="N30" s="223">
        <f t="shared" ca="1" si="6"/>
        <v>0</v>
      </c>
      <c r="O30" s="221">
        <f t="shared" ca="1" si="7"/>
        <v>0</v>
      </c>
    </row>
    <row r="31" spans="1:21" ht="18.75" x14ac:dyDescent="0.3">
      <c r="A31" s="193" t="s">
        <v>99</v>
      </c>
      <c r="B31" s="176">
        <f>'Tryg Forsikring'!B7+'Tryg Forsikring'!B22+'Tryg Forsikring'!B36+'Tryg Forsikring'!B47+'Tryg Forsikring'!B66+'Tryg Forsikring'!B134</f>
        <v>497838</v>
      </c>
      <c r="C31" s="176">
        <f>'Tryg Forsikring'!C7+'Tryg Forsikring'!C22+'Tryg Forsikring'!C36+'Tryg Forsikring'!C47+'Tryg Forsikring'!C66+'Tryg Forsikring'!C134</f>
        <v>510830.81199999998</v>
      </c>
      <c r="D31" s="104">
        <f t="shared" si="0"/>
        <v>2.6</v>
      </c>
      <c r="E31" s="409">
        <f t="shared" si="1"/>
        <v>3.1168991432406403</v>
      </c>
      <c r="F31" s="103"/>
      <c r="G31" s="176">
        <f>'Tryg Forsikring'!B10+'Tryg Forsikring'!B29+'Tryg Forsikring'!B37+'Tryg Forsikring'!B87+'Tryg Forsikring'!B135</f>
        <v>0</v>
      </c>
      <c r="H31" s="176">
        <f>'Tryg Forsikring'!C10+'Tryg Forsikring'!C29+'Tryg Forsikring'!C37+'Tryg Forsikring'!C87+'Tryg Forsikring'!C135</f>
        <v>0</v>
      </c>
      <c r="I31" s="104"/>
      <c r="J31" s="409">
        <f t="shared" si="3"/>
        <v>0</v>
      </c>
      <c r="K31" s="207"/>
      <c r="L31" s="223">
        <f t="shared" ca="1" si="4"/>
        <v>0</v>
      </c>
      <c r="M31" s="221">
        <f t="shared" ca="1" si="5"/>
        <v>0</v>
      </c>
      <c r="N31" s="223">
        <f t="shared" ca="1" si="6"/>
        <v>0</v>
      </c>
      <c r="O31" s="221">
        <f t="shared" ca="1" si="7"/>
        <v>0</v>
      </c>
    </row>
    <row r="32" spans="1:21" s="111" customFormat="1" ht="18.75" x14ac:dyDescent="0.3">
      <c r="A32" s="193" t="s">
        <v>426</v>
      </c>
      <c r="B32" s="176">
        <f>'WaterCircles F'!B7+'WaterCircles F'!B22+'WaterCircles F'!B36+'WaterCircles F'!B47+'WaterCircles F'!B66+'WaterCircles F'!B134</f>
        <v>0</v>
      </c>
      <c r="C32" s="176">
        <f>'WaterCircles F'!C7+'WaterCircles F'!C22+'WaterCircles F'!C36+'WaterCircles F'!C47+'WaterCircles F'!C66+'WaterCircles F'!C134</f>
        <v>1050</v>
      </c>
      <c r="D32" s="104" t="str">
        <f t="shared" ref="D32" si="9">IF(B32=0, "    ---- ", IF(ABS(ROUND(100/B32*C32-100,1))&lt;999,ROUND(100/B32*C32-100,1),IF(ROUND(100/B32*C32-100,1)&gt;999,999,-999)))</f>
        <v xml:space="preserve">    ---- </v>
      </c>
      <c r="E32" s="409">
        <f t="shared" si="1"/>
        <v>6.4067084904085086E-3</v>
      </c>
      <c r="F32" s="103"/>
      <c r="G32" s="176">
        <f>'WaterCircles F'!B10+'WaterCircles F'!B29+'WaterCircles F'!B37+'WaterCircles F'!B87+'WaterCircles F'!B135</f>
        <v>0</v>
      </c>
      <c r="H32" s="176">
        <f>'WaterCircles F'!C10+'WaterCircles F'!C29+'WaterCircles F'!C37+'WaterCircles F'!C87+'WaterCircles F'!C135</f>
        <v>0</v>
      </c>
      <c r="I32" s="104"/>
      <c r="J32" s="409"/>
      <c r="K32" s="209"/>
      <c r="L32" s="223" t="e">
        <f ca="1">SUM(L9:L31)</f>
        <v>#REF!</v>
      </c>
      <c r="M32" s="221" t="e">
        <f ca="1">SUM(M9:M31)</f>
        <v>#REF!</v>
      </c>
      <c r="N32" s="223" t="e">
        <f ca="1">SUM(N9:N31)</f>
        <v>#REF!</v>
      </c>
      <c r="O32" s="221" t="e">
        <f ca="1">SUM(O9:O31)</f>
        <v>#REF!</v>
      </c>
      <c r="U32" s="205"/>
    </row>
    <row r="33" spans="1:20" ht="18.75" x14ac:dyDescent="0.3">
      <c r="A33" s="137" t="s">
        <v>100</v>
      </c>
      <c r="B33" s="178">
        <f>SUM(B9:B31)</f>
        <v>16027748.060874349</v>
      </c>
      <c r="C33" s="242">
        <f>SUM(C9:C31)</f>
        <v>16389070.949177044</v>
      </c>
      <c r="D33" s="104">
        <f t="shared" si="0"/>
        <v>2.2999999999999998</v>
      </c>
      <c r="E33" s="410">
        <f>SUM(E9:E31)</f>
        <v>99.999999999999986</v>
      </c>
      <c r="F33" s="109"/>
      <c r="G33" s="178">
        <f>SUM(G9:G31)</f>
        <v>1016019868.1638836</v>
      </c>
      <c r="H33" s="178">
        <f>SUM(H9:H31)</f>
        <v>1048398282.7279913</v>
      </c>
      <c r="I33" s="104">
        <f t="shared" si="2"/>
        <v>3.2</v>
      </c>
      <c r="J33" s="410">
        <f>SUM(J9:J31)</f>
        <v>100.00000000000001</v>
      </c>
      <c r="K33" s="207"/>
      <c r="L33" s="220" t="s">
        <v>1</v>
      </c>
      <c r="M33" s="221"/>
      <c r="N33" s="223"/>
      <c r="O33" s="221"/>
    </row>
    <row r="34" spans="1:20" ht="18.75" x14ac:dyDescent="0.3">
      <c r="A34" s="86"/>
      <c r="B34" s="176"/>
      <c r="C34" s="139"/>
      <c r="D34" s="104"/>
      <c r="E34" s="409"/>
      <c r="F34" s="103"/>
      <c r="G34" s="176"/>
      <c r="H34" s="103"/>
      <c r="I34" s="104"/>
      <c r="J34" s="409"/>
      <c r="K34" s="207"/>
      <c r="L34" s="224">
        <v>2015</v>
      </c>
      <c r="M34" s="225">
        <v>2016</v>
      </c>
      <c r="N34" s="224">
        <v>2015</v>
      </c>
      <c r="O34" s="225">
        <v>2016</v>
      </c>
      <c r="P34" s="87" t="s">
        <v>155</v>
      </c>
    </row>
    <row r="35" spans="1:20" ht="18.75" x14ac:dyDescent="0.3">
      <c r="A35" s="101" t="s">
        <v>1</v>
      </c>
      <c r="B35" s="176"/>
      <c r="C35" s="139"/>
      <c r="D35" s="104"/>
      <c r="E35" s="409"/>
      <c r="F35" s="103"/>
      <c r="G35" s="176"/>
      <c r="H35" s="103"/>
      <c r="I35" s="104"/>
      <c r="J35" s="409"/>
      <c r="K35" s="207" t="s">
        <v>143</v>
      </c>
      <c r="L35" s="223">
        <f t="shared" ref="L35:L44" ca="1" si="10">INDIRECT("'" &amp; $A36 &amp; "'!" &amp; $P$34)</f>
        <v>0</v>
      </c>
      <c r="M35" s="221">
        <f t="shared" ref="M35:M44" ca="1" si="11">INDIRECT("'" &amp; $A36 &amp; "'!" &amp; $P$35)</f>
        <v>0</v>
      </c>
      <c r="N35" s="223">
        <f t="shared" ref="N35:N44" ca="1" si="12">INDIRECT("'" &amp; $A36 &amp; "'!" &amp; $P$36)</f>
        <v>0</v>
      </c>
      <c r="O35" s="221">
        <f t="shared" ref="O35:O44" ca="1" si="13">INDIRECT("'"&amp;$A36&amp;"'!"&amp;$P$37)</f>
        <v>0</v>
      </c>
      <c r="P35" s="87" t="s">
        <v>157</v>
      </c>
    </row>
    <row r="36" spans="1:20" ht="18.75" x14ac:dyDescent="0.3">
      <c r="A36" s="107" t="s">
        <v>84</v>
      </c>
      <c r="B36" s="130">
        <f>'Danica Pensjonsforsikring'!F7+'Danica Pensjonsforsikring'!F22+'Danica Pensjonsforsikring'!F66+'Danica Pensjonsforsikring'!F134</f>
        <v>506748.04200000002</v>
      </c>
      <c r="C36" s="130">
        <f>'Danica Pensjonsforsikring'!G7+'Danica Pensjonsforsikring'!G22+'Danica Pensjonsforsikring'!G66+'Danica Pensjonsforsikring'!G134</f>
        <v>556076.75199999998</v>
      </c>
      <c r="D36" s="104">
        <f t="shared" ref="D36:D46" si="14">IF(B36=0, "    ---- ", IF(ABS(ROUND(100/B36*C36-100,1))&lt;999,ROUND(100/B36*C36-100,1),IF(ROUND(100/B36*C36-100,1)&gt;999,999,-999)))</f>
        <v>9.6999999999999993</v>
      </c>
      <c r="E36" s="409">
        <f t="shared" ref="E36:E45" si="15">100/C$46*C36</f>
        <v>4.7638388950771633</v>
      </c>
      <c r="F36" s="103"/>
      <c r="G36" s="176">
        <f>'Danica Pensjonsforsikring'!F10+'Danica Pensjonsforsikring'!F29+'Danica Pensjonsforsikring'!F87+'Danica Pensjonsforsikring'!F135</f>
        <v>18231058.762000002</v>
      </c>
      <c r="H36" s="176">
        <f>'Danica Pensjonsforsikring'!G10+'Danica Pensjonsforsikring'!G29+'Danica Pensjonsforsikring'!G87+'Danica Pensjonsforsikring'!G135</f>
        <v>18526269.5</v>
      </c>
      <c r="I36" s="104">
        <f t="shared" ref="I36:I46" si="16">IF(G36=0, "    ---- ", IF(ABS(ROUND(100/G36*H36-100,1))&lt;999,ROUND(100/G36*H36-100,1),IF(ROUND(100/G36*H36-100,1)&gt;999,999,-999)))</f>
        <v>1.6</v>
      </c>
      <c r="J36" s="409">
        <f t="shared" ref="J36:J45" si="17">100/H$46*H36</f>
        <v>5.3067349865250897</v>
      </c>
      <c r="K36" s="87" t="s">
        <v>151</v>
      </c>
      <c r="L36" s="223">
        <f t="shared" ca="1" si="10"/>
        <v>0</v>
      </c>
      <c r="M36" s="221">
        <f t="shared" ca="1" si="11"/>
        <v>0</v>
      </c>
      <c r="N36" s="223">
        <f t="shared" ca="1" si="12"/>
        <v>0</v>
      </c>
      <c r="O36" s="221">
        <f t="shared" ca="1" si="13"/>
        <v>0</v>
      </c>
      <c r="P36" s="87" t="s">
        <v>156</v>
      </c>
    </row>
    <row r="37" spans="1:20" ht="18.75" x14ac:dyDescent="0.3">
      <c r="A37" s="86" t="s">
        <v>85</v>
      </c>
      <c r="B37" s="130">
        <f>'DNB Livsforsikring'!F7+'DNB Livsforsikring'!F22+'DNB Livsforsikring'!F66+'DNB Livsforsikring'!F134</f>
        <v>2408062</v>
      </c>
      <c r="C37" s="130">
        <f>'DNB Livsforsikring'!G7+'DNB Livsforsikring'!G22+'DNB Livsforsikring'!G66+'DNB Livsforsikring'!G134</f>
        <v>2457225.304</v>
      </c>
      <c r="D37" s="104">
        <f t="shared" si="14"/>
        <v>2</v>
      </c>
      <c r="E37" s="409">
        <f t="shared" si="15"/>
        <v>21.050737034162161</v>
      </c>
      <c r="F37" s="103"/>
      <c r="G37" s="176">
        <f>'DNB Livsforsikring'!F10+'DNB Livsforsikring'!F29+'DNB Livsforsikring'!F87+'DNB Livsforsikring'!F135</f>
        <v>85192428.625</v>
      </c>
      <c r="H37" s="176">
        <f>'DNB Livsforsikring'!G10+'DNB Livsforsikring'!G29+'DNB Livsforsikring'!G87+'DNB Livsforsikring'!G135</f>
        <v>84790630.706</v>
      </c>
      <c r="I37" s="104">
        <f t="shared" si="16"/>
        <v>-0.5</v>
      </c>
      <c r="J37" s="409">
        <f t="shared" si="17"/>
        <v>24.287750240114921</v>
      </c>
      <c r="K37" s="87" t="s">
        <v>144</v>
      </c>
      <c r="L37" s="223">
        <f t="shared" ca="1" si="10"/>
        <v>0</v>
      </c>
      <c r="M37" s="221">
        <f t="shared" ca="1" si="11"/>
        <v>0</v>
      </c>
      <c r="N37" s="223">
        <f t="shared" ca="1" si="12"/>
        <v>0</v>
      </c>
      <c r="O37" s="221">
        <f t="shared" ca="1" si="13"/>
        <v>0</v>
      </c>
      <c r="P37" s="87" t="s">
        <v>158</v>
      </c>
    </row>
    <row r="38" spans="1:20" ht="18.75" x14ac:dyDescent="0.3">
      <c r="A38" s="107" t="s">
        <v>87</v>
      </c>
      <c r="B38" s="130">
        <f>'Frende Livsforsikring'!F7+'Frende Livsforsikring'!F22+'Frende Livsforsikring'!F66+'Frende Livsforsikring'!F134</f>
        <v>96311</v>
      </c>
      <c r="C38" s="130">
        <f>'Frende Livsforsikring'!G7+'Frende Livsforsikring'!G22+'Frende Livsforsikring'!G66+'Frende Livsforsikring'!G134</f>
        <v>105771</v>
      </c>
      <c r="D38" s="104">
        <f t="shared" si="14"/>
        <v>9.8000000000000007</v>
      </c>
      <c r="E38" s="409">
        <f t="shared" si="15"/>
        <v>0.90612672074305067</v>
      </c>
      <c r="F38" s="103"/>
      <c r="G38" s="176">
        <f>'Frende Livsforsikring'!F10+'Frende Livsforsikring'!F29+'Frende Livsforsikring'!F87+'Frende Livsforsikring'!F135</f>
        <v>3631130</v>
      </c>
      <c r="H38" s="176">
        <f>'Frende Livsforsikring'!G10+'Frende Livsforsikring'!G29+'Frende Livsforsikring'!G87+'Frende Livsforsikring'!G135</f>
        <v>3863942</v>
      </c>
      <c r="I38" s="104">
        <f t="shared" si="16"/>
        <v>6.4</v>
      </c>
      <c r="J38" s="409">
        <f t="shared" si="17"/>
        <v>1.1068022192651212</v>
      </c>
      <c r="K38" s="87" t="s">
        <v>152</v>
      </c>
      <c r="L38" s="223">
        <f t="shared" ca="1" si="10"/>
        <v>0</v>
      </c>
      <c r="M38" s="221">
        <f t="shared" ca="1" si="11"/>
        <v>0</v>
      </c>
      <c r="N38" s="223">
        <f t="shared" ca="1" si="12"/>
        <v>0</v>
      </c>
      <c r="O38" s="221">
        <f t="shared" ca="1" si="13"/>
        <v>0</v>
      </c>
    </row>
    <row r="39" spans="1:20" ht="18.75" x14ac:dyDescent="0.3">
      <c r="A39" s="107" t="s">
        <v>90</v>
      </c>
      <c r="B39" s="130">
        <f>'Gjensidige Pensjon'!F7+'Gjensidige Pensjon'!F22+'Gjensidige Pensjon'!F66+'Gjensidige Pensjon'!F134</f>
        <v>781465</v>
      </c>
      <c r="C39" s="130">
        <f>'Gjensidige Pensjon'!G7+'Gjensidige Pensjon'!G22+'Gjensidige Pensjon'!G66+'Gjensidige Pensjon'!G134</f>
        <v>826908</v>
      </c>
      <c r="D39" s="104">
        <f t="shared" si="14"/>
        <v>5.8</v>
      </c>
      <c r="E39" s="409">
        <f t="shared" si="15"/>
        <v>7.0840157925725817</v>
      </c>
      <c r="F39" s="103"/>
      <c r="G39" s="176">
        <f>'Gjensidige Pensjon'!F10+'Gjensidige Pensjon'!F29+'Gjensidige Pensjon'!F87+'Gjensidige Pensjon'!F135</f>
        <v>26882141</v>
      </c>
      <c r="H39" s="176">
        <f>'Gjensidige Pensjon'!G10+'Gjensidige Pensjon'!G29+'Gjensidige Pensjon'!G87+'Gjensidige Pensjon'!G135</f>
        <v>26207073</v>
      </c>
      <c r="I39" s="104">
        <f t="shared" si="16"/>
        <v>-2.5</v>
      </c>
      <c r="J39" s="409">
        <f t="shared" si="17"/>
        <v>7.5068535078536476</v>
      </c>
      <c r="K39" s="87" t="s">
        <v>145</v>
      </c>
      <c r="L39" s="223">
        <f t="shared" ca="1" si="10"/>
        <v>0</v>
      </c>
      <c r="M39" s="221">
        <f t="shared" ca="1" si="11"/>
        <v>0</v>
      </c>
      <c r="N39" s="223">
        <f t="shared" ca="1" si="12"/>
        <v>0</v>
      </c>
      <c r="O39" s="221">
        <f t="shared" ca="1" si="13"/>
        <v>0</v>
      </c>
    </row>
    <row r="40" spans="1:20" ht="18.75" x14ac:dyDescent="0.3">
      <c r="A40" s="107" t="s">
        <v>63</v>
      </c>
      <c r="B40" s="130">
        <f>KLP!F7+KLP!F22+KLP!F66+KLP!F134</f>
        <v>19489.256000000001</v>
      </c>
      <c r="C40" s="130">
        <f>KLP!G7+KLP!G22+KLP!G66+KLP!G134</f>
        <v>13284.058000000001</v>
      </c>
      <c r="D40" s="104">
        <f t="shared" si="14"/>
        <v>-31.8</v>
      </c>
      <c r="E40" s="409">
        <f t="shared" si="15"/>
        <v>0.113802837391161</v>
      </c>
      <c r="F40" s="103"/>
      <c r="G40" s="176">
        <f>KLP!F10+KLP!F29+KLP!F87+KLP!F135</f>
        <v>2497218.77415</v>
      </c>
      <c r="H40" s="176">
        <f>KLP!G10+KLP!G29+KLP!G87+KLP!G135</f>
        <v>2151789.0251500001</v>
      </c>
      <c r="I40" s="104">
        <f t="shared" si="16"/>
        <v>-13.8</v>
      </c>
      <c r="J40" s="409">
        <f t="shared" si="17"/>
        <v>0.61636661948506266</v>
      </c>
      <c r="K40" s="87" t="s">
        <v>153</v>
      </c>
      <c r="L40" s="223">
        <f t="shared" ca="1" si="10"/>
        <v>0</v>
      </c>
      <c r="M40" s="221">
        <f t="shared" ca="1" si="11"/>
        <v>0</v>
      </c>
      <c r="N40" s="223">
        <f t="shared" ca="1" si="12"/>
        <v>0</v>
      </c>
      <c r="O40" s="221">
        <f t="shared" ca="1" si="13"/>
        <v>0</v>
      </c>
    </row>
    <row r="41" spans="1:20" ht="18.75" x14ac:dyDescent="0.3">
      <c r="A41" s="107" t="s">
        <v>93</v>
      </c>
      <c r="B41" s="130">
        <f>'KLP Bedriftspensjon AS'!F7+'KLP Bedriftspensjon AS'!F22+'KLP Bedriftspensjon AS'!F66+'KLP Bedriftspensjon AS'!F134</f>
        <v>135943</v>
      </c>
      <c r="C41" s="130">
        <f>'KLP Bedriftspensjon AS'!G7+'KLP Bedriftspensjon AS'!G22+'KLP Bedriftspensjon AS'!G66+'KLP Bedriftspensjon AS'!G134</f>
        <v>155790</v>
      </c>
      <c r="D41" s="104">
        <f t="shared" si="14"/>
        <v>14.6</v>
      </c>
      <c r="E41" s="409">
        <f t="shared" si="15"/>
        <v>1.3346331397505919</v>
      </c>
      <c r="F41" s="103"/>
      <c r="G41" s="176">
        <f>'KLP Bedriftspensjon AS'!F10+'KLP Bedriftspensjon AS'!F29+'KLP Bedriftspensjon AS'!F87+'KLP Bedriftspensjon AS'!F135</f>
        <v>3934107</v>
      </c>
      <c r="H41" s="176">
        <f>'KLP Bedriftspensjon AS'!G10+'KLP Bedriftspensjon AS'!G29+'KLP Bedriftspensjon AS'!G87+'KLP Bedriftspensjon AS'!G135</f>
        <v>4535748</v>
      </c>
      <c r="I41" s="104">
        <f t="shared" si="16"/>
        <v>15.3</v>
      </c>
      <c r="J41" s="409">
        <f t="shared" si="17"/>
        <v>1.2992368809954535</v>
      </c>
      <c r="K41" s="207"/>
      <c r="L41" s="223">
        <f t="shared" ca="1" si="10"/>
        <v>0</v>
      </c>
      <c r="M41" s="221">
        <f t="shared" ca="1" si="11"/>
        <v>0</v>
      </c>
      <c r="N41" s="223">
        <f t="shared" ca="1" si="12"/>
        <v>0</v>
      </c>
      <c r="O41" s="221">
        <f t="shared" ca="1" si="13"/>
        <v>0</v>
      </c>
    </row>
    <row r="42" spans="1:20" ht="18.75" x14ac:dyDescent="0.3">
      <c r="A42" s="107" t="s">
        <v>95</v>
      </c>
      <c r="B42" s="130">
        <f>'Nordea Liv '!F7+'Nordea Liv '!F22+'Nordea Liv '!F66+'Nordea Liv '!F134</f>
        <v>3083447.26988</v>
      </c>
      <c r="C42" s="130">
        <f>'Nordea Liv '!G7+'Nordea Liv '!G22+'Nordea Liv '!G66+'Nordea Liv '!G134</f>
        <v>3056093.7786399997</v>
      </c>
      <c r="D42" s="104">
        <f t="shared" si="14"/>
        <v>-0.9</v>
      </c>
      <c r="E42" s="409">
        <f t="shared" si="15"/>
        <v>26.181167181196184</v>
      </c>
      <c r="F42" s="103"/>
      <c r="G42" s="176">
        <f>'Nordea Liv '!F10+'Nordea Liv '!F29+'Nordea Liv '!F87+'Nordea Liv '!F135</f>
        <v>64970069.999999896</v>
      </c>
      <c r="H42" s="176">
        <f>'Nordea Liv '!G10+'Nordea Liv '!G29+'Nordea Liv '!G87+'Nordea Liv '!G135</f>
        <v>70145270</v>
      </c>
      <c r="I42" s="104">
        <f t="shared" si="16"/>
        <v>8</v>
      </c>
      <c r="J42" s="409">
        <f t="shared" si="17"/>
        <v>20.092677505757365</v>
      </c>
      <c r="K42" s="207"/>
      <c r="L42" s="223">
        <f t="shared" ca="1" si="10"/>
        <v>0</v>
      </c>
      <c r="M42" s="221">
        <f t="shared" ca="1" si="11"/>
        <v>0</v>
      </c>
      <c r="N42" s="223">
        <f t="shared" ca="1" si="12"/>
        <v>0</v>
      </c>
      <c r="O42" s="221">
        <f t="shared" ca="1" si="13"/>
        <v>0</v>
      </c>
    </row>
    <row r="43" spans="1:20" ht="18.75" x14ac:dyDescent="0.3">
      <c r="A43" s="107" t="s">
        <v>72</v>
      </c>
      <c r="B43" s="130">
        <f>'SHB Liv'!F7+'SHB Liv'!F22+'SHB Liv'!F66+'SHB Liv'!F134</f>
        <v>38700.716099999998</v>
      </c>
      <c r="C43" s="130">
        <f>'SHB Liv'!G7+'SHB Liv'!G22+'SHB Liv'!G66+'SHB Liv'!G134</f>
        <v>40693.550899999995</v>
      </c>
      <c r="D43" s="104">
        <f t="shared" si="14"/>
        <v>5.0999999999999996</v>
      </c>
      <c r="E43" s="409">
        <f t="shared" si="15"/>
        <v>0.34861648119434829</v>
      </c>
      <c r="F43" s="103"/>
      <c r="G43" s="176">
        <f>'SHB Liv'!F10+'SHB Liv'!F29+'SHB Liv'!F87+'SHB Liv'!F135</f>
        <v>2236863.3610899998</v>
      </c>
      <c r="H43" s="176">
        <f>'SHB Liv'!G10+'SHB Liv'!G29+'SHB Liv'!G87+'SHB Liv'!G135</f>
        <v>2269628.5062499996</v>
      </c>
      <c r="I43" s="104">
        <f t="shared" si="16"/>
        <v>1.5</v>
      </c>
      <c r="J43" s="409">
        <f t="shared" si="17"/>
        <v>0.65012100793047145</v>
      </c>
      <c r="K43" s="139"/>
      <c r="L43" s="223">
        <f t="shared" ca="1" si="10"/>
        <v>0</v>
      </c>
      <c r="M43" s="221">
        <f t="shared" ca="1" si="11"/>
        <v>0</v>
      </c>
      <c r="N43" s="223">
        <f t="shared" ca="1" si="12"/>
        <v>0</v>
      </c>
      <c r="O43" s="221">
        <f t="shared" ca="1" si="13"/>
        <v>0</v>
      </c>
    </row>
    <row r="44" spans="1:20" ht="18.75" x14ac:dyDescent="0.3">
      <c r="A44" s="86" t="s">
        <v>68</v>
      </c>
      <c r="B44" s="130">
        <f>'Sparebank 1'!F7+'Sparebank 1'!F22+'Sparebank 1'!F66+'Sparebank 1'!F134</f>
        <v>1073722.1763800001</v>
      </c>
      <c r="C44" s="130">
        <f>'Sparebank 1'!G7+'Sparebank 1'!G22+'Sparebank 1'!G66+'Sparebank 1'!G134</f>
        <v>1184786.1743300001</v>
      </c>
      <c r="D44" s="104">
        <f t="shared" si="14"/>
        <v>10.3</v>
      </c>
      <c r="E44" s="409">
        <f t="shared" si="15"/>
        <v>10.149912650228771</v>
      </c>
      <c r="F44" s="103"/>
      <c r="G44" s="176">
        <f>'Sparebank 1'!F10+'Sparebank 1'!F29+'Sparebank 1'!F87+'Sparebank 1'!F135</f>
        <v>30793410.668050002</v>
      </c>
      <c r="H44" s="176">
        <f>'Sparebank 1'!G10+'Sparebank 1'!G29+'Sparebank 1'!G87+'Sparebank 1'!G135</f>
        <v>31469716.431260001</v>
      </c>
      <c r="I44" s="104">
        <f t="shared" si="16"/>
        <v>2.2000000000000002</v>
      </c>
      <c r="J44" s="409">
        <f t="shared" si="17"/>
        <v>9.0143050764640407</v>
      </c>
      <c r="K44" s="139"/>
      <c r="L44" s="223">
        <f t="shared" ca="1" si="10"/>
        <v>0</v>
      </c>
      <c r="M44" s="221">
        <f t="shared" ca="1" si="11"/>
        <v>0</v>
      </c>
      <c r="N44" s="223">
        <f t="shared" ca="1" si="12"/>
        <v>0</v>
      </c>
      <c r="O44" s="221">
        <f t="shared" ca="1" si="13"/>
        <v>0</v>
      </c>
    </row>
    <row r="45" spans="1:20" s="111" customFormat="1" ht="18.75" x14ac:dyDescent="0.3">
      <c r="A45" s="86" t="s">
        <v>97</v>
      </c>
      <c r="B45" s="130">
        <f>'Storebrand Livsforsikring'!F7+'Storebrand Livsforsikring'!F22+'Storebrand Livsforsikring'!F66+'Storebrand Livsforsikring'!F134</f>
        <v>2762007.8890000004</v>
      </c>
      <c r="C45" s="130">
        <f>'Storebrand Livsforsikring'!G7+'Storebrand Livsforsikring'!G22+'Storebrand Livsforsikring'!G66+'Storebrand Livsforsikring'!G134</f>
        <v>3276242.0279999999</v>
      </c>
      <c r="D45" s="104">
        <f t="shared" si="14"/>
        <v>18.600000000000001</v>
      </c>
      <c r="E45" s="409">
        <f t="shared" si="15"/>
        <v>28.067149267683977</v>
      </c>
      <c r="F45" s="103"/>
      <c r="G45" s="176">
        <f>'Storebrand Livsforsikring'!F10+'Storebrand Livsforsikring'!F29+'Storebrand Livsforsikring'!F87+'Storebrand Livsforsikring'!F135</f>
        <v>99882666.639999986</v>
      </c>
      <c r="H45" s="176">
        <f>'Storebrand Livsforsikring'!G10+'Storebrand Livsforsikring'!G29+'Storebrand Livsforsikring'!G87+'Storebrand Livsforsikring'!G135</f>
        <v>105148557.005</v>
      </c>
      <c r="I45" s="104">
        <f t="shared" si="16"/>
        <v>5.3</v>
      </c>
      <c r="J45" s="409">
        <f t="shared" si="17"/>
        <v>30.119151955608832</v>
      </c>
      <c r="K45" s="139"/>
      <c r="L45" s="223">
        <f ca="1">SUM(L35:L44)</f>
        <v>0</v>
      </c>
      <c r="M45" s="221">
        <f ca="1">SUM(M35:M44)</f>
        <v>0</v>
      </c>
      <c r="N45" s="223">
        <f ca="1">SUM(N35:N44)</f>
        <v>0</v>
      </c>
      <c r="O45" s="221">
        <f ca="1">SUM(O35:O44)</f>
        <v>0</v>
      </c>
    </row>
    <row r="46" spans="1:20" ht="18.75" x14ac:dyDescent="0.3">
      <c r="A46" s="101" t="s">
        <v>101</v>
      </c>
      <c r="B46" s="242">
        <f>SUM(B36:B45)</f>
        <v>10905896.34936</v>
      </c>
      <c r="C46" s="242">
        <f>SUM(C36:C45)</f>
        <v>11672870.64587</v>
      </c>
      <c r="D46" s="104">
        <f t="shared" si="14"/>
        <v>7</v>
      </c>
      <c r="E46" s="410">
        <f>SUM(E36:E45)</f>
        <v>99.999999999999986</v>
      </c>
      <c r="F46" s="109"/>
      <c r="G46" s="178">
        <f>SUM(G36:G45)</f>
        <v>338251094.8302899</v>
      </c>
      <c r="H46" s="178">
        <f>SUM(H36:H45)</f>
        <v>349108624.17365998</v>
      </c>
      <c r="I46" s="104">
        <f t="shared" si="16"/>
        <v>3.2</v>
      </c>
      <c r="J46" s="410">
        <f>SUM(J36:J45)</f>
        <v>100</v>
      </c>
      <c r="K46" s="139"/>
      <c r="L46" s="220" t="s">
        <v>102</v>
      </c>
      <c r="M46" s="226"/>
      <c r="N46" s="227"/>
      <c r="O46" s="226"/>
    </row>
    <row r="47" spans="1:20" ht="18.75" x14ac:dyDescent="0.3">
      <c r="A47" s="101"/>
      <c r="B47" s="130"/>
      <c r="C47" s="109"/>
      <c r="D47" s="110"/>
      <c r="E47" s="409"/>
      <c r="F47" s="109"/>
      <c r="G47" s="178"/>
      <c r="H47" s="109"/>
      <c r="I47" s="110"/>
      <c r="J47" s="410"/>
      <c r="K47" s="139"/>
      <c r="L47" s="224">
        <v>2015</v>
      </c>
      <c r="M47" s="225">
        <v>2016</v>
      </c>
      <c r="N47" s="224">
        <v>2015</v>
      </c>
      <c r="O47" s="225">
        <v>2016</v>
      </c>
    </row>
    <row r="48" spans="1:20" ht="18.75" x14ac:dyDescent="0.3">
      <c r="A48" s="86"/>
      <c r="B48" s="130"/>
      <c r="C48" s="103"/>
      <c r="D48" s="104"/>
      <c r="E48" s="409"/>
      <c r="F48" s="103"/>
      <c r="G48" s="176"/>
      <c r="H48" s="103"/>
      <c r="I48" s="104"/>
      <c r="J48" s="409"/>
      <c r="K48" s="139"/>
      <c r="L48" s="223"/>
      <c r="M48" s="221"/>
      <c r="N48" s="223"/>
      <c r="O48" s="221"/>
      <c r="P48" s="207"/>
      <c r="Q48" s="207"/>
      <c r="R48" s="207"/>
      <c r="S48" s="182"/>
      <c r="T48" s="139"/>
    </row>
    <row r="49" spans="1:20" ht="18.75" x14ac:dyDescent="0.3">
      <c r="B49" s="130"/>
      <c r="C49" s="103"/>
      <c r="D49" s="104"/>
      <c r="E49" s="409"/>
      <c r="F49" s="103"/>
      <c r="G49" s="176"/>
      <c r="H49" s="103"/>
      <c r="I49" s="104"/>
      <c r="J49" s="409"/>
      <c r="K49" s="139"/>
      <c r="L49" s="223" t="e">
        <f ca="1">L9</f>
        <v>#REF!</v>
      </c>
      <c r="M49" s="228" t="e">
        <f ca="1">M9</f>
        <v>#REF!</v>
      </c>
      <c r="N49" s="223" t="e">
        <f ca="1">N9</f>
        <v>#REF!</v>
      </c>
      <c r="O49" s="228" t="e">
        <f ca="1">O9</f>
        <v>#REF!</v>
      </c>
      <c r="P49" s="207"/>
      <c r="Q49" s="207"/>
      <c r="R49" s="207"/>
      <c r="S49" s="182"/>
      <c r="T49" s="139"/>
    </row>
    <row r="50" spans="1:20" ht="18.75" x14ac:dyDescent="0.3">
      <c r="A50" s="101" t="s">
        <v>102</v>
      </c>
      <c r="B50" s="130">
        <f>B9</f>
        <v>0</v>
      </c>
      <c r="C50" s="180">
        <f>C9</f>
        <v>0</v>
      </c>
      <c r="D50" s="104"/>
      <c r="E50" s="409"/>
      <c r="F50" s="103"/>
      <c r="G50" s="176">
        <f>G9</f>
        <v>0</v>
      </c>
      <c r="H50" s="176">
        <f>H9</f>
        <v>0</v>
      </c>
      <c r="I50" s="104"/>
      <c r="J50" s="409"/>
      <c r="K50" s="139"/>
      <c r="L50" s="223">
        <f ca="1">L10+L35</f>
        <v>0</v>
      </c>
      <c r="M50" s="221">
        <f ca="1">M10+M35</f>
        <v>0</v>
      </c>
      <c r="N50" s="223">
        <f ca="1">N10+N35</f>
        <v>0</v>
      </c>
      <c r="O50" s="221">
        <f ca="1">O10+O35</f>
        <v>0</v>
      </c>
      <c r="P50" s="207"/>
      <c r="Q50" s="207"/>
      <c r="R50" s="207"/>
      <c r="S50" s="182"/>
      <c r="T50" s="139"/>
    </row>
    <row r="51" spans="1:20" ht="18.75" x14ac:dyDescent="0.3">
      <c r="A51" s="107" t="s">
        <v>84</v>
      </c>
      <c r="B51" s="130">
        <f>B10+B36</f>
        <v>613299.46799999999</v>
      </c>
      <c r="C51" s="103">
        <f>C10+C36</f>
        <v>665680.31499999994</v>
      </c>
      <c r="D51" s="104">
        <f t="shared" ref="D51:D73" si="18">IF(B51=0, "    ---- ", IF(ABS(ROUND(100/B51*C51-100,1))&lt;999,ROUND(100/B51*C51-100,1),IF(ROUND(100/B51*C51-100,1)&gt;999,999,-999)))</f>
        <v>8.5</v>
      </c>
      <c r="E51" s="409">
        <f t="shared" ref="E51:E73" si="19">100/C$74*C51</f>
        <v>2.3721819559252912</v>
      </c>
      <c r="F51" s="103"/>
      <c r="G51" s="176">
        <f>G10+G36</f>
        <v>19417606.342</v>
      </c>
      <c r="H51" s="176">
        <f>H10+H36</f>
        <v>19710060.541999999</v>
      </c>
      <c r="I51" s="104">
        <f t="shared" ref="I51:I73" si="20">IF(G51=0, "    ---- ", IF(ABS(ROUND(100/G51*H51-100,1))&lt;999,ROUND(100/G51*H51-100,1),IF(ROUND(100/G51*H51-100,1)&gt;999,999,-999)))</f>
        <v>1.5</v>
      </c>
      <c r="J51" s="409">
        <f t="shared" ref="J51:J73" si="21">100/H$74*H51</f>
        <v>1.4103730324809822</v>
      </c>
      <c r="K51" s="139"/>
      <c r="L51" s="223">
        <f ca="1">L11+L36</f>
        <v>0</v>
      </c>
      <c r="M51" s="221">
        <f ca="1">+M11+M36</f>
        <v>0</v>
      </c>
      <c r="N51" s="223">
        <f ca="1">+N11+N36</f>
        <v>0</v>
      </c>
      <c r="O51" s="221">
        <f ca="1">+O11+O36</f>
        <v>0</v>
      </c>
      <c r="P51" s="207"/>
      <c r="Q51" s="207"/>
      <c r="R51" s="207"/>
      <c r="S51" s="182"/>
      <c r="T51" s="139"/>
    </row>
    <row r="52" spans="1:20" ht="18.75" x14ac:dyDescent="0.3">
      <c r="A52" s="86" t="s">
        <v>85</v>
      </c>
      <c r="B52" s="130">
        <f>B11+B37</f>
        <v>4128465.8</v>
      </c>
      <c r="C52" s="103">
        <f>+C11+C37</f>
        <v>3849798.4730000002</v>
      </c>
      <c r="D52" s="104">
        <f t="shared" si="18"/>
        <v>-6.7</v>
      </c>
      <c r="E52" s="409">
        <f t="shared" si="19"/>
        <v>13.718931243444297</v>
      </c>
      <c r="F52" s="103"/>
      <c r="G52" s="176">
        <f>+G11+G37</f>
        <v>285535968.89700001</v>
      </c>
      <c r="H52" s="176">
        <f>+H11+H37</f>
        <v>281954826.54699999</v>
      </c>
      <c r="I52" s="104">
        <f t="shared" si="20"/>
        <v>-1.3</v>
      </c>
      <c r="J52" s="409">
        <f t="shared" si="21"/>
        <v>20.175558714919639</v>
      </c>
      <c r="K52" s="139"/>
      <c r="L52" s="223">
        <f ca="1">L12</f>
        <v>0</v>
      </c>
      <c r="M52" s="221">
        <f ca="1">M12</f>
        <v>0</v>
      </c>
      <c r="N52" s="223">
        <f ca="1">N12</f>
        <v>0</v>
      </c>
      <c r="O52" s="221">
        <f ca="1">+O12+O37</f>
        <v>0</v>
      </c>
      <c r="P52" s="207"/>
      <c r="Q52" s="207"/>
      <c r="R52" s="207"/>
      <c r="S52" s="182"/>
      <c r="T52" s="139"/>
    </row>
    <row r="53" spans="1:20" ht="18.75" x14ac:dyDescent="0.3">
      <c r="A53" s="86" t="s">
        <v>86</v>
      </c>
      <c r="B53" s="130">
        <f>B12</f>
        <v>73468</v>
      </c>
      <c r="C53" s="103">
        <f>C12</f>
        <v>79343</v>
      </c>
      <c r="D53" s="104">
        <f t="shared" si="18"/>
        <v>8</v>
      </c>
      <c r="E53" s="409">
        <f t="shared" si="19"/>
        <v>0.28274237451197637</v>
      </c>
      <c r="F53" s="103"/>
      <c r="G53" s="176">
        <f>G12</f>
        <v>0</v>
      </c>
      <c r="H53" s="176">
        <f>H12</f>
        <v>0</v>
      </c>
      <c r="I53" s="104" t="str">
        <f t="shared" si="20"/>
        <v xml:space="preserve">    ---- </v>
      </c>
      <c r="J53" s="409">
        <f t="shared" si="21"/>
        <v>0</v>
      </c>
      <c r="K53" s="139"/>
      <c r="L53" s="223"/>
      <c r="M53" s="221"/>
      <c r="N53" s="223"/>
      <c r="O53" s="221"/>
      <c r="P53" s="207"/>
      <c r="Q53" s="207"/>
      <c r="R53" s="207"/>
      <c r="S53" s="182"/>
      <c r="T53" s="139"/>
    </row>
    <row r="54" spans="1:20" ht="18.75" x14ac:dyDescent="0.3">
      <c r="A54" s="107" t="s">
        <v>405</v>
      </c>
      <c r="B54" s="130">
        <f>B13</f>
        <v>0</v>
      </c>
      <c r="C54" s="130">
        <f>C13</f>
        <v>825203.29516999994</v>
      </c>
      <c r="D54" s="104" t="str">
        <f t="shared" ref="D54" si="22">IF(B54=0, "    ---- ", IF(ABS(ROUND(100/B54*C54-100,1))&lt;999,ROUND(100/B54*C54-100,1),IF(ROUND(100/B54*C54-100,1)&gt;999,999,-999)))</f>
        <v xml:space="preserve">    ---- </v>
      </c>
      <c r="E54" s="409">
        <f t="shared" si="19"/>
        <v>2.9406493216978578</v>
      </c>
      <c r="F54" s="103"/>
      <c r="G54" s="130">
        <f>G13</f>
        <v>0</v>
      </c>
      <c r="H54" s="130">
        <f>H13</f>
        <v>0</v>
      </c>
      <c r="I54" s="104" t="str">
        <f t="shared" ref="I54" si="23">IF(G54=0, "    ---- ", IF(ABS(ROUND(100/G54*H54-100,1))&lt;999,ROUND(100/G54*H54-100,1),IF(ROUND(100/G54*H54-100,1)&gt;999,999,-999)))</f>
        <v xml:space="preserve">    ---- </v>
      </c>
      <c r="J54" s="409">
        <f t="shared" si="21"/>
        <v>0</v>
      </c>
      <c r="K54" s="139"/>
      <c r="L54" s="223">
        <f ca="1">L14+L37</f>
        <v>0</v>
      </c>
      <c r="M54" s="221">
        <f ca="1">M14+M37</f>
        <v>0</v>
      </c>
      <c r="N54" s="223">
        <f ca="1">N14+N37</f>
        <v>0</v>
      </c>
      <c r="O54" s="221">
        <f ca="1">O14+O37</f>
        <v>0</v>
      </c>
      <c r="P54" s="210"/>
      <c r="Q54" s="210"/>
      <c r="R54" s="210"/>
      <c r="S54" s="182"/>
      <c r="T54" s="139"/>
    </row>
    <row r="55" spans="1:20" ht="18.75" x14ac:dyDescent="0.3">
      <c r="A55" s="107" t="s">
        <v>87</v>
      </c>
      <c r="B55" s="130">
        <f>B14+B38</f>
        <v>589738</v>
      </c>
      <c r="C55" s="105">
        <f>C14+C38</f>
        <v>614405</v>
      </c>
      <c r="D55" s="106">
        <f t="shared" si="18"/>
        <v>4.2</v>
      </c>
      <c r="E55" s="411">
        <f t="shared" si="19"/>
        <v>2.189460048297025</v>
      </c>
      <c r="F55" s="105"/>
      <c r="G55" s="177">
        <f>G14+G38</f>
        <v>4785232.79</v>
      </c>
      <c r="H55" s="177">
        <f>H14+H38</f>
        <v>5107775</v>
      </c>
      <c r="I55" s="104">
        <f t="shared" si="20"/>
        <v>6.7</v>
      </c>
      <c r="J55" s="409">
        <f t="shared" si="21"/>
        <v>0.36549193243876082</v>
      </c>
      <c r="K55" s="139"/>
      <c r="L55" s="223">
        <f ca="1">L15</f>
        <v>0</v>
      </c>
      <c r="M55" s="221">
        <f ca="1">M15</f>
        <v>0</v>
      </c>
      <c r="N55" s="223">
        <f ca="1">N15</f>
        <v>0</v>
      </c>
      <c r="O55" s="221">
        <f ca="1">O15</f>
        <v>0</v>
      </c>
      <c r="P55" s="210"/>
      <c r="Q55" s="210"/>
      <c r="R55" s="210"/>
      <c r="S55" s="182"/>
      <c r="T55" s="139"/>
    </row>
    <row r="56" spans="1:20" ht="18.75" x14ac:dyDescent="0.3">
      <c r="A56" s="107" t="s">
        <v>88</v>
      </c>
      <c r="B56" s="130">
        <f>B15</f>
        <v>1699</v>
      </c>
      <c r="C56" s="105">
        <f>C15</f>
        <v>838</v>
      </c>
      <c r="D56" s="106">
        <f t="shared" si="18"/>
        <v>-50.7</v>
      </c>
      <c r="E56" s="411">
        <f t="shared" si="19"/>
        <v>2.9862509590138538E-3</v>
      </c>
      <c r="F56" s="105"/>
      <c r="G56" s="177">
        <f>G15</f>
        <v>0</v>
      </c>
      <c r="H56" s="177">
        <f>H15</f>
        <v>0</v>
      </c>
      <c r="I56" s="104" t="str">
        <f t="shared" si="20"/>
        <v xml:space="preserve">    ---- </v>
      </c>
      <c r="J56" s="409">
        <f t="shared" si="21"/>
        <v>0</v>
      </c>
      <c r="K56" s="139"/>
      <c r="L56" s="223">
        <f ca="1">L16</f>
        <v>0</v>
      </c>
      <c r="M56" s="221">
        <f ca="1">+M16</f>
        <v>0</v>
      </c>
      <c r="N56" s="223">
        <f ca="1">+N16</f>
        <v>0</v>
      </c>
      <c r="O56" s="221">
        <f ca="1">+O16</f>
        <v>0</v>
      </c>
      <c r="P56" s="207"/>
      <c r="Q56" s="207"/>
      <c r="R56" s="207"/>
      <c r="S56" s="182"/>
      <c r="T56" s="139"/>
    </row>
    <row r="57" spans="1:20" ht="18.75" x14ac:dyDescent="0.3">
      <c r="A57" s="86" t="s">
        <v>89</v>
      </c>
      <c r="B57" s="103">
        <f>B16</f>
        <v>1031602</v>
      </c>
      <c r="C57" s="103">
        <f>+C16</f>
        <v>1082036</v>
      </c>
      <c r="D57" s="104">
        <f t="shared" si="18"/>
        <v>4.9000000000000004</v>
      </c>
      <c r="E57" s="409">
        <f t="shared" si="19"/>
        <v>3.8558842991497784</v>
      </c>
      <c r="F57" s="103"/>
      <c r="G57" s="176">
        <f>+G16</f>
        <v>0</v>
      </c>
      <c r="H57" s="176">
        <f>+H16</f>
        <v>0</v>
      </c>
      <c r="I57" s="104" t="str">
        <f t="shared" si="20"/>
        <v xml:space="preserve">    ---- </v>
      </c>
      <c r="J57" s="409">
        <f t="shared" si="21"/>
        <v>0</v>
      </c>
      <c r="K57" s="139"/>
      <c r="L57" s="223">
        <f ca="1">L17+L38</f>
        <v>0</v>
      </c>
      <c r="M57" s="221">
        <f ca="1">M17+M38</f>
        <v>0</v>
      </c>
      <c r="N57" s="223">
        <f ca="1">N17+N38</f>
        <v>0</v>
      </c>
      <c r="O57" s="221">
        <f ca="1">O17+O38</f>
        <v>0</v>
      </c>
      <c r="P57" s="207"/>
      <c r="Q57" s="207"/>
      <c r="R57" s="207"/>
      <c r="S57" s="182"/>
      <c r="T57" s="139"/>
    </row>
    <row r="58" spans="1:20" ht="18.75" x14ac:dyDescent="0.3">
      <c r="A58" s="86" t="s">
        <v>90</v>
      </c>
      <c r="B58" s="103">
        <f>B17+B39</f>
        <v>983126</v>
      </c>
      <c r="C58" s="103">
        <f>C17+C39</f>
        <v>1036269</v>
      </c>
      <c r="D58" s="104">
        <f t="shared" si="18"/>
        <v>5.4</v>
      </c>
      <c r="E58" s="409">
        <f t="shared" si="19"/>
        <v>3.6927915215349967</v>
      </c>
      <c r="F58" s="103"/>
      <c r="G58" s="176">
        <f>G17+G39</f>
        <v>33680595</v>
      </c>
      <c r="H58" s="176">
        <f>H17+H39</f>
        <v>33463485</v>
      </c>
      <c r="I58" s="104">
        <f t="shared" si="20"/>
        <v>-0.6</v>
      </c>
      <c r="J58" s="409">
        <f t="shared" si="21"/>
        <v>2.394513031366003</v>
      </c>
      <c r="K58" s="139"/>
      <c r="L58" s="223">
        <f ca="1">L18</f>
        <v>0</v>
      </c>
      <c r="M58" s="221">
        <f t="shared" ref="M58:O59" ca="1" si="24">+M18</f>
        <v>0</v>
      </c>
      <c r="N58" s="223">
        <f t="shared" ca="1" si="24"/>
        <v>0</v>
      </c>
      <c r="O58" s="221">
        <f t="shared" ca="1" si="24"/>
        <v>0</v>
      </c>
      <c r="P58" s="207"/>
      <c r="Q58" s="207"/>
      <c r="R58" s="207"/>
      <c r="S58" s="182"/>
      <c r="T58" s="139"/>
    </row>
    <row r="59" spans="1:20" ht="18.75" x14ac:dyDescent="0.3">
      <c r="A59" s="86" t="s">
        <v>91</v>
      </c>
      <c r="B59" s="103">
        <f>B18</f>
        <v>9227.8753499999984</v>
      </c>
      <c r="C59" s="103">
        <f>+C18</f>
        <v>8969.8688000000002</v>
      </c>
      <c r="D59" s="104">
        <f t="shared" si="18"/>
        <v>-2.8</v>
      </c>
      <c r="E59" s="409">
        <f t="shared" si="19"/>
        <v>3.1964533778315568E-2</v>
      </c>
      <c r="F59" s="103"/>
      <c r="G59" s="176">
        <f>+G18</f>
        <v>24156.061791620199</v>
      </c>
      <c r="H59" s="176">
        <f>+H18</f>
        <v>27018.357819261299</v>
      </c>
      <c r="I59" s="104">
        <f t="shared" si="20"/>
        <v>11.8</v>
      </c>
      <c r="J59" s="409">
        <f t="shared" si="21"/>
        <v>1.9333255303304699E-3</v>
      </c>
      <c r="K59" s="139"/>
      <c r="L59" s="223">
        <f ca="1">L19</f>
        <v>0</v>
      </c>
      <c r="M59" s="221">
        <f t="shared" ca="1" si="24"/>
        <v>0</v>
      </c>
      <c r="N59" s="223">
        <f t="shared" ca="1" si="24"/>
        <v>0</v>
      </c>
      <c r="O59" s="221">
        <f t="shared" ca="1" si="24"/>
        <v>0</v>
      </c>
      <c r="P59" s="207"/>
      <c r="Q59" s="207"/>
      <c r="R59" s="207"/>
      <c r="S59" s="182"/>
      <c r="T59" s="139"/>
    </row>
    <row r="60" spans="1:20" ht="18.75" x14ac:dyDescent="0.3">
      <c r="A60" s="86" t="s">
        <v>92</v>
      </c>
      <c r="B60" s="103">
        <f>B19</f>
        <v>152402.34600000002</v>
      </c>
      <c r="C60" s="103">
        <f>+C19</f>
        <v>161371.50700000001</v>
      </c>
      <c r="D60" s="104">
        <f t="shared" si="18"/>
        <v>5.9</v>
      </c>
      <c r="E60" s="409">
        <f t="shared" si="19"/>
        <v>0.57505467486427309</v>
      </c>
      <c r="F60" s="103"/>
      <c r="G60" s="176">
        <f>+G19</f>
        <v>0</v>
      </c>
      <c r="H60" s="176">
        <f>+H19</f>
        <v>0</v>
      </c>
      <c r="I60" s="104" t="str">
        <f t="shared" si="20"/>
        <v xml:space="preserve">    ---- </v>
      </c>
      <c r="J60" s="409">
        <f t="shared" si="21"/>
        <v>0</v>
      </c>
      <c r="K60" s="139"/>
      <c r="L60" s="223" t="e">
        <f ca="1">L20</f>
        <v>#REF!</v>
      </c>
      <c r="M60" s="221" t="e">
        <f ca="1">M20</f>
        <v>#REF!</v>
      </c>
      <c r="N60" s="223" t="e">
        <f ca="1">N20</f>
        <v>#REF!</v>
      </c>
      <c r="O60" s="221" t="e">
        <f ca="1">O20</f>
        <v>#REF!</v>
      </c>
      <c r="P60" s="207"/>
      <c r="Q60" s="207"/>
      <c r="R60" s="207"/>
      <c r="S60" s="182"/>
      <c r="T60" s="139"/>
    </row>
    <row r="61" spans="1:20" ht="18.75" x14ac:dyDescent="0.3">
      <c r="A61" s="86" t="s">
        <v>409</v>
      </c>
      <c r="B61" s="103">
        <f>B20</f>
        <v>4425.9740000000002</v>
      </c>
      <c r="C61" s="103">
        <f>C20</f>
        <v>3495.9480000000003</v>
      </c>
      <c r="D61" s="104">
        <f>IF(B61=0, "    ---- ", IF(ABS(ROUND(100/B61*C61-100,1))&lt;999,ROUND(100/B61*C61-100,1),IF(ROUND(100/B61*C61-100,1)&gt;999,999,-999)))</f>
        <v>-21</v>
      </c>
      <c r="E61" s="409">
        <f t="shared" si="19"/>
        <v>1.2457969054489934E-2</v>
      </c>
      <c r="F61" s="103"/>
      <c r="G61" s="176">
        <f>G20</f>
        <v>2618.067</v>
      </c>
      <c r="H61" s="176">
        <f>H20</f>
        <v>0</v>
      </c>
      <c r="I61" s="104">
        <f>IF(G61=0, "    ---- ", IF(ABS(ROUND(100/G61*H61-100,1))&lt;999,ROUND(100/G61*H61-100,1),IF(ROUND(100/G61*H61-100,1)&gt;999,999,-999)))</f>
        <v>-100</v>
      </c>
      <c r="J61" s="409">
        <f t="shared" si="21"/>
        <v>0</v>
      </c>
      <c r="K61" s="139"/>
      <c r="L61" s="223">
        <f ca="1">L21+L39</f>
        <v>0</v>
      </c>
      <c r="M61" s="221">
        <f ca="1">M21+M39</f>
        <v>0</v>
      </c>
      <c r="N61" s="223">
        <f ca="1">N21+N39</f>
        <v>0</v>
      </c>
      <c r="O61" s="221">
        <f ca="1">O21+O39</f>
        <v>0</v>
      </c>
      <c r="P61" s="210"/>
      <c r="Q61" s="210"/>
      <c r="R61" s="210"/>
      <c r="S61" s="182"/>
      <c r="T61" s="139"/>
    </row>
    <row r="62" spans="1:20" ht="18.75" x14ac:dyDescent="0.3">
      <c r="A62" s="86" t="s">
        <v>63</v>
      </c>
      <c r="B62" s="105">
        <f>B21+B40</f>
        <v>6704777.3302199999</v>
      </c>
      <c r="C62" s="105">
        <f>C21+C40</f>
        <v>7085817.3088100003</v>
      </c>
      <c r="D62" s="106">
        <f t="shared" si="18"/>
        <v>5.7</v>
      </c>
      <c r="E62" s="411">
        <f t="shared" si="19"/>
        <v>25.250630947292159</v>
      </c>
      <c r="F62" s="105"/>
      <c r="G62" s="177">
        <f>G21+G40</f>
        <v>479761272.07800001</v>
      </c>
      <c r="H62" s="177">
        <f>H21+H40</f>
        <v>510657255.95537001</v>
      </c>
      <c r="I62" s="104">
        <f t="shared" si="20"/>
        <v>6.4</v>
      </c>
      <c r="J62" s="409">
        <f t="shared" si="21"/>
        <v>36.540589061382519</v>
      </c>
      <c r="K62" s="139"/>
      <c r="L62" s="223">
        <f ca="1">L22+L40</f>
        <v>0</v>
      </c>
      <c r="M62" s="221">
        <f ca="1">+M22+M40</f>
        <v>0</v>
      </c>
      <c r="N62" s="223">
        <f ca="1">N22+N40</f>
        <v>0</v>
      </c>
      <c r="O62" s="221">
        <f ca="1">O22+O40</f>
        <v>0</v>
      </c>
      <c r="P62" s="207"/>
      <c r="Q62" s="207"/>
      <c r="R62" s="207"/>
      <c r="S62" s="182"/>
      <c r="T62" s="139"/>
    </row>
    <row r="63" spans="1:20" ht="18.75" x14ac:dyDescent="0.3">
      <c r="A63" s="86" t="s">
        <v>93</v>
      </c>
      <c r="B63" s="103">
        <f>B22+B41</f>
        <v>159307</v>
      </c>
      <c r="C63" s="103">
        <f>+C22+C41</f>
        <v>180234</v>
      </c>
      <c r="D63" s="104">
        <f t="shared" si="18"/>
        <v>13.1</v>
      </c>
      <c r="E63" s="409">
        <f t="shared" si="19"/>
        <v>0.64227202308699638</v>
      </c>
      <c r="F63" s="103"/>
      <c r="G63" s="176">
        <f>G22+G41</f>
        <v>5507660</v>
      </c>
      <c r="H63" s="176">
        <f>H22+H41</f>
        <v>6316620</v>
      </c>
      <c r="I63" s="104">
        <f t="shared" si="20"/>
        <v>14.7</v>
      </c>
      <c r="J63" s="409">
        <f t="shared" si="21"/>
        <v>0.451992041599586</v>
      </c>
      <c r="K63" s="139"/>
      <c r="L63" s="223">
        <f t="shared" ref="L63:O64" ca="1" si="25">L23</f>
        <v>0</v>
      </c>
      <c r="M63" s="221">
        <f t="shared" ca="1" si="25"/>
        <v>0</v>
      </c>
      <c r="N63" s="223">
        <f t="shared" ca="1" si="25"/>
        <v>0</v>
      </c>
      <c r="O63" s="221">
        <f t="shared" ca="1" si="25"/>
        <v>0</v>
      </c>
      <c r="P63" s="207"/>
      <c r="Q63" s="207"/>
      <c r="R63" s="207"/>
      <c r="S63" s="182"/>
      <c r="T63" s="139"/>
    </row>
    <row r="64" spans="1:20" ht="18.75" x14ac:dyDescent="0.3">
      <c r="A64" s="86" t="s">
        <v>94</v>
      </c>
      <c r="B64" s="103">
        <f>B23</f>
        <v>136835</v>
      </c>
      <c r="C64" s="103">
        <f>C23</f>
        <v>156137.83600000001</v>
      </c>
      <c r="D64" s="104">
        <f t="shared" si="18"/>
        <v>14.1</v>
      </c>
      <c r="E64" s="409">
        <f t="shared" si="19"/>
        <v>0.55640425118537928</v>
      </c>
      <c r="F64" s="103"/>
      <c r="G64" s="176">
        <f>G23</f>
        <v>23088</v>
      </c>
      <c r="H64" s="176">
        <f>H23</f>
        <v>39904.18694</v>
      </c>
      <c r="I64" s="104">
        <f t="shared" si="20"/>
        <v>72.8</v>
      </c>
      <c r="J64" s="409">
        <f t="shared" si="21"/>
        <v>2.8553838798886328E-3</v>
      </c>
      <c r="K64" s="139"/>
      <c r="L64" s="223">
        <f t="shared" ca="1" si="25"/>
        <v>0</v>
      </c>
      <c r="M64" s="221">
        <f t="shared" ca="1" si="25"/>
        <v>0</v>
      </c>
      <c r="N64" s="223">
        <f t="shared" ca="1" si="25"/>
        <v>0</v>
      </c>
      <c r="O64" s="221">
        <f t="shared" ca="1" si="25"/>
        <v>0</v>
      </c>
      <c r="P64" s="207"/>
      <c r="Q64" s="207"/>
      <c r="R64" s="207"/>
      <c r="S64" s="182"/>
      <c r="T64" s="139"/>
    </row>
    <row r="65" spans="1:240" ht="18.75" x14ac:dyDescent="0.3">
      <c r="A65" s="86" t="s">
        <v>428</v>
      </c>
      <c r="B65" s="103">
        <f>B24</f>
        <v>22249</v>
      </c>
      <c r="C65" s="103">
        <f>C24</f>
        <v>30906</v>
      </c>
      <c r="D65" s="104">
        <f t="shared" si="18"/>
        <v>38.9</v>
      </c>
      <c r="E65" s="409">
        <f t="shared" si="19"/>
        <v>0.11013493095379734</v>
      </c>
      <c r="F65" s="103"/>
      <c r="G65" s="176">
        <f>G24</f>
        <v>0</v>
      </c>
      <c r="H65" s="176">
        <f>H24</f>
        <v>0</v>
      </c>
      <c r="I65" s="104" t="str">
        <f t="shared" si="20"/>
        <v xml:space="preserve">    ---- </v>
      </c>
      <c r="J65" s="409">
        <f t="shared" si="21"/>
        <v>0</v>
      </c>
      <c r="K65" s="139"/>
      <c r="L65" s="223">
        <f ca="1">L25+L41</f>
        <v>0</v>
      </c>
      <c r="M65" s="221">
        <f ca="1">+M25+M41</f>
        <v>0</v>
      </c>
      <c r="N65" s="223">
        <f ca="1">+N25+N41</f>
        <v>0</v>
      </c>
      <c r="O65" s="221">
        <f ca="1">+O25+O41</f>
        <v>0</v>
      </c>
      <c r="P65" s="207"/>
      <c r="Q65" s="207"/>
      <c r="R65" s="207"/>
      <c r="S65" s="182"/>
      <c r="T65" s="139"/>
    </row>
    <row r="66" spans="1:240" ht="18.75" customHeight="1" x14ac:dyDescent="0.3">
      <c r="A66" s="107" t="s">
        <v>66</v>
      </c>
      <c r="B66" s="103">
        <f>B25+B42</f>
        <v>3727156.4762758147</v>
      </c>
      <c r="C66" s="103">
        <f>+C25+C42</f>
        <v>3685624.3210957744</v>
      </c>
      <c r="D66" s="104">
        <f t="shared" si="18"/>
        <v>-1.1000000000000001</v>
      </c>
      <c r="E66" s="409">
        <f t="shared" si="19"/>
        <v>13.133889216511982</v>
      </c>
      <c r="F66" s="103"/>
      <c r="G66" s="176">
        <f>+G25+G42</f>
        <v>115844920.31223144</v>
      </c>
      <c r="H66" s="176">
        <f>+H25+H42</f>
        <v>121329760.00015363</v>
      </c>
      <c r="I66" s="104">
        <f t="shared" si="20"/>
        <v>4.7</v>
      </c>
      <c r="J66" s="409">
        <f t="shared" si="21"/>
        <v>8.681871939305708</v>
      </c>
      <c r="K66" s="139"/>
      <c r="L66" s="223">
        <f ca="1">L26</f>
        <v>0</v>
      </c>
      <c r="M66" s="221">
        <f ca="1">M26</f>
        <v>0</v>
      </c>
      <c r="N66" s="223">
        <f ca="1">N26</f>
        <v>0</v>
      </c>
      <c r="O66" s="221">
        <f ca="1">O26</f>
        <v>0</v>
      </c>
      <c r="P66" s="207"/>
      <c r="Q66" s="207"/>
      <c r="R66" s="207"/>
      <c r="S66" s="182"/>
      <c r="T66" s="139"/>
    </row>
    <row r="67" spans="1:240" ht="18.75" customHeight="1" x14ac:dyDescent="0.3">
      <c r="A67" s="107" t="s">
        <v>96</v>
      </c>
      <c r="B67" s="103">
        <f>B26</f>
        <v>973969.14500999998</v>
      </c>
      <c r="C67" s="103">
        <f>C26</f>
        <v>595788.33617999998</v>
      </c>
      <c r="D67" s="104">
        <f t="shared" si="18"/>
        <v>-38.799999999999997</v>
      </c>
      <c r="E67" s="409">
        <f t="shared" si="19"/>
        <v>2.1231187234925937</v>
      </c>
      <c r="F67" s="103"/>
      <c r="G67" s="176">
        <f>G26</f>
        <v>75420758.385900304</v>
      </c>
      <c r="H67" s="176">
        <f>H26</f>
        <v>78512396.264768496</v>
      </c>
      <c r="I67" s="104">
        <f t="shared" si="20"/>
        <v>4.0999999999999996</v>
      </c>
      <c r="J67" s="409">
        <f t="shared" si="21"/>
        <v>5.618032789464686</v>
      </c>
      <c r="K67" s="139"/>
      <c r="L67" s="223"/>
      <c r="M67" s="221"/>
      <c r="N67" s="223"/>
      <c r="O67" s="221"/>
      <c r="P67" s="207"/>
      <c r="Q67" s="207"/>
      <c r="R67" s="207"/>
      <c r="S67" s="182"/>
      <c r="T67" s="139"/>
    </row>
    <row r="68" spans="1:240" ht="18.75" customHeight="1" x14ac:dyDescent="0.3">
      <c r="A68" s="107" t="s">
        <v>367</v>
      </c>
      <c r="B68" s="103">
        <f>B27</f>
        <v>174427.98112853389</v>
      </c>
      <c r="C68" s="103">
        <f>C27</f>
        <v>196210.82700126772</v>
      </c>
      <c r="D68" s="104">
        <f t="shared" ref="D68" si="26">IF(B68=0, "    ---- ", IF(ABS(ROUND(100/B68*C68-100,1))&lt;999,ROUND(100/B68*C68-100,1),IF(ROUND(100/B68*C68-100,1)&gt;999,999,-999)))</f>
        <v>12.5</v>
      </c>
      <c r="E68" s="409">
        <f t="shared" si="19"/>
        <v>0.6992061698107841</v>
      </c>
      <c r="F68" s="103"/>
      <c r="G68" s="176">
        <f>G27</f>
        <v>0</v>
      </c>
      <c r="H68" s="176">
        <f>H27</f>
        <v>0</v>
      </c>
      <c r="I68" s="104" t="str">
        <f t="shared" ref="I68" si="27">IF(G68=0, "    ---- ", IF(ABS(ROUND(100/G68*H68-100,1))&lt;999,ROUND(100/G68*H68-100,1),IF(ROUND(100/G68*H68-100,1)&gt;999,999,-999)))</f>
        <v xml:space="preserve">    ---- </v>
      </c>
      <c r="J68" s="409">
        <f t="shared" si="21"/>
        <v>0</v>
      </c>
      <c r="K68" s="139"/>
      <c r="L68" s="223">
        <f ca="1">L42</f>
        <v>0</v>
      </c>
      <c r="M68" s="221">
        <f ca="1">M42</f>
        <v>0</v>
      </c>
      <c r="N68" s="223">
        <f ca="1">N42</f>
        <v>0</v>
      </c>
      <c r="O68" s="221">
        <f ca="1">O42</f>
        <v>0</v>
      </c>
      <c r="P68" s="207"/>
      <c r="Q68" s="207"/>
      <c r="R68" s="207"/>
      <c r="S68" s="182"/>
      <c r="T68" s="139"/>
    </row>
    <row r="69" spans="1:240" ht="18.75" customHeight="1" x14ac:dyDescent="0.3">
      <c r="A69" s="107" t="s">
        <v>72</v>
      </c>
      <c r="B69" s="103">
        <f>B43</f>
        <v>38700.716099999998</v>
      </c>
      <c r="C69" s="103">
        <f>C43</f>
        <v>40693.550899999995</v>
      </c>
      <c r="D69" s="104">
        <f t="shared" si="18"/>
        <v>5.0999999999999996</v>
      </c>
      <c r="E69" s="409">
        <f t="shared" si="19"/>
        <v>0.14501331193413372</v>
      </c>
      <c r="F69" s="103"/>
      <c r="G69" s="176">
        <f>G43</f>
        <v>2236863.3610899998</v>
      </c>
      <c r="H69" s="176">
        <f>H43</f>
        <v>2269628.5062499996</v>
      </c>
      <c r="I69" s="104">
        <f t="shared" si="20"/>
        <v>1.5</v>
      </c>
      <c r="J69" s="409">
        <f t="shared" si="21"/>
        <v>0.16240553052305759</v>
      </c>
      <c r="K69" s="139"/>
      <c r="L69" s="223">
        <f ca="1">L28+L43</f>
        <v>0</v>
      </c>
      <c r="M69" s="221">
        <f t="shared" ref="M69:O70" ca="1" si="28">+M28+M43</f>
        <v>0</v>
      </c>
      <c r="N69" s="223">
        <f t="shared" ca="1" si="28"/>
        <v>0</v>
      </c>
      <c r="O69" s="221">
        <f t="shared" ca="1" si="28"/>
        <v>0</v>
      </c>
      <c r="P69" s="207"/>
      <c r="Q69" s="207"/>
      <c r="R69" s="207"/>
      <c r="S69" s="182"/>
      <c r="T69" s="139"/>
    </row>
    <row r="70" spans="1:240" ht="18.75" customHeight="1" x14ac:dyDescent="0.3">
      <c r="A70" s="86" t="s">
        <v>68</v>
      </c>
      <c r="B70" s="103">
        <f>B28+B44</f>
        <v>1967935.4851500001</v>
      </c>
      <c r="C70" s="103">
        <f>+C28+C44</f>
        <v>1435108.1610900001</v>
      </c>
      <c r="D70" s="104">
        <f t="shared" si="18"/>
        <v>-27.1</v>
      </c>
      <c r="E70" s="409">
        <f t="shared" si="19"/>
        <v>5.114072938357543</v>
      </c>
      <c r="F70" s="103"/>
      <c r="G70" s="176">
        <f>+G28+G44</f>
        <v>50870905.05116</v>
      </c>
      <c r="H70" s="176">
        <f>+H28+H44</f>
        <v>50693843.958350003</v>
      </c>
      <c r="I70" s="104">
        <f t="shared" si="20"/>
        <v>-0.3</v>
      </c>
      <c r="J70" s="409">
        <f t="shared" si="21"/>
        <v>3.6274485448333849</v>
      </c>
      <c r="K70" s="139"/>
      <c r="L70" s="223">
        <f ca="1">L44+L29</f>
        <v>0</v>
      </c>
      <c r="M70" s="221">
        <f t="shared" ca="1" si="28"/>
        <v>0</v>
      </c>
      <c r="N70" s="223">
        <f t="shared" ca="1" si="28"/>
        <v>0</v>
      </c>
      <c r="O70" s="221">
        <f t="shared" ca="1" si="28"/>
        <v>0</v>
      </c>
      <c r="P70" s="207"/>
      <c r="Q70" s="207"/>
      <c r="R70" s="207"/>
      <c r="S70" s="182"/>
      <c r="T70" s="139"/>
    </row>
    <row r="71" spans="1:240" ht="18.75" customHeight="1" x14ac:dyDescent="0.3">
      <c r="A71" s="86" t="s">
        <v>97</v>
      </c>
      <c r="B71" s="103">
        <f>B45+B29</f>
        <v>4942993.813000001</v>
      </c>
      <c r="C71" s="103">
        <f>+C29+C45</f>
        <v>5817180.0350000001</v>
      </c>
      <c r="D71" s="104">
        <f t="shared" si="18"/>
        <v>17.7</v>
      </c>
      <c r="E71" s="409">
        <f t="shared" si="19"/>
        <v>20.729784556414074</v>
      </c>
      <c r="F71" s="103"/>
      <c r="G71" s="176">
        <f>+G29+G45</f>
        <v>281159318.648</v>
      </c>
      <c r="H71" s="176">
        <f>+H29+H45</f>
        <v>287424332.58300006</v>
      </c>
      <c r="I71" s="104">
        <f t="shared" si="20"/>
        <v>2.2000000000000002</v>
      </c>
      <c r="J71" s="409">
        <f t="shared" si="21"/>
        <v>20.566934672275458</v>
      </c>
      <c r="K71" s="139"/>
      <c r="L71" s="223">
        <f ca="1">L30</f>
        <v>0</v>
      </c>
      <c r="M71" s="221">
        <f t="shared" ref="M71:O72" ca="1" si="29">+M30</f>
        <v>0</v>
      </c>
      <c r="N71" s="223">
        <f t="shared" ca="1" si="29"/>
        <v>0</v>
      </c>
      <c r="O71" s="221">
        <f t="shared" ca="1" si="29"/>
        <v>0</v>
      </c>
      <c r="P71" s="207"/>
      <c r="Q71" s="207"/>
      <c r="R71" s="207"/>
      <c r="S71" s="182"/>
      <c r="T71" s="139"/>
    </row>
    <row r="72" spans="1:240" ht="18.75" customHeight="1" x14ac:dyDescent="0.3">
      <c r="A72" s="86" t="s">
        <v>98</v>
      </c>
      <c r="B72" s="103">
        <f>B30</f>
        <v>0</v>
      </c>
      <c r="C72" s="103">
        <f>+C30</f>
        <v>0</v>
      </c>
      <c r="D72" s="104" t="str">
        <f t="shared" si="18"/>
        <v xml:space="preserve">    ---- </v>
      </c>
      <c r="E72" s="409">
        <f t="shared" si="19"/>
        <v>0</v>
      </c>
      <c r="F72" s="103"/>
      <c r="G72" s="176">
        <f>+G30</f>
        <v>0</v>
      </c>
      <c r="H72" s="176">
        <f>+H30</f>
        <v>0</v>
      </c>
      <c r="I72" s="104" t="str">
        <f t="shared" si="20"/>
        <v xml:space="preserve">    ---- </v>
      </c>
      <c r="J72" s="409">
        <f t="shared" si="21"/>
        <v>0</v>
      </c>
      <c r="K72" s="139"/>
      <c r="L72" s="223">
        <f ca="1">L31</f>
        <v>0</v>
      </c>
      <c r="M72" s="221">
        <f t="shared" ca="1" si="29"/>
        <v>0</v>
      </c>
      <c r="N72" s="223">
        <f t="shared" ca="1" si="29"/>
        <v>0</v>
      </c>
      <c r="O72" s="221">
        <f t="shared" ca="1" si="29"/>
        <v>0</v>
      </c>
      <c r="P72" s="207"/>
      <c r="Q72" s="207"/>
      <c r="R72" s="207"/>
      <c r="S72" s="182"/>
      <c r="T72" s="139"/>
    </row>
    <row r="73" spans="1:240" s="111" customFormat="1" ht="18.75" customHeight="1" x14ac:dyDescent="0.3">
      <c r="A73" s="86" t="s">
        <v>99</v>
      </c>
      <c r="B73" s="103">
        <f>B31</f>
        <v>497838</v>
      </c>
      <c r="C73" s="103">
        <f>+C31</f>
        <v>510830.81199999998</v>
      </c>
      <c r="D73" s="104">
        <f t="shared" si="18"/>
        <v>2.6</v>
      </c>
      <c r="E73" s="409">
        <f t="shared" si="19"/>
        <v>1.8203687377432287</v>
      </c>
      <c r="F73" s="103"/>
      <c r="G73" s="176">
        <f>+G31</f>
        <v>0</v>
      </c>
      <c r="H73" s="176">
        <f>+H31</f>
        <v>0</v>
      </c>
      <c r="I73" s="104" t="str">
        <f t="shared" si="20"/>
        <v xml:space="preserve">    ---- </v>
      </c>
      <c r="J73" s="409">
        <f t="shared" si="21"/>
        <v>0</v>
      </c>
      <c r="K73" s="179"/>
      <c r="L73" s="229" t="e">
        <f ca="1">SUM(L49:L72)</f>
        <v>#REF!</v>
      </c>
      <c r="M73" s="230" t="e">
        <f ca="1">SUM(M49:M72)</f>
        <v>#REF!</v>
      </c>
      <c r="N73" s="229" t="e">
        <f ca="1">SUM(N49:N72)</f>
        <v>#REF!</v>
      </c>
      <c r="O73" s="230" t="e">
        <f ca="1">SUM(O49:O72)</f>
        <v>#REF!</v>
      </c>
      <c r="P73" s="209"/>
      <c r="Q73" s="209"/>
      <c r="R73" s="209"/>
      <c r="S73" s="138"/>
      <c r="T73" s="179"/>
    </row>
    <row r="74" spans="1:240" ht="18.75" customHeight="1" x14ac:dyDescent="0.3">
      <c r="A74" s="113" t="s">
        <v>2</v>
      </c>
      <c r="B74" s="114">
        <f>SUM(B50:B73)</f>
        <v>26933644.410234347</v>
      </c>
      <c r="C74" s="114">
        <f>SUM(C50:C73)</f>
        <v>28061941.595047045</v>
      </c>
      <c r="D74" s="115">
        <f>IF(B74=0, "    ---- ", IF(ABS(ROUND(100/B74*C74-100,1))&lt;999,ROUND(100/B74*C74-100,1),IF(ROUND(100/B74*C74-100,1)&gt;999,999,-999)))</f>
        <v>4.2</v>
      </c>
      <c r="E74" s="412">
        <f>SUM(E50:E73)</f>
        <v>99.999999999999972</v>
      </c>
      <c r="F74" s="109"/>
      <c r="G74" s="181">
        <f>SUM(G50:G73)</f>
        <v>1354270962.9941733</v>
      </c>
      <c r="H74" s="181">
        <f>SUM(H50:H73)</f>
        <v>1397506906.9016514</v>
      </c>
      <c r="I74" s="115">
        <f>IF(G74=0, "    ---- ", IF(ABS(ROUND(100/G74*H74-100,1))&lt;999,ROUND(100/G74*H74-100,1),IF(ROUND(100/G74*H74-100,1)&gt;999,999,-999)))</f>
        <v>3.2</v>
      </c>
      <c r="J74" s="412">
        <f>SUM(J50:J73)</f>
        <v>100.00000000000003</v>
      </c>
      <c r="K74" s="112"/>
      <c r="L74" s="186"/>
      <c r="M74" s="186"/>
      <c r="N74" s="186"/>
      <c r="O74" s="186"/>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c r="FE74" s="112"/>
      <c r="FF74" s="112"/>
      <c r="FG74" s="112"/>
      <c r="FH74" s="112"/>
      <c r="FI74" s="112"/>
      <c r="FJ74" s="112"/>
      <c r="FK74" s="112"/>
      <c r="FL74" s="112"/>
      <c r="FM74" s="112"/>
      <c r="FN74" s="112"/>
      <c r="FO74" s="112"/>
      <c r="FP74" s="112"/>
      <c r="FQ74" s="112"/>
      <c r="FR74" s="112"/>
      <c r="FS74" s="112"/>
      <c r="FT74" s="112"/>
      <c r="FU74" s="112"/>
      <c r="FV74" s="112"/>
      <c r="FW74" s="112"/>
      <c r="FX74" s="112"/>
      <c r="FY74" s="112"/>
      <c r="FZ74" s="112"/>
      <c r="GA74" s="112"/>
      <c r="GB74" s="112"/>
      <c r="GC74" s="112"/>
      <c r="GD74" s="112"/>
      <c r="GE74" s="112"/>
      <c r="GF74" s="112"/>
      <c r="GG74" s="112"/>
      <c r="GH74" s="112"/>
      <c r="GI74" s="112"/>
      <c r="GJ74" s="112"/>
      <c r="GK74" s="112"/>
      <c r="GL74" s="112"/>
      <c r="GM74" s="112"/>
      <c r="GN74" s="112"/>
      <c r="GO74" s="112"/>
      <c r="GP74" s="112"/>
      <c r="GQ74" s="112"/>
      <c r="GR74" s="112"/>
      <c r="GS74" s="112"/>
      <c r="GT74" s="112"/>
      <c r="GU74" s="112"/>
      <c r="GV74" s="112"/>
      <c r="GW74" s="112"/>
      <c r="GX74" s="112"/>
      <c r="GY74" s="112"/>
      <c r="GZ74" s="112"/>
      <c r="HA74" s="112"/>
      <c r="HB74" s="112"/>
      <c r="HC74" s="112"/>
      <c r="HD74" s="112"/>
      <c r="HE74" s="112"/>
      <c r="HF74" s="112"/>
      <c r="HG74" s="112"/>
      <c r="HH74" s="112"/>
      <c r="HI74" s="112"/>
      <c r="HJ74" s="112"/>
      <c r="HK74" s="112"/>
      <c r="HL74" s="112"/>
      <c r="HM74" s="112"/>
      <c r="HN74" s="112"/>
      <c r="HO74" s="112"/>
      <c r="HP74" s="112"/>
      <c r="HQ74" s="112"/>
      <c r="HR74" s="112"/>
      <c r="HS74" s="112"/>
      <c r="HT74" s="112"/>
      <c r="HU74" s="112"/>
      <c r="HV74" s="112"/>
      <c r="HW74" s="112"/>
      <c r="HX74" s="112"/>
      <c r="HY74" s="112"/>
      <c r="HZ74" s="112"/>
      <c r="IA74" s="112"/>
      <c r="IB74" s="112"/>
      <c r="IC74" s="112"/>
      <c r="ID74" s="112"/>
      <c r="IE74" s="112"/>
      <c r="IF74" s="112"/>
    </row>
    <row r="75" spans="1:240" ht="18.75" customHeight="1" x14ac:dyDescent="0.3">
      <c r="A75" s="112" t="s">
        <v>103</v>
      </c>
      <c r="B75" s="112"/>
      <c r="C75" s="112"/>
      <c r="D75" s="112"/>
      <c r="E75" s="112"/>
      <c r="F75" s="112"/>
      <c r="G75" s="112"/>
      <c r="H75" s="112"/>
      <c r="I75" s="112"/>
      <c r="J75" s="112"/>
      <c r="K75" s="74"/>
    </row>
    <row r="76" spans="1:240" ht="18.75" customHeight="1" x14ac:dyDescent="0.3">
      <c r="A76" s="74"/>
      <c r="B76" s="74"/>
      <c r="C76" s="74"/>
      <c r="D76" s="74"/>
      <c r="E76" s="74"/>
      <c r="F76" s="74"/>
      <c r="G76" s="74"/>
      <c r="H76" s="74"/>
      <c r="I76" s="74"/>
      <c r="J76" s="74"/>
      <c r="K76" s="74"/>
    </row>
    <row r="77" spans="1:240" ht="18.75" customHeight="1" x14ac:dyDescent="0.3">
      <c r="A77" s="74"/>
      <c r="B77" s="74"/>
      <c r="C77" s="74"/>
      <c r="D77" s="74"/>
      <c r="E77" s="74"/>
      <c r="F77" s="74"/>
      <c r="G77" s="74"/>
      <c r="H77" s="74"/>
      <c r="I77" s="74"/>
      <c r="J77" s="74"/>
      <c r="K77" s="74"/>
    </row>
    <row r="78" spans="1:240" ht="18.75" customHeight="1" x14ac:dyDescent="0.3">
      <c r="A78" s="74"/>
      <c r="B78" s="77"/>
      <c r="C78" s="77"/>
      <c r="D78" s="74"/>
      <c r="E78" s="74"/>
      <c r="F78" s="74"/>
      <c r="G78" s="77"/>
      <c r="H78" s="77"/>
      <c r="I78" s="74"/>
      <c r="J78" s="74"/>
      <c r="K78" s="74"/>
    </row>
    <row r="79" spans="1:240" ht="18.75" customHeight="1" x14ac:dyDescent="0.3">
      <c r="A79" s="74"/>
      <c r="B79" s="74"/>
      <c r="C79" s="74"/>
      <c r="D79" s="74"/>
      <c r="E79" s="74"/>
      <c r="F79" s="74"/>
      <c r="G79" s="74"/>
      <c r="H79" s="74"/>
      <c r="I79" s="74"/>
      <c r="J79" s="74"/>
      <c r="K79" s="74"/>
    </row>
    <row r="80" spans="1:240" ht="18.75" customHeight="1" x14ac:dyDescent="0.3">
      <c r="A80" s="74"/>
      <c r="B80" s="74"/>
      <c r="C80" s="74"/>
      <c r="D80" s="74"/>
      <c r="E80" s="74"/>
      <c r="F80" s="74"/>
      <c r="G80" s="74"/>
      <c r="H80" s="74"/>
      <c r="I80" s="74"/>
      <c r="J80" s="74"/>
      <c r="K80" s="74"/>
    </row>
    <row r="81" spans="1:11" ht="18.75" customHeight="1" x14ac:dyDescent="0.3">
      <c r="A81" s="74"/>
      <c r="B81" s="74"/>
      <c r="C81" s="74"/>
      <c r="D81" s="74"/>
      <c r="E81" s="74"/>
      <c r="F81" s="74"/>
      <c r="G81" s="74"/>
      <c r="H81" s="74"/>
      <c r="I81" s="74"/>
      <c r="J81" s="74"/>
      <c r="K81" s="74"/>
    </row>
    <row r="82" spans="1:11" ht="18.75" x14ac:dyDescent="0.3">
      <c r="A82" s="74"/>
      <c r="B82" s="74"/>
      <c r="C82" s="74"/>
      <c r="D82" s="74"/>
      <c r="E82" s="74"/>
      <c r="F82" s="74"/>
      <c r="G82" s="74"/>
      <c r="H82" s="74"/>
      <c r="I82" s="74"/>
      <c r="J82" s="74"/>
      <c r="K82" s="74"/>
    </row>
    <row r="83" spans="1:11" ht="18.75" x14ac:dyDescent="0.3">
      <c r="A83" s="74"/>
      <c r="B83" s="74"/>
      <c r="C83" s="74"/>
      <c r="D83" s="74"/>
      <c r="E83" s="74"/>
      <c r="F83" s="74"/>
      <c r="G83" s="74"/>
      <c r="H83" s="74"/>
      <c r="I83" s="74"/>
      <c r="J83" s="74"/>
      <c r="K83" s="74"/>
    </row>
    <row r="84" spans="1:11" ht="18.75" x14ac:dyDescent="0.3">
      <c r="A84" s="74"/>
      <c r="B84" s="74"/>
      <c r="C84" s="74"/>
      <c r="D84" s="74"/>
      <c r="E84" s="74"/>
      <c r="F84" s="74"/>
      <c r="G84" s="74"/>
      <c r="H84" s="74"/>
      <c r="I84" s="74"/>
      <c r="J84" s="74"/>
      <c r="K84" s="74"/>
    </row>
    <row r="85" spans="1:11" ht="18.75" x14ac:dyDescent="0.3">
      <c r="A85" s="74"/>
      <c r="B85" s="74"/>
      <c r="C85" s="74"/>
      <c r="D85" s="74"/>
      <c r="E85" s="74"/>
      <c r="F85" s="74"/>
      <c r="G85" s="74"/>
      <c r="H85" s="74"/>
      <c r="I85" s="74"/>
      <c r="J85" s="74"/>
      <c r="K85" s="74"/>
    </row>
    <row r="86" spans="1:11" ht="18.75" x14ac:dyDescent="0.3">
      <c r="A86" s="74"/>
      <c r="B86" s="74"/>
      <c r="C86" s="74"/>
      <c r="D86" s="74"/>
      <c r="E86" s="74"/>
      <c r="F86" s="74"/>
      <c r="G86" s="74"/>
      <c r="H86" s="74"/>
      <c r="I86" s="74"/>
      <c r="J86" s="74"/>
      <c r="K86" s="74"/>
    </row>
    <row r="87" spans="1:11" ht="18.75" x14ac:dyDescent="0.3">
      <c r="A87" s="74"/>
      <c r="B87" s="74"/>
      <c r="C87" s="74"/>
      <c r="D87" s="74"/>
      <c r="E87" s="74"/>
      <c r="F87" s="74"/>
      <c r="G87" s="74"/>
      <c r="H87" s="74"/>
      <c r="I87" s="74"/>
      <c r="J87" s="74"/>
      <c r="K87" s="74"/>
    </row>
    <row r="88" spans="1:11" ht="18.75" x14ac:dyDescent="0.3">
      <c r="A88" s="74"/>
      <c r="B88" s="74"/>
      <c r="C88" s="74"/>
      <c r="D88" s="74"/>
      <c r="E88" s="74"/>
      <c r="F88" s="74"/>
      <c r="G88" s="74"/>
      <c r="H88" s="74"/>
      <c r="I88" s="74"/>
      <c r="J88" s="74"/>
      <c r="K88" s="74"/>
    </row>
    <row r="89" spans="1:11" ht="18.75" x14ac:dyDescent="0.3">
      <c r="A89" s="74"/>
      <c r="B89" s="74"/>
      <c r="C89" s="74"/>
      <c r="D89" s="74"/>
      <c r="E89" s="74"/>
      <c r="F89" s="74"/>
      <c r="G89" s="74"/>
      <c r="H89" s="74"/>
      <c r="I89" s="74"/>
      <c r="J89" s="74"/>
      <c r="K89" s="74"/>
    </row>
    <row r="90" spans="1:11" ht="18.75" x14ac:dyDescent="0.3">
      <c r="A90" s="74"/>
      <c r="B90" s="74"/>
      <c r="C90" s="74"/>
      <c r="D90" s="74"/>
      <c r="E90" s="74"/>
      <c r="F90" s="74"/>
      <c r="G90" s="74"/>
      <c r="H90" s="74"/>
      <c r="I90" s="74"/>
      <c r="J90" s="74"/>
      <c r="K90" s="74"/>
    </row>
    <row r="91" spans="1:11" ht="18.75" x14ac:dyDescent="0.3">
      <c r="A91" s="74"/>
      <c r="B91" s="74"/>
      <c r="C91" s="74"/>
      <c r="D91" s="74"/>
      <c r="E91" s="74"/>
      <c r="F91" s="74"/>
      <c r="G91" s="74"/>
      <c r="H91" s="74"/>
      <c r="I91" s="74"/>
      <c r="J91" s="74"/>
      <c r="K91" s="74"/>
    </row>
    <row r="92" spans="1:11" ht="18.75" x14ac:dyDescent="0.3">
      <c r="A92" s="74"/>
      <c r="B92" s="74"/>
      <c r="C92" s="74"/>
      <c r="D92" s="74"/>
      <c r="E92" s="74"/>
      <c r="F92" s="74"/>
      <c r="G92" s="74"/>
      <c r="H92" s="74"/>
      <c r="I92" s="74"/>
      <c r="J92" s="74"/>
      <c r="K92" s="74"/>
    </row>
    <row r="93" spans="1:11" ht="18.75" x14ac:dyDescent="0.3">
      <c r="A93" s="74"/>
      <c r="B93" s="74"/>
      <c r="C93" s="74"/>
      <c r="D93" s="74"/>
      <c r="E93" s="74"/>
      <c r="F93" s="74"/>
      <c r="G93" s="74"/>
      <c r="H93" s="74"/>
      <c r="I93" s="74"/>
      <c r="J93" s="74"/>
      <c r="K93" s="74"/>
    </row>
    <row r="94" spans="1:11" ht="18.75" x14ac:dyDescent="0.3">
      <c r="A94" s="74"/>
      <c r="B94" s="74"/>
      <c r="C94" s="74"/>
      <c r="D94" s="74"/>
      <c r="E94" s="74"/>
      <c r="F94" s="74"/>
      <c r="G94" s="74"/>
      <c r="H94" s="74"/>
      <c r="I94" s="74"/>
      <c r="J94" s="74"/>
      <c r="K94" s="74"/>
    </row>
    <row r="95" spans="1:11" ht="18.75" x14ac:dyDescent="0.3">
      <c r="A95" s="74"/>
      <c r="B95" s="74"/>
      <c r="C95" s="74"/>
      <c r="D95" s="74"/>
      <c r="E95" s="74"/>
      <c r="F95" s="74"/>
      <c r="G95" s="74"/>
      <c r="H95" s="74"/>
      <c r="I95" s="74"/>
      <c r="J95" s="74"/>
      <c r="K95" s="74"/>
    </row>
    <row r="96" spans="1:11" ht="18.75" x14ac:dyDescent="0.3">
      <c r="A96" s="74"/>
      <c r="B96" s="74"/>
      <c r="C96" s="74"/>
      <c r="D96" s="74"/>
      <c r="E96" s="74"/>
      <c r="F96" s="74"/>
      <c r="G96" s="74"/>
      <c r="H96" s="74"/>
      <c r="I96" s="74"/>
      <c r="J96" s="74"/>
      <c r="K96" s="74"/>
    </row>
    <row r="97" spans="1:11" ht="18.75" x14ac:dyDescent="0.3">
      <c r="A97" s="74"/>
      <c r="B97" s="74"/>
      <c r="C97" s="74"/>
      <c r="D97" s="74"/>
      <c r="E97" s="74"/>
      <c r="F97" s="74"/>
      <c r="G97" s="74"/>
      <c r="H97" s="74"/>
      <c r="I97" s="74"/>
      <c r="J97" s="74"/>
      <c r="K97" s="74"/>
    </row>
    <row r="98" spans="1:11" ht="18.75" x14ac:dyDescent="0.3">
      <c r="A98" s="74"/>
      <c r="B98" s="74"/>
      <c r="C98" s="74"/>
      <c r="D98" s="74"/>
      <c r="E98" s="74"/>
      <c r="F98" s="74"/>
      <c r="G98" s="74"/>
      <c r="H98" s="74"/>
      <c r="I98" s="74"/>
      <c r="J98" s="74"/>
      <c r="K98" s="74"/>
    </row>
    <row r="99" spans="1:11" ht="18.75" x14ac:dyDescent="0.3">
      <c r="A99" s="74"/>
      <c r="B99" s="74"/>
      <c r="C99" s="74"/>
      <c r="D99" s="74"/>
      <c r="E99" s="74"/>
      <c r="F99" s="74"/>
      <c r="G99" s="74"/>
      <c r="H99" s="74"/>
      <c r="I99" s="74"/>
      <c r="J99" s="74"/>
      <c r="K99" s="112"/>
    </row>
    <row r="100" spans="1:11" ht="18.75" x14ac:dyDescent="0.3">
      <c r="A100" s="112"/>
      <c r="B100" s="112"/>
      <c r="C100" s="112"/>
      <c r="D100" s="112"/>
      <c r="E100" s="112"/>
      <c r="F100" s="112"/>
      <c r="G100" s="112"/>
      <c r="H100" s="112"/>
      <c r="I100" s="112"/>
      <c r="J100" s="112"/>
      <c r="K100" s="75"/>
    </row>
    <row r="101" spans="1:11" ht="18.75" x14ac:dyDescent="0.3">
      <c r="A101" s="116"/>
      <c r="B101" s="117"/>
      <c r="C101" s="117"/>
      <c r="D101" s="117"/>
      <c r="E101" s="74"/>
      <c r="F101" s="74"/>
      <c r="G101" s="74"/>
      <c r="H101" s="74"/>
      <c r="I101" s="74"/>
      <c r="J101" s="75"/>
      <c r="K101" s="74"/>
    </row>
    <row r="102" spans="1:11" ht="18.75" x14ac:dyDescent="0.3">
      <c r="A102" s="74"/>
      <c r="B102" s="74"/>
      <c r="C102" s="74"/>
      <c r="D102" s="74"/>
      <c r="E102" s="74"/>
      <c r="F102" s="74"/>
      <c r="G102" s="74"/>
      <c r="H102" s="74"/>
      <c r="I102" s="74"/>
      <c r="J102" s="74"/>
      <c r="K102" s="74"/>
    </row>
    <row r="103" spans="1:11" ht="18.75" x14ac:dyDescent="0.3">
      <c r="A103" s="74"/>
      <c r="B103" s="74"/>
      <c r="C103" s="74"/>
      <c r="D103" s="74"/>
      <c r="E103" s="74"/>
      <c r="F103" s="74"/>
      <c r="G103" s="74"/>
      <c r="H103" s="74"/>
      <c r="I103" s="74"/>
      <c r="J103" s="74"/>
      <c r="K103" s="74"/>
    </row>
    <row r="104" spans="1:11" ht="18.75" x14ac:dyDescent="0.3">
      <c r="A104" s="74"/>
      <c r="B104" s="74"/>
      <c r="C104" s="74"/>
      <c r="D104" s="74"/>
      <c r="E104" s="74"/>
      <c r="F104" s="74"/>
      <c r="G104" s="74"/>
      <c r="H104" s="74"/>
      <c r="I104" s="74"/>
      <c r="J104" s="74"/>
      <c r="K104" s="74"/>
    </row>
    <row r="105" spans="1:11" ht="18.75" x14ac:dyDescent="0.3">
      <c r="A105" s="74"/>
      <c r="B105" s="74"/>
      <c r="C105" s="74"/>
      <c r="D105" s="74"/>
      <c r="E105" s="74"/>
      <c r="F105" s="74"/>
      <c r="G105" s="74"/>
      <c r="H105" s="74"/>
      <c r="I105" s="74"/>
      <c r="J105" s="74"/>
      <c r="K105" s="74"/>
    </row>
    <row r="106" spans="1:11" ht="18.75" x14ac:dyDescent="0.3">
      <c r="A106" s="74"/>
      <c r="B106" s="74"/>
      <c r="C106" s="74"/>
      <c r="D106" s="74"/>
      <c r="E106" s="74"/>
      <c r="F106" s="74"/>
      <c r="G106" s="74"/>
      <c r="H106" s="74"/>
      <c r="I106" s="74"/>
      <c r="J106" s="74"/>
      <c r="K106" s="74"/>
    </row>
    <row r="107" spans="1:11" ht="18.75" x14ac:dyDescent="0.3">
      <c r="A107" s="74"/>
      <c r="B107" s="74"/>
      <c r="C107" s="74"/>
      <c r="D107" s="74"/>
      <c r="E107" s="74"/>
      <c r="F107" s="74"/>
      <c r="G107" s="74"/>
      <c r="H107" s="74"/>
      <c r="I107" s="74"/>
      <c r="J107" s="74"/>
      <c r="K107" s="74"/>
    </row>
    <row r="108" spans="1:11" ht="18.75" x14ac:dyDescent="0.3">
      <c r="A108" s="74"/>
      <c r="B108" s="74"/>
      <c r="C108" s="74"/>
      <c r="D108" s="74"/>
      <c r="E108" s="74"/>
      <c r="F108" s="74"/>
      <c r="G108" s="74"/>
      <c r="H108" s="74"/>
      <c r="I108" s="74"/>
      <c r="J108" s="74"/>
      <c r="K108" s="74"/>
    </row>
    <row r="109" spans="1:11" ht="18.75" x14ac:dyDescent="0.3">
      <c r="A109" s="74"/>
      <c r="B109" s="74"/>
      <c r="C109" s="74"/>
      <c r="D109" s="74"/>
      <c r="E109" s="74"/>
      <c r="F109" s="74"/>
      <c r="G109" s="74"/>
      <c r="H109" s="74"/>
      <c r="I109" s="74"/>
      <c r="J109" s="74"/>
      <c r="K109" s="74"/>
    </row>
    <row r="110" spans="1:11" ht="18.75" x14ac:dyDescent="0.3">
      <c r="A110" s="74"/>
      <c r="B110" s="74"/>
      <c r="C110" s="74"/>
      <c r="D110" s="74"/>
      <c r="E110" s="74"/>
      <c r="F110" s="74"/>
      <c r="G110" s="74"/>
      <c r="H110" s="74"/>
      <c r="I110" s="74"/>
      <c r="J110" s="74"/>
      <c r="K110" s="74"/>
    </row>
    <row r="111" spans="1:11" ht="18.75" x14ac:dyDescent="0.3">
      <c r="A111" s="74"/>
      <c r="B111" s="74"/>
      <c r="C111" s="74"/>
      <c r="D111" s="74"/>
      <c r="E111" s="74"/>
      <c r="F111" s="74"/>
      <c r="G111" s="74"/>
      <c r="H111" s="74"/>
      <c r="I111" s="74"/>
      <c r="J111" s="74"/>
      <c r="K111" s="74"/>
    </row>
    <row r="112" spans="1:11" ht="18.75" x14ac:dyDescent="0.3">
      <c r="A112" s="74"/>
      <c r="B112" s="74"/>
      <c r="C112" s="74"/>
      <c r="D112" s="74"/>
      <c r="E112" s="74"/>
      <c r="F112" s="74"/>
      <c r="G112" s="74"/>
      <c r="H112" s="74"/>
      <c r="I112" s="74"/>
      <c r="J112" s="74"/>
      <c r="K112" s="74"/>
    </row>
    <row r="113" spans="1:10" ht="18.75" x14ac:dyDescent="0.3">
      <c r="A113" s="74"/>
      <c r="B113" s="74"/>
      <c r="C113" s="74"/>
      <c r="D113" s="74"/>
      <c r="E113" s="74"/>
      <c r="F113" s="74"/>
      <c r="G113" s="74"/>
      <c r="H113" s="74"/>
      <c r="I113" s="74"/>
      <c r="J113" s="74"/>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W115"/>
  <sheetViews>
    <sheetView showGridLines="0" showZeros="0" zoomScale="70" zoomScaleNormal="70" workbookViewId="0">
      <pane xSplit="1" ySplit="7" topLeftCell="B8" activePane="bottomRight" state="frozen"/>
      <selection pane="topRight" activeCell="B1" sqref="B1"/>
      <selection pane="bottomLeft" activeCell="A8" sqref="A8"/>
      <selection pane="bottomRight" activeCell="A4" sqref="A4"/>
    </sheetView>
  </sheetViews>
  <sheetFormatPr baseColWidth="10" defaultColWidth="11.42578125" defaultRowHeight="18" x14ac:dyDescent="0.25"/>
  <cols>
    <col min="1" max="1" width="51" style="81" customWidth="1"/>
    <col min="2" max="3" width="17.85546875" style="81" bestFit="1" customWidth="1"/>
    <col min="4" max="4" width="9.28515625" style="81" bestFit="1" customWidth="1"/>
    <col min="5" max="5" width="4.7109375" style="81" customWidth="1"/>
    <col min="6" max="7" width="16.7109375" style="81" customWidth="1"/>
    <col min="8" max="8" width="9.28515625" style="81" bestFit="1" customWidth="1"/>
    <col min="9" max="9" width="4.7109375" style="81" customWidth="1"/>
    <col min="10" max="10" width="18.85546875" style="81" customWidth="1"/>
    <col min="11" max="11" width="18" style="81" bestFit="1" customWidth="1"/>
    <col min="12" max="12" width="9.28515625" style="81" bestFit="1" customWidth="1"/>
    <col min="13" max="13" width="11.42578125" style="81"/>
    <col min="14" max="15" width="17.140625" style="81" bestFit="1" customWidth="1"/>
    <col min="16" max="16384" width="11.42578125" style="81"/>
  </cols>
  <sheetData>
    <row r="1" spans="1:13" ht="20.25" x14ac:dyDescent="0.3">
      <c r="A1" s="80" t="s">
        <v>77</v>
      </c>
      <c r="B1" s="73" t="s">
        <v>52</v>
      </c>
      <c r="C1" s="74"/>
      <c r="D1" s="74"/>
      <c r="E1" s="74"/>
      <c r="F1" s="74"/>
      <c r="G1" s="74"/>
      <c r="H1" s="74"/>
      <c r="I1" s="74"/>
      <c r="J1" s="74"/>
      <c r="K1" s="74"/>
      <c r="L1" s="74"/>
      <c r="M1" s="74"/>
    </row>
    <row r="2" spans="1:13" ht="20.25" x14ac:dyDescent="0.3">
      <c r="A2" s="80" t="s">
        <v>104</v>
      </c>
      <c r="B2" s="73"/>
      <c r="C2" s="74"/>
      <c r="D2" s="74"/>
      <c r="E2" s="74"/>
      <c r="F2" s="74"/>
      <c r="G2" s="74"/>
      <c r="H2" s="74"/>
      <c r="I2" s="74"/>
      <c r="J2" s="74"/>
      <c r="K2" s="74"/>
      <c r="L2" s="74"/>
      <c r="M2" s="74"/>
    </row>
    <row r="3" spans="1:13" ht="18.75" x14ac:dyDescent="0.3">
      <c r="A3" s="75" t="s">
        <v>105</v>
      </c>
      <c r="B3" s="74"/>
      <c r="C3" s="74"/>
      <c r="D3" s="74"/>
      <c r="E3" s="74"/>
      <c r="F3" s="74"/>
      <c r="G3" s="74"/>
      <c r="H3" s="74"/>
      <c r="I3" s="74"/>
      <c r="J3" s="74"/>
      <c r="K3" s="74"/>
      <c r="L3" s="74"/>
      <c r="M3" s="74"/>
    </row>
    <row r="4" spans="1:13" ht="18.75" x14ac:dyDescent="0.3">
      <c r="A4" s="82" t="s">
        <v>410</v>
      </c>
      <c r="B4" s="102"/>
      <c r="C4" s="118"/>
      <c r="D4" s="119"/>
      <c r="E4" s="112"/>
      <c r="F4" s="83"/>
      <c r="G4" s="84"/>
      <c r="H4" s="85"/>
      <c r="I4" s="112"/>
      <c r="J4" s="83"/>
      <c r="K4" s="84"/>
      <c r="L4" s="85"/>
      <c r="M4" s="74"/>
    </row>
    <row r="5" spans="1:13" ht="18.75" x14ac:dyDescent="0.3">
      <c r="A5" s="120"/>
      <c r="B5" s="708" t="s">
        <v>0</v>
      </c>
      <c r="C5" s="709"/>
      <c r="D5" s="710"/>
      <c r="E5" s="89"/>
      <c r="F5" s="708" t="s">
        <v>1</v>
      </c>
      <c r="G5" s="709"/>
      <c r="H5" s="710"/>
      <c r="I5" s="121"/>
      <c r="J5" s="708" t="s">
        <v>106</v>
      </c>
      <c r="K5" s="709"/>
      <c r="L5" s="710"/>
      <c r="M5" s="74"/>
    </row>
    <row r="6" spans="1:13" ht="18.75" x14ac:dyDescent="0.3">
      <c r="A6" s="122"/>
      <c r="B6" s="123"/>
      <c r="C6" s="124"/>
      <c r="D6" s="94" t="s">
        <v>107</v>
      </c>
      <c r="E6" s="100"/>
      <c r="F6" s="123"/>
      <c r="G6" s="124"/>
      <c r="H6" s="94" t="s">
        <v>107</v>
      </c>
      <c r="I6" s="125"/>
      <c r="J6" s="123"/>
      <c r="K6" s="124"/>
      <c r="L6" s="94" t="s">
        <v>107</v>
      </c>
      <c r="M6" s="74"/>
    </row>
    <row r="7" spans="1:13" ht="18.75" x14ac:dyDescent="0.3">
      <c r="A7" s="126" t="s">
        <v>108</v>
      </c>
      <c r="B7" s="127">
        <v>2019</v>
      </c>
      <c r="C7" s="185">
        <v>2020</v>
      </c>
      <c r="D7" s="99" t="s">
        <v>83</v>
      </c>
      <c r="E7" s="100"/>
      <c r="F7" s="97">
        <v>2019</v>
      </c>
      <c r="G7" s="127">
        <v>2020</v>
      </c>
      <c r="H7" s="99" t="s">
        <v>83</v>
      </c>
      <c r="I7" s="128"/>
      <c r="J7" s="184">
        <v>2019</v>
      </c>
      <c r="K7" s="185">
        <v>2020</v>
      </c>
      <c r="L7" s="99" t="s">
        <v>83</v>
      </c>
      <c r="M7" s="74"/>
    </row>
    <row r="8" spans="1:13" ht="22.5" x14ac:dyDescent="0.3">
      <c r="A8" s="192" t="s">
        <v>109</v>
      </c>
      <c r="B8" s="232"/>
      <c r="C8" s="201"/>
      <c r="D8" s="201"/>
      <c r="E8" s="182"/>
      <c r="F8" s="201"/>
      <c r="G8" s="201"/>
      <c r="H8" s="201"/>
      <c r="I8" s="202"/>
      <c r="J8" s="201"/>
      <c r="K8" s="201"/>
      <c r="L8" s="201"/>
      <c r="M8" s="74"/>
    </row>
    <row r="9" spans="1:13" ht="18.75" x14ac:dyDescent="0.3">
      <c r="A9" s="193" t="s">
        <v>110</v>
      </c>
      <c r="B9" s="104">
        <f>'Skjema total MA'!B7</f>
        <v>1597772.8419394668</v>
      </c>
      <c r="C9" s="104">
        <f>'Skjema total MA'!C7</f>
        <v>1554514.9184598648</v>
      </c>
      <c r="D9" s="233">
        <f>IF(B9=0, "    ---- ", IF(ABS(ROUND(100/B9*C9-100,1))&lt;999,ROUND(100/B9*C9-100,1),IF(ROUND(100/B9*C9-100,1)&gt;999,999,-999)))</f>
        <v>-2.7</v>
      </c>
      <c r="E9" s="182"/>
      <c r="F9" s="196">
        <f>'Skjema total MA'!E7</f>
        <v>2690409.6018500002</v>
      </c>
      <c r="G9" s="196">
        <f>'Skjema total MA'!F7</f>
        <v>2532534.1483199997</v>
      </c>
      <c r="H9" s="233">
        <f>IF(F9=0, "    ---- ", IF(ABS(ROUND(100/F9*G9-100,1))&lt;999,ROUND(100/F9*G9-100,1),IF(ROUND(100/F9*G9-100,1)&gt;999,999,-999)))</f>
        <v>-5.9</v>
      </c>
      <c r="I9" s="182"/>
      <c r="J9" s="196">
        <f t="shared" ref="J9:K60" si="0">SUM(B9+F9)</f>
        <v>4288182.4437894672</v>
      </c>
      <c r="K9" s="196">
        <f t="shared" si="0"/>
        <v>4087049.0667798645</v>
      </c>
      <c r="L9" s="231">
        <f>IF(J9=0, "    ---- ", IF(ABS(ROUND(100/J9*K9-100,1))&lt;999,ROUND(100/J9*K9-100,1),IF(ROUND(100/J9*K9-100,1)&gt;999,999,-999)))</f>
        <v>-4.7</v>
      </c>
      <c r="M9" s="74"/>
    </row>
    <row r="10" spans="1:13" ht="18.75" x14ac:dyDescent="0.3">
      <c r="A10" s="193" t="s">
        <v>111</v>
      </c>
      <c r="B10" s="104">
        <f>'Skjema total MA'!B22</f>
        <v>689346.93827549648</v>
      </c>
      <c r="C10" s="104">
        <f>'Skjema total MA'!C22</f>
        <v>694478.98208007566</v>
      </c>
      <c r="D10" s="233">
        <f t="shared" ref="D10:D17" si="1">IF(B10=0, "    ---- ", IF(ABS(ROUND(100/B10*C10-100,1))&lt;999,ROUND(100/B10*C10-100,1),IF(ROUND(100/B10*C10-100,1)&gt;999,999,-999)))</f>
        <v>0.7</v>
      </c>
      <c r="E10" s="182"/>
      <c r="F10" s="196">
        <f>'Skjema total MA'!E22</f>
        <v>309187.42986999999</v>
      </c>
      <c r="G10" s="196">
        <f>'Skjema total MA'!F22</f>
        <v>334034.62965000002</v>
      </c>
      <c r="H10" s="233">
        <f t="shared" ref="H10:H57" si="2">IF(F10=0, "    ---- ", IF(ABS(ROUND(100/F10*G10-100,1))&lt;999,ROUND(100/F10*G10-100,1),IF(ROUND(100/F10*G10-100,1)&gt;999,999,-999)))</f>
        <v>8</v>
      </c>
      <c r="I10" s="182"/>
      <c r="J10" s="196">
        <f t="shared" si="0"/>
        <v>998534.36814549647</v>
      </c>
      <c r="K10" s="196">
        <f t="shared" si="0"/>
        <v>1028513.6117300757</v>
      </c>
      <c r="L10" s="231">
        <f t="shared" ref="L10:L60" si="3">IF(J10=0, "    ---- ", IF(ABS(ROUND(100/J10*K10-100,1))&lt;999,ROUND(100/J10*K10-100,1),IF(ROUND(100/J10*K10-100,1)&gt;999,999,-999)))</f>
        <v>3</v>
      </c>
      <c r="M10" s="74"/>
    </row>
    <row r="11" spans="1:13" ht="18.75" x14ac:dyDescent="0.3">
      <c r="A11" s="193" t="s">
        <v>112</v>
      </c>
      <c r="B11" s="104">
        <f>'Skjema total MA'!B47</f>
        <v>2502402.8992893849</v>
      </c>
      <c r="C11" s="104">
        <f>'Skjema total MA'!C47</f>
        <v>2885606.4238871019</v>
      </c>
      <c r="D11" s="233">
        <f t="shared" si="1"/>
        <v>15.3</v>
      </c>
      <c r="E11" s="182"/>
      <c r="F11" s="196"/>
      <c r="G11" s="196"/>
      <c r="H11" s="233"/>
      <c r="I11" s="182"/>
      <c r="J11" s="196">
        <f t="shared" si="0"/>
        <v>2502402.8992893849</v>
      </c>
      <c r="K11" s="196">
        <f t="shared" si="0"/>
        <v>2885606.4238871019</v>
      </c>
      <c r="L11" s="231">
        <f t="shared" si="3"/>
        <v>15.3</v>
      </c>
      <c r="M11" s="74"/>
    </row>
    <row r="12" spans="1:13" ht="18.75" x14ac:dyDescent="0.3">
      <c r="A12" s="193" t="s">
        <v>113</v>
      </c>
      <c r="B12" s="104">
        <f>'Skjema total MA'!B66</f>
        <v>3513095.71282</v>
      </c>
      <c r="C12" s="104">
        <f>'Skjema total MA'!C66</f>
        <v>3486374.05791</v>
      </c>
      <c r="D12" s="233">
        <f t="shared" si="1"/>
        <v>-0.8</v>
      </c>
      <c r="E12" s="182"/>
      <c r="F12" s="196">
        <f>'Skjema total MA'!E66</f>
        <v>7886810.06164</v>
      </c>
      <c r="G12" s="196">
        <f>'Skjema total MA'!F66</f>
        <v>8793017.8099000007</v>
      </c>
      <c r="H12" s="233">
        <f t="shared" si="2"/>
        <v>11.5</v>
      </c>
      <c r="I12" s="182"/>
      <c r="J12" s="196">
        <f t="shared" si="0"/>
        <v>11399905.774459999</v>
      </c>
      <c r="K12" s="196">
        <f t="shared" si="0"/>
        <v>12279391.86781</v>
      </c>
      <c r="L12" s="231">
        <f t="shared" si="3"/>
        <v>7.7</v>
      </c>
      <c r="M12" s="74"/>
    </row>
    <row r="13" spans="1:13" ht="18.75" x14ac:dyDescent="0.3">
      <c r="A13" s="193" t="s">
        <v>114</v>
      </c>
      <c r="B13" s="104">
        <f>'Skjema total MA'!B68</f>
        <v>97026.137539999996</v>
      </c>
      <c r="C13" s="104">
        <f>'Skjema total MA'!C68</f>
        <v>94026.617710000006</v>
      </c>
      <c r="D13" s="233">
        <f t="shared" si="1"/>
        <v>-3.1</v>
      </c>
      <c r="E13" s="182"/>
      <c r="F13" s="196">
        <f>'Skjema total MA'!E68</f>
        <v>7783934.2037599999</v>
      </c>
      <c r="G13" s="196">
        <f>'Skjema total MA'!F68</f>
        <v>8456131.5833299998</v>
      </c>
      <c r="H13" s="233">
        <f t="shared" si="2"/>
        <v>8.6</v>
      </c>
      <c r="I13" s="182"/>
      <c r="J13" s="196">
        <f t="shared" si="0"/>
        <v>7880960.3412999995</v>
      </c>
      <c r="K13" s="196">
        <f t="shared" si="0"/>
        <v>8550158.2010399997</v>
      </c>
      <c r="L13" s="231">
        <f t="shared" si="3"/>
        <v>8.5</v>
      </c>
      <c r="M13" s="74"/>
    </row>
    <row r="14" spans="1:13" s="133" customFormat="1" ht="18.75" x14ac:dyDescent="0.3">
      <c r="A14" s="194" t="s">
        <v>115</v>
      </c>
      <c r="B14" s="131">
        <f>'Skjema total MA'!B75</f>
        <v>114321.28322000001</v>
      </c>
      <c r="C14" s="131">
        <f>'Skjema total MA'!C75</f>
        <v>129277.69422</v>
      </c>
      <c r="D14" s="233">
        <f t="shared" si="1"/>
        <v>13.1</v>
      </c>
      <c r="E14" s="183"/>
      <c r="F14" s="197">
        <f>'Skjema total MA'!E75</f>
        <v>102875.85788</v>
      </c>
      <c r="G14" s="197">
        <f>'Skjema total MA'!F75</f>
        <v>336886.22657000006</v>
      </c>
      <c r="H14" s="233">
        <f t="shared" si="2"/>
        <v>227.5</v>
      </c>
      <c r="I14" s="183"/>
      <c r="J14" s="196">
        <f t="shared" si="0"/>
        <v>217197.14110000001</v>
      </c>
      <c r="K14" s="196">
        <f t="shared" si="0"/>
        <v>466163.92079000006</v>
      </c>
      <c r="L14" s="231">
        <f t="shared" si="3"/>
        <v>114.6</v>
      </c>
      <c r="M14" s="132"/>
    </row>
    <row r="15" spans="1:13" ht="22.5" x14ac:dyDescent="0.3">
      <c r="A15" s="193" t="s">
        <v>356</v>
      </c>
      <c r="B15" s="104">
        <f>'Skjema total MA'!B134</f>
        <v>7724103.9205499999</v>
      </c>
      <c r="C15" s="104">
        <f>'Skjema total MA'!C134</f>
        <v>7768459.9588399995</v>
      </c>
      <c r="D15" s="233">
        <f t="shared" si="1"/>
        <v>0.6</v>
      </c>
      <c r="E15" s="182"/>
      <c r="F15" s="196">
        <f>'Skjema total MA'!E134</f>
        <v>19489.256000000001</v>
      </c>
      <c r="G15" s="196">
        <f>'Skjema total MA'!F134</f>
        <v>13284.058000000001</v>
      </c>
      <c r="H15" s="233">
        <f t="shared" si="2"/>
        <v>-31.8</v>
      </c>
      <c r="I15" s="182"/>
      <c r="J15" s="196">
        <f t="shared" si="0"/>
        <v>7743593.17655</v>
      </c>
      <c r="K15" s="196">
        <f t="shared" si="0"/>
        <v>7781744.0168399997</v>
      </c>
      <c r="L15" s="231">
        <f t="shared" si="3"/>
        <v>0.5</v>
      </c>
      <c r="M15" s="74"/>
    </row>
    <row r="16" spans="1:13" ht="18.75" x14ac:dyDescent="0.3">
      <c r="A16" s="193" t="s">
        <v>116</v>
      </c>
      <c r="B16" s="104">
        <f>'Skjema total MA'!B36</f>
        <v>1025.748</v>
      </c>
      <c r="C16" s="104">
        <f>'Skjema total MA'!C36</f>
        <v>686.60799999999995</v>
      </c>
      <c r="D16" s="233">
        <f t="shared" si="1"/>
        <v>-33.1</v>
      </c>
      <c r="E16" s="182"/>
      <c r="F16" s="196">
        <f>'Skjema total MA'!E36</f>
        <v>0</v>
      </c>
      <c r="G16" s="196">
        <f>'Skjema total MA'!F36</f>
        <v>0</v>
      </c>
      <c r="H16" s="233"/>
      <c r="I16" s="182"/>
      <c r="J16" s="196">
        <f t="shared" si="0"/>
        <v>1025.748</v>
      </c>
      <c r="K16" s="196">
        <f t="shared" si="0"/>
        <v>686.60799999999995</v>
      </c>
      <c r="L16" s="231">
        <f t="shared" si="3"/>
        <v>-33.1</v>
      </c>
      <c r="M16" s="74"/>
    </row>
    <row r="17" spans="1:23" s="135" customFormat="1" ht="18.75" customHeight="1" x14ac:dyDescent="0.3">
      <c r="A17" s="137" t="s">
        <v>117</v>
      </c>
      <c r="B17" s="110">
        <f>'Tabel 1.1'!B33</f>
        <v>16027748.060874349</v>
      </c>
      <c r="C17" s="198">
        <f>'Tabel 1.1'!C33</f>
        <v>16389070.949177044</v>
      </c>
      <c r="D17" s="233">
        <f t="shared" si="1"/>
        <v>2.2999999999999998</v>
      </c>
      <c r="E17" s="138"/>
      <c r="F17" s="198">
        <f>'Tabel 1.1'!B46</f>
        <v>10905896.34936</v>
      </c>
      <c r="G17" s="198">
        <f>'Tabel 1.1'!C46</f>
        <v>11672870.64587</v>
      </c>
      <c r="H17" s="233">
        <f t="shared" si="2"/>
        <v>7</v>
      </c>
      <c r="I17" s="138"/>
      <c r="J17" s="198">
        <f t="shared" si="0"/>
        <v>26933644.410234347</v>
      </c>
      <c r="K17" s="198">
        <f t="shared" si="0"/>
        <v>28061941.595047042</v>
      </c>
      <c r="L17" s="231">
        <f t="shared" si="3"/>
        <v>4.2</v>
      </c>
      <c r="M17" s="75"/>
      <c r="N17" s="134"/>
      <c r="O17" s="134"/>
      <c r="Q17" s="136"/>
      <c r="R17" s="136"/>
      <c r="S17" s="136"/>
      <c r="T17" s="136"/>
      <c r="U17" s="136"/>
      <c r="V17" s="136"/>
      <c r="W17" s="136"/>
    </row>
    <row r="18" spans="1:23" ht="18.75" customHeight="1" x14ac:dyDescent="0.3">
      <c r="A18" s="137"/>
      <c r="B18" s="104"/>
      <c r="C18" s="196"/>
      <c r="D18" s="196"/>
      <c r="E18" s="182"/>
      <c r="F18" s="196"/>
      <c r="G18" s="196"/>
      <c r="H18" s="233"/>
      <c r="I18" s="182"/>
      <c r="J18" s="196"/>
      <c r="K18" s="196"/>
      <c r="L18" s="231"/>
      <c r="M18" s="74"/>
    </row>
    <row r="19" spans="1:23" ht="18.75" customHeight="1" x14ac:dyDescent="0.3">
      <c r="A19" s="192" t="s">
        <v>357</v>
      </c>
      <c r="B19" s="200"/>
      <c r="C19" s="203"/>
      <c r="D19" s="196"/>
      <c r="E19" s="182"/>
      <c r="F19" s="203"/>
      <c r="G19" s="203"/>
      <c r="H19" s="233"/>
      <c r="I19" s="182"/>
      <c r="J19" s="196"/>
      <c r="K19" s="196"/>
      <c r="L19" s="231"/>
      <c r="M19" s="74"/>
    </row>
    <row r="20" spans="1:23" ht="18.75" customHeight="1" x14ac:dyDescent="0.3">
      <c r="A20" s="193" t="s">
        <v>110</v>
      </c>
      <c r="B20" s="104">
        <f>'Skjema total MA'!B10</f>
        <v>20244209.887745671</v>
      </c>
      <c r="C20" s="104">
        <f>'Skjema total MA'!C10</f>
        <v>18852684.110962451</v>
      </c>
      <c r="D20" s="233">
        <f>IF(B20=0, "    ---- ", IF(ABS(ROUND(100/B20*C20-100,1))&lt;999,ROUND(100/B20*C20-100,1),IF(ROUND(100/B20*C20-100,1)&gt;999,999,-999)))</f>
        <v>-6.9</v>
      </c>
      <c r="E20" s="182"/>
      <c r="F20" s="196">
        <f>'Skjema total MA'!E10</f>
        <v>44815409.115429401</v>
      </c>
      <c r="G20" s="196">
        <f>'Skjema total MA'!F10</f>
        <v>46610028.193619996</v>
      </c>
      <c r="H20" s="233">
        <f t="shared" si="2"/>
        <v>4</v>
      </c>
      <c r="I20" s="182"/>
      <c r="J20" s="196">
        <f t="shared" si="0"/>
        <v>65059619.003175072</v>
      </c>
      <c r="K20" s="196">
        <f t="shared" si="0"/>
        <v>65462712.304582447</v>
      </c>
      <c r="L20" s="231">
        <f t="shared" si="3"/>
        <v>0.6</v>
      </c>
      <c r="M20" s="74"/>
    </row>
    <row r="21" spans="1:23" ht="18.75" customHeight="1" x14ac:dyDescent="0.3">
      <c r="A21" s="193" t="s">
        <v>111</v>
      </c>
      <c r="B21" s="104">
        <f>'Skjema total MA'!B29</f>
        <v>47924786.639119998</v>
      </c>
      <c r="C21" s="104">
        <f>'Skjema total MA'!C29</f>
        <v>46830826.733410731</v>
      </c>
      <c r="D21" s="233">
        <f t="shared" ref="D21:D27" si="4">IF(B21=0, "    ---- ", IF(ABS(ROUND(100/B21*C21-100,1))&lt;999,ROUND(100/B21*C21-100,1),IF(ROUND(100/B21*C21-100,1)&gt;999,999,-999)))</f>
        <v>-2.2999999999999998</v>
      </c>
      <c r="E21" s="182"/>
      <c r="F21" s="196">
        <f>'Skjema total MA'!E29</f>
        <v>20307031.191550002</v>
      </c>
      <c r="G21" s="196">
        <f>'Skjema total MA'!F29</f>
        <v>20087775.560259998</v>
      </c>
      <c r="H21" s="233">
        <f t="shared" si="2"/>
        <v>-1.1000000000000001</v>
      </c>
      <c r="I21" s="182"/>
      <c r="J21" s="196">
        <f t="shared" si="0"/>
        <v>68231817.830669999</v>
      </c>
      <c r="K21" s="196">
        <f t="shared" si="0"/>
        <v>66918602.293670729</v>
      </c>
      <c r="L21" s="231">
        <f t="shared" si="3"/>
        <v>-1.9</v>
      </c>
      <c r="M21" s="74"/>
    </row>
    <row r="22" spans="1:23" ht="18.75" x14ac:dyDescent="0.3">
      <c r="A22" s="193" t="s">
        <v>113</v>
      </c>
      <c r="B22" s="104">
        <f>'Skjema total MA'!B87</f>
        <v>388485133.7042675</v>
      </c>
      <c r="C22" s="104">
        <f>'Skjema total MA'!C87</f>
        <v>392654284.49770975</v>
      </c>
      <c r="D22" s="233">
        <f t="shared" si="4"/>
        <v>1.1000000000000001</v>
      </c>
      <c r="E22" s="182"/>
      <c r="F22" s="196">
        <f>'Skjema total MA'!E87</f>
        <v>270631435.74916047</v>
      </c>
      <c r="G22" s="196">
        <f>'Skjema total MA'!F87</f>
        <v>280259031.39462996</v>
      </c>
      <c r="H22" s="233">
        <f t="shared" si="2"/>
        <v>3.6</v>
      </c>
      <c r="I22" s="182"/>
      <c r="J22" s="196">
        <f t="shared" si="0"/>
        <v>659116569.45342803</v>
      </c>
      <c r="K22" s="196">
        <f t="shared" si="0"/>
        <v>672913315.89233971</v>
      </c>
      <c r="L22" s="231">
        <f t="shared" si="3"/>
        <v>2.1</v>
      </c>
      <c r="M22" s="74"/>
    </row>
    <row r="23" spans="1:23" ht="22.5" x14ac:dyDescent="0.3">
      <c r="A23" s="193" t="s">
        <v>118</v>
      </c>
      <c r="B23" s="104">
        <f>'Skjema total MA'!B89</f>
        <v>2791553.3224900002</v>
      </c>
      <c r="C23" s="104">
        <f>'Skjema total MA'!C89</f>
        <v>3100365.2542926096</v>
      </c>
      <c r="D23" s="233">
        <f t="shared" si="4"/>
        <v>11.1</v>
      </c>
      <c r="E23" s="182"/>
      <c r="F23" s="196">
        <f>'Skjema total MA'!E89</f>
        <v>269440960.45366049</v>
      </c>
      <c r="G23" s="196">
        <f>'Skjema total MA'!F89</f>
        <v>278596711.99615997</v>
      </c>
      <c r="H23" s="233">
        <f t="shared" si="2"/>
        <v>3.4</v>
      </c>
      <c r="I23" s="182"/>
      <c r="J23" s="196">
        <f t="shared" si="0"/>
        <v>272232513.77615047</v>
      </c>
      <c r="K23" s="196">
        <f t="shared" si="0"/>
        <v>281697077.25045258</v>
      </c>
      <c r="L23" s="231">
        <f t="shared" si="3"/>
        <v>3.5</v>
      </c>
      <c r="M23" s="74"/>
    </row>
    <row r="24" spans="1:23" ht="18.75" x14ac:dyDescent="0.3">
      <c r="A24" s="194" t="s">
        <v>115</v>
      </c>
      <c r="B24" s="104">
        <f>'Skjema total MA'!B96</f>
        <v>979107.02083000005</v>
      </c>
      <c r="C24" s="104">
        <f>'Skjema total MA'!C96</f>
        <v>1547559.5576300002</v>
      </c>
      <c r="D24" s="233">
        <f t="shared" si="4"/>
        <v>58.1</v>
      </c>
      <c r="E24" s="182"/>
      <c r="F24" s="196">
        <f>'Skjema total MA'!E96</f>
        <v>1190475.2955</v>
      </c>
      <c r="G24" s="196">
        <f>'Skjema total MA'!F96</f>
        <v>1662319.3984699999</v>
      </c>
      <c r="H24" s="233">
        <f t="shared" si="2"/>
        <v>39.6</v>
      </c>
      <c r="I24" s="182"/>
      <c r="J24" s="196">
        <f t="shared" si="0"/>
        <v>2169582.3163299998</v>
      </c>
      <c r="K24" s="196">
        <f t="shared" si="0"/>
        <v>3209878.9561000001</v>
      </c>
      <c r="L24" s="231">
        <f t="shared" si="3"/>
        <v>47.9</v>
      </c>
      <c r="M24" s="74"/>
    </row>
    <row r="25" spans="1:23" ht="22.5" x14ac:dyDescent="0.3">
      <c r="A25" s="193" t="s">
        <v>356</v>
      </c>
      <c r="B25" s="104">
        <f>'Skjema total MA'!B135</f>
        <v>555615524.04275036</v>
      </c>
      <c r="C25" s="104">
        <f>'Skjema total MA'!C135</f>
        <v>589920574.41398847</v>
      </c>
      <c r="D25" s="233">
        <f t="shared" si="4"/>
        <v>6.2</v>
      </c>
      <c r="E25" s="182"/>
      <c r="F25" s="196">
        <f>'Skjema total MA'!E135</f>
        <v>2497218.77415</v>
      </c>
      <c r="G25" s="196">
        <f>'Skjema total MA'!F135</f>
        <v>2151789.0251500001</v>
      </c>
      <c r="H25" s="233">
        <f t="shared" si="2"/>
        <v>-13.8</v>
      </c>
      <c r="I25" s="182"/>
      <c r="J25" s="196">
        <f t="shared" si="0"/>
        <v>558112742.81690037</v>
      </c>
      <c r="K25" s="196">
        <f t="shared" si="0"/>
        <v>592072363.43913841</v>
      </c>
      <c r="L25" s="231">
        <f t="shared" si="3"/>
        <v>6.1</v>
      </c>
      <c r="M25" s="74"/>
    </row>
    <row r="26" spans="1:23" ht="18.75" x14ac:dyDescent="0.3">
      <c r="A26" s="193" t="s">
        <v>116</v>
      </c>
      <c r="B26" s="104">
        <f>'Skjema total MA'!B37</f>
        <v>3750213.89</v>
      </c>
      <c r="C26" s="104">
        <f>'Skjema total MA'!C37</f>
        <v>3566636.5660000001</v>
      </c>
      <c r="D26" s="233">
        <f t="shared" si="4"/>
        <v>-4.9000000000000004</v>
      </c>
      <c r="E26" s="182"/>
      <c r="F26" s="196">
        <f>'Skjema total MA'!E37</f>
        <v>0</v>
      </c>
      <c r="G26" s="196">
        <f>'Skjema total MA'!F37</f>
        <v>0</v>
      </c>
      <c r="H26" s="233"/>
      <c r="I26" s="182"/>
      <c r="J26" s="196">
        <f t="shared" si="0"/>
        <v>3750213.89</v>
      </c>
      <c r="K26" s="196">
        <f t="shared" si="0"/>
        <v>3566636.5660000001</v>
      </c>
      <c r="L26" s="231">
        <f t="shared" si="3"/>
        <v>-4.9000000000000004</v>
      </c>
      <c r="M26" s="74"/>
    </row>
    <row r="27" spans="1:23" s="135" customFormat="1" ht="18.75" x14ac:dyDescent="0.3">
      <c r="A27" s="137" t="s">
        <v>119</v>
      </c>
      <c r="B27" s="110">
        <f>'Tabel 1.1'!G33</f>
        <v>1016019868.1638836</v>
      </c>
      <c r="C27" s="198">
        <f>'Tabel 1.1'!H33</f>
        <v>1048398282.7279913</v>
      </c>
      <c r="D27" s="233">
        <f t="shared" si="4"/>
        <v>3.2</v>
      </c>
      <c r="E27" s="138"/>
      <c r="F27" s="198">
        <f>'Tabel 1.1'!G46</f>
        <v>338251094.8302899</v>
      </c>
      <c r="G27" s="198">
        <f>'Tabel 1.1'!H46</f>
        <v>349108624.17365998</v>
      </c>
      <c r="H27" s="233">
        <f t="shared" si="2"/>
        <v>3.2</v>
      </c>
      <c r="I27" s="138"/>
      <c r="J27" s="198">
        <f t="shared" si="0"/>
        <v>1354270962.9941735</v>
      </c>
      <c r="K27" s="198">
        <f t="shared" si="0"/>
        <v>1397506906.9016514</v>
      </c>
      <c r="L27" s="231">
        <f t="shared" si="3"/>
        <v>3.2</v>
      </c>
      <c r="M27" s="75"/>
      <c r="N27" s="134"/>
      <c r="O27" s="134"/>
    </row>
    <row r="28" spans="1:23" ht="18.75" x14ac:dyDescent="0.3">
      <c r="A28" s="137"/>
      <c r="B28" s="104"/>
      <c r="C28" s="196"/>
      <c r="D28" s="233"/>
      <c r="E28" s="182"/>
      <c r="F28" s="196"/>
      <c r="G28" s="196"/>
      <c r="H28" s="233"/>
      <c r="I28" s="182"/>
      <c r="J28" s="196">
        <f t="shared" si="0"/>
        <v>0</v>
      </c>
      <c r="K28" s="196">
        <f t="shared" si="0"/>
        <v>0</v>
      </c>
      <c r="L28" s="231"/>
      <c r="M28" s="74"/>
    </row>
    <row r="29" spans="1:23" ht="22.5" x14ac:dyDescent="0.3">
      <c r="A29" s="192" t="s">
        <v>358</v>
      </c>
      <c r="B29" s="200"/>
      <c r="C29" s="203"/>
      <c r="D29" s="196"/>
      <c r="E29" s="182"/>
      <c r="F29" s="196"/>
      <c r="G29" s="196"/>
      <c r="H29" s="233"/>
      <c r="I29" s="182"/>
      <c r="J29" s="196"/>
      <c r="K29" s="196"/>
      <c r="L29" s="231"/>
      <c r="M29" s="74"/>
    </row>
    <row r="30" spans="1:23" ht="18.75" x14ac:dyDescent="0.3">
      <c r="A30" s="193" t="s">
        <v>110</v>
      </c>
      <c r="B30" s="104">
        <f>'Skjema total MA'!B11</f>
        <v>5332</v>
      </c>
      <c r="C30" s="104">
        <f>'Skjema total MA'!C11</f>
        <v>12545</v>
      </c>
      <c r="D30" s="233">
        <f>IF(B30=0, "    ---- ", IF(ABS(ROUND(100/B30*C30-100,1))&lt;999,ROUND(100/B30*C30-100,1),IF(ROUND(100/B30*C30-100,1)&gt;999,999,-999)))</f>
        <v>135.30000000000001</v>
      </c>
      <c r="E30" s="182"/>
      <c r="F30" s="196">
        <f>'Skjema total MA'!E11</f>
        <v>92838.963300000003</v>
      </c>
      <c r="G30" s="196">
        <f>'Skjema total MA'!F11</f>
        <v>127141.19075000001</v>
      </c>
      <c r="H30" s="233">
        <f t="shared" si="2"/>
        <v>36.9</v>
      </c>
      <c r="I30" s="182"/>
      <c r="J30" s="196">
        <f t="shared" si="0"/>
        <v>98170.963300000003</v>
      </c>
      <c r="K30" s="196">
        <f t="shared" si="0"/>
        <v>139686.19075000001</v>
      </c>
      <c r="L30" s="231">
        <f t="shared" si="3"/>
        <v>42.3</v>
      </c>
      <c r="M30" s="74"/>
    </row>
    <row r="31" spans="1:23" ht="18.75" x14ac:dyDescent="0.3">
      <c r="A31" s="193" t="s">
        <v>111</v>
      </c>
      <c r="B31" s="104">
        <f>'Skjema total MA'!B34</f>
        <v>5990.25</v>
      </c>
      <c r="C31" s="104">
        <f>'Skjema total MA'!C34</f>
        <v>6440.9629999999997</v>
      </c>
      <c r="D31" s="233">
        <f t="shared" ref="D31:D38" si="5">IF(B31=0, "    ---- ", IF(ABS(ROUND(100/B31*C31-100,1))&lt;999,ROUND(100/B31*C31-100,1),IF(ROUND(100/B31*C31-100,1)&gt;999,999,-999)))</f>
        <v>7.5</v>
      </c>
      <c r="E31" s="182"/>
      <c r="F31" s="196">
        <f>'Skjema total MA'!E34</f>
        <v>13409.651279999998</v>
      </c>
      <c r="G31" s="196">
        <f>'Skjema total MA'!F34</f>
        <v>11228.54977</v>
      </c>
      <c r="H31" s="233">
        <f t="shared" si="2"/>
        <v>-16.3</v>
      </c>
      <c r="I31" s="182"/>
      <c r="J31" s="196">
        <f t="shared" si="0"/>
        <v>19399.901279999998</v>
      </c>
      <c r="K31" s="196">
        <f t="shared" si="0"/>
        <v>17669.512770000001</v>
      </c>
      <c r="L31" s="231">
        <f t="shared" si="3"/>
        <v>-8.9</v>
      </c>
      <c r="M31" s="74"/>
    </row>
    <row r="32" spans="1:23" ht="18.75" x14ac:dyDescent="0.3">
      <c r="A32" s="193" t="s">
        <v>113</v>
      </c>
      <c r="B32" s="104">
        <f>'Skjema total MA'!B111</f>
        <v>227801.04758999997</v>
      </c>
      <c r="C32" s="104">
        <f>'Skjema total MA'!C111</f>
        <v>394830.12543000001</v>
      </c>
      <c r="D32" s="233">
        <f t="shared" si="5"/>
        <v>73.3</v>
      </c>
      <c r="E32" s="182"/>
      <c r="F32" s="196">
        <f>'Skjema total MA'!E111</f>
        <v>4274858.4827999994</v>
      </c>
      <c r="G32" s="196">
        <f>'Skjema total MA'!F111</f>
        <v>8919283.9669199996</v>
      </c>
      <c r="H32" s="233">
        <f t="shared" si="2"/>
        <v>108.6</v>
      </c>
      <c r="I32" s="182"/>
      <c r="J32" s="196">
        <f t="shared" si="0"/>
        <v>4502659.530389999</v>
      </c>
      <c r="K32" s="196">
        <f t="shared" si="0"/>
        <v>9314114.0923499987</v>
      </c>
      <c r="L32" s="231">
        <f t="shared" si="3"/>
        <v>106.9</v>
      </c>
      <c r="M32" s="74"/>
    </row>
    <row r="33" spans="1:15" ht="22.5" x14ac:dyDescent="0.3">
      <c r="A33" s="193" t="s">
        <v>356</v>
      </c>
      <c r="B33" s="104">
        <f>'Skjema total MA'!B136</f>
        <v>0</v>
      </c>
      <c r="C33" s="104">
        <f>'Skjema total MA'!C136</f>
        <v>2965700.3289999999</v>
      </c>
      <c r="D33" s="233" t="str">
        <f t="shared" si="5"/>
        <v xml:space="preserve">    ---- </v>
      </c>
      <c r="E33" s="182"/>
      <c r="F33" s="196">
        <f>'Skjema total MA'!E136</f>
        <v>0</v>
      </c>
      <c r="G33" s="196">
        <f>'Skjema total MA'!F136</f>
        <v>-462765.72600000002</v>
      </c>
      <c r="H33" s="233" t="str">
        <f t="shared" si="2"/>
        <v xml:space="preserve">    ---- </v>
      </c>
      <c r="I33" s="182"/>
      <c r="J33" s="196">
        <f t="shared" si="0"/>
        <v>0</v>
      </c>
      <c r="K33" s="196">
        <f t="shared" si="0"/>
        <v>2502934.6030000001</v>
      </c>
      <c r="L33" s="231" t="str">
        <f t="shared" si="3"/>
        <v xml:space="preserve">    ---- </v>
      </c>
      <c r="M33" s="74"/>
    </row>
    <row r="34" spans="1:15" ht="18.75" x14ac:dyDescent="0.3">
      <c r="A34" s="193" t="s">
        <v>116</v>
      </c>
      <c r="B34" s="104">
        <f>'Skjema total MA'!B38</f>
        <v>0</v>
      </c>
      <c r="C34" s="104">
        <f>'Skjema total MA'!C38</f>
        <v>0</v>
      </c>
      <c r="D34" s="233" t="str">
        <f t="shared" si="5"/>
        <v xml:space="preserve">    ---- </v>
      </c>
      <c r="E34" s="182"/>
      <c r="F34" s="196">
        <f>'Skjema total MA'!E38</f>
        <v>0</v>
      </c>
      <c r="G34" s="196">
        <f>'Skjema total MA'!F38</f>
        <v>0</v>
      </c>
      <c r="H34" s="233"/>
      <c r="I34" s="182"/>
      <c r="J34" s="196">
        <f t="shared" si="0"/>
        <v>0</v>
      </c>
      <c r="K34" s="196">
        <f t="shared" si="0"/>
        <v>0</v>
      </c>
      <c r="L34" s="231" t="str">
        <f t="shared" si="3"/>
        <v xml:space="preserve">    ---- </v>
      </c>
      <c r="M34" s="74"/>
    </row>
    <row r="35" spans="1:15" s="135" customFormat="1" ht="18.75" x14ac:dyDescent="0.3">
      <c r="A35" s="137" t="s">
        <v>120</v>
      </c>
      <c r="B35" s="110">
        <f>SUM(B30:B34)</f>
        <v>239123.29758999997</v>
      </c>
      <c r="C35" s="198">
        <f>SUM(C30:C34)</f>
        <v>3379516.4174299999</v>
      </c>
      <c r="D35" s="233">
        <f t="shared" si="5"/>
        <v>999</v>
      </c>
      <c r="E35" s="138"/>
      <c r="F35" s="198">
        <f>SUM(F30:F34)</f>
        <v>4381107.0973799992</v>
      </c>
      <c r="G35" s="198">
        <f>SUM(G30:G34)</f>
        <v>8594887.9814400002</v>
      </c>
      <c r="H35" s="233">
        <f t="shared" si="2"/>
        <v>96.2</v>
      </c>
      <c r="I35" s="138"/>
      <c r="J35" s="198">
        <f t="shared" si="0"/>
        <v>4620230.3949699989</v>
      </c>
      <c r="K35" s="198">
        <f t="shared" si="0"/>
        <v>11974404.398870001</v>
      </c>
      <c r="L35" s="231">
        <f t="shared" si="3"/>
        <v>159.19999999999999</v>
      </c>
      <c r="M35" s="75"/>
    </row>
    <row r="36" spans="1:15" ht="18.75" x14ac:dyDescent="0.3">
      <c r="A36" s="137"/>
      <c r="B36" s="110"/>
      <c r="C36" s="198"/>
      <c r="D36" s="233"/>
      <c r="E36" s="138"/>
      <c r="F36" s="198"/>
      <c r="G36" s="198"/>
      <c r="H36" s="233"/>
      <c r="I36" s="138"/>
      <c r="J36" s="196"/>
      <c r="K36" s="196"/>
      <c r="L36" s="231"/>
      <c r="M36" s="74"/>
    </row>
    <row r="37" spans="1:15" ht="22.5" x14ac:dyDescent="0.3">
      <c r="A37" s="137" t="s">
        <v>359</v>
      </c>
      <c r="B37" s="110"/>
      <c r="C37" s="198"/>
      <c r="D37" s="196"/>
      <c r="E37" s="138"/>
      <c r="F37" s="198"/>
      <c r="G37" s="198"/>
      <c r="H37" s="233"/>
      <c r="I37" s="138"/>
      <c r="J37" s="196"/>
      <c r="K37" s="196"/>
      <c r="L37" s="231"/>
      <c r="M37" s="74"/>
    </row>
    <row r="38" spans="1:15" s="135" customFormat="1" ht="18.75" x14ac:dyDescent="0.3">
      <c r="A38" s="137" t="s">
        <v>112</v>
      </c>
      <c r="B38" s="110">
        <f>'Skjema total MA'!B53</f>
        <v>149001.03700000001</v>
      </c>
      <c r="C38" s="110">
        <f>'Skjema total MA'!C53</f>
        <v>102206.51400000001</v>
      </c>
      <c r="D38" s="233">
        <f t="shared" si="5"/>
        <v>-31.4</v>
      </c>
      <c r="E38" s="138"/>
      <c r="F38" s="198"/>
      <c r="G38" s="198"/>
      <c r="H38" s="233"/>
      <c r="I38" s="138"/>
      <c r="J38" s="198">
        <f t="shared" si="0"/>
        <v>149001.03700000001</v>
      </c>
      <c r="K38" s="198">
        <f t="shared" si="0"/>
        <v>102206.51400000001</v>
      </c>
      <c r="L38" s="231">
        <f t="shared" si="3"/>
        <v>-31.4</v>
      </c>
      <c r="M38" s="75"/>
    </row>
    <row r="39" spans="1:15" ht="18.75" x14ac:dyDescent="0.3">
      <c r="A39" s="137"/>
      <c r="B39" s="110"/>
      <c r="C39" s="198"/>
      <c r="D39" s="196"/>
      <c r="E39" s="138"/>
      <c r="F39" s="198"/>
      <c r="G39" s="198"/>
      <c r="H39" s="233"/>
      <c r="I39" s="138"/>
      <c r="J39" s="196"/>
      <c r="K39" s="196"/>
      <c r="L39" s="231"/>
      <c r="M39" s="74"/>
    </row>
    <row r="40" spans="1:15" ht="22.5" x14ac:dyDescent="0.3">
      <c r="A40" s="192" t="s">
        <v>360</v>
      </c>
      <c r="B40" s="200"/>
      <c r="C40" s="203"/>
      <c r="D40" s="196"/>
      <c r="E40" s="182"/>
      <c r="F40" s="196"/>
      <c r="G40" s="196"/>
      <c r="H40" s="233"/>
      <c r="I40" s="182"/>
      <c r="J40" s="196"/>
      <c r="K40" s="196"/>
      <c r="L40" s="231"/>
      <c r="M40" s="74"/>
    </row>
    <row r="41" spans="1:15" ht="18.75" x14ac:dyDescent="0.3">
      <c r="A41" s="193" t="s">
        <v>110</v>
      </c>
      <c r="B41" s="104">
        <f>'Skjema total MA'!B12</f>
        <v>2053</v>
      </c>
      <c r="C41" s="104">
        <f>'Skjema total MA'!C12</f>
        <v>1342</v>
      </c>
      <c r="D41" s="233">
        <f>IF(B41=0, "    ---- ", IF(ABS(ROUND(100/B41*C41-100,1))&lt;999,ROUND(100/B41*C41-100,1),IF(ROUND(100/B41*C41-100,1)&gt;999,999,-999)))</f>
        <v>-34.6</v>
      </c>
      <c r="E41" s="182"/>
      <c r="F41" s="196">
        <f>'Skjema total MA'!E12</f>
        <v>41806.845820000002</v>
      </c>
      <c r="G41" s="196">
        <f>'Skjema total MA'!F12</f>
        <v>100966.73105999999</v>
      </c>
      <c r="H41" s="233">
        <f t="shared" si="2"/>
        <v>141.5</v>
      </c>
      <c r="I41" s="182"/>
      <c r="J41" s="196">
        <f t="shared" si="0"/>
        <v>43859.845820000002</v>
      </c>
      <c r="K41" s="196">
        <f t="shared" si="0"/>
        <v>102308.73105999999</v>
      </c>
      <c r="L41" s="231">
        <f t="shared" si="3"/>
        <v>133.30000000000001</v>
      </c>
      <c r="M41" s="74"/>
    </row>
    <row r="42" spans="1:15" ht="18.75" x14ac:dyDescent="0.3">
      <c r="A42" s="193" t="s">
        <v>111</v>
      </c>
      <c r="B42" s="104">
        <f>'Skjema total MA'!B35</f>
        <v>-7524.6640200000002</v>
      </c>
      <c r="C42" s="104">
        <f>'Skjema total MA'!C35</f>
        <v>-20461.540779999999</v>
      </c>
      <c r="D42" s="233">
        <f t="shared" ref="D42:D46" si="6">IF(B42=0, "    ---- ", IF(ABS(ROUND(100/B42*C42-100,1))&lt;999,ROUND(100/B42*C42-100,1),IF(ROUND(100/B42*C42-100,1)&gt;999,999,-999)))</f>
        <v>171.9</v>
      </c>
      <c r="E42" s="182"/>
      <c r="F42" s="196">
        <f>'Skjema total MA'!E35</f>
        <v>22528.448659999998</v>
      </c>
      <c r="G42" s="196">
        <f>'Skjema total MA'!F35</f>
        <v>45525.392039999999</v>
      </c>
      <c r="H42" s="233">
        <f t="shared" si="2"/>
        <v>102.1</v>
      </c>
      <c r="I42" s="182"/>
      <c r="J42" s="196">
        <f t="shared" si="0"/>
        <v>15003.784639999998</v>
      </c>
      <c r="K42" s="196">
        <f t="shared" si="0"/>
        <v>25063.851259999999</v>
      </c>
      <c r="L42" s="231">
        <f t="shared" si="3"/>
        <v>67.099999999999994</v>
      </c>
      <c r="M42" s="74"/>
    </row>
    <row r="43" spans="1:15" ht="18.75" x14ac:dyDescent="0.3">
      <c r="A43" s="193" t="s">
        <v>113</v>
      </c>
      <c r="B43" s="104">
        <f>'Skjema total MA'!B119</f>
        <v>186074.15502999991</v>
      </c>
      <c r="C43" s="104">
        <f>'Skjema total MA'!C119</f>
        <v>490320.78743000003</v>
      </c>
      <c r="D43" s="233">
        <f t="shared" si="6"/>
        <v>163.5</v>
      </c>
      <c r="E43" s="182"/>
      <c r="F43" s="196">
        <f>'Skjema total MA'!E119</f>
        <v>4369085.9826800004</v>
      </c>
      <c r="G43" s="196">
        <f>'Skjema total MA'!F119</f>
        <v>8634899.7007600013</v>
      </c>
      <c r="H43" s="233">
        <f t="shared" si="2"/>
        <v>97.6</v>
      </c>
      <c r="I43" s="182"/>
      <c r="J43" s="196">
        <f t="shared" si="0"/>
        <v>4555160.1377100004</v>
      </c>
      <c r="K43" s="196">
        <f t="shared" si="0"/>
        <v>9125220.4881900009</v>
      </c>
      <c r="L43" s="231">
        <f t="shared" si="3"/>
        <v>100.3</v>
      </c>
      <c r="M43" s="74"/>
    </row>
    <row r="44" spans="1:15" ht="22.5" x14ac:dyDescent="0.3">
      <c r="A44" s="193" t="s">
        <v>356</v>
      </c>
      <c r="B44" s="104">
        <f>'Skjema total MA'!B137</f>
        <v>248299.76699999999</v>
      </c>
      <c r="C44" s="104">
        <f>'Skjema total MA'!C137</f>
        <v>6377265.6059999997</v>
      </c>
      <c r="D44" s="233">
        <f t="shared" si="6"/>
        <v>999</v>
      </c>
      <c r="E44" s="182"/>
      <c r="F44" s="196">
        <f>'Skjema total MA'!E137</f>
        <v>0</v>
      </c>
      <c r="G44" s="196">
        <f>'Skjema total MA'!F137</f>
        <v>0</v>
      </c>
      <c r="H44" s="233" t="str">
        <f t="shared" si="2"/>
        <v xml:space="preserve">    ---- </v>
      </c>
      <c r="I44" s="182"/>
      <c r="J44" s="196">
        <f t="shared" si="0"/>
        <v>248299.76699999999</v>
      </c>
      <c r="K44" s="196">
        <f t="shared" si="0"/>
        <v>6377265.6059999997</v>
      </c>
      <c r="L44" s="231">
        <f t="shared" si="3"/>
        <v>999</v>
      </c>
      <c r="M44" s="74"/>
    </row>
    <row r="45" spans="1:15" ht="18.75" x14ac:dyDescent="0.3">
      <c r="A45" s="193" t="s">
        <v>116</v>
      </c>
      <c r="B45" s="104">
        <f>'Skjema total MA'!B39</f>
        <v>0</v>
      </c>
      <c r="C45" s="104">
        <f>'Skjema total MA'!C39</f>
        <v>0</v>
      </c>
      <c r="D45" s="233" t="str">
        <f t="shared" si="6"/>
        <v xml:space="preserve">    ---- </v>
      </c>
      <c r="E45" s="182"/>
      <c r="F45" s="196"/>
      <c r="G45" s="196"/>
      <c r="H45" s="233" t="str">
        <f t="shared" si="2"/>
        <v xml:space="preserve">    ---- </v>
      </c>
      <c r="I45" s="182"/>
      <c r="J45" s="196">
        <f t="shared" si="0"/>
        <v>0</v>
      </c>
      <c r="K45" s="196">
        <f t="shared" si="0"/>
        <v>0</v>
      </c>
      <c r="L45" s="231" t="str">
        <f t="shared" si="3"/>
        <v xml:space="preserve">    ---- </v>
      </c>
      <c r="M45" s="74"/>
    </row>
    <row r="46" spans="1:15" s="135" customFormat="1" ht="18.75" x14ac:dyDescent="0.3">
      <c r="A46" s="137" t="s">
        <v>121</v>
      </c>
      <c r="B46" s="110">
        <f>SUM(B41:B45)</f>
        <v>428902.25800999987</v>
      </c>
      <c r="C46" s="198">
        <f>SUM(C41:C45)</f>
        <v>6848466.8526499998</v>
      </c>
      <c r="D46" s="233">
        <f t="shared" si="6"/>
        <v>999</v>
      </c>
      <c r="E46" s="138"/>
      <c r="F46" s="198">
        <f>SUM(F41:F45)</f>
        <v>4433421.2771600001</v>
      </c>
      <c r="G46" s="272">
        <f>SUM(G41:G45)</f>
        <v>8781391.8238600008</v>
      </c>
      <c r="H46" s="233">
        <f t="shared" si="2"/>
        <v>98.1</v>
      </c>
      <c r="I46" s="138"/>
      <c r="J46" s="198">
        <f t="shared" si="0"/>
        <v>4862323.53517</v>
      </c>
      <c r="K46" s="198">
        <f t="shared" si="0"/>
        <v>15629858.676510001</v>
      </c>
      <c r="L46" s="231">
        <f t="shared" si="3"/>
        <v>221.4</v>
      </c>
      <c r="M46" s="75"/>
      <c r="N46" s="134"/>
      <c r="O46" s="134"/>
    </row>
    <row r="47" spans="1:15" ht="18.75" x14ac:dyDescent="0.3">
      <c r="A47" s="137"/>
      <c r="B47" s="110"/>
      <c r="C47" s="198"/>
      <c r="D47" s="196"/>
      <c r="E47" s="138"/>
      <c r="F47" s="198"/>
      <c r="G47" s="198"/>
      <c r="H47" s="233"/>
      <c r="I47" s="138"/>
      <c r="J47" s="196"/>
      <c r="K47" s="196"/>
      <c r="L47" s="231"/>
      <c r="M47" s="74"/>
    </row>
    <row r="48" spans="1:15" ht="22.5" x14ac:dyDescent="0.3">
      <c r="A48" s="137" t="s">
        <v>361</v>
      </c>
      <c r="B48" s="110"/>
      <c r="C48" s="198"/>
      <c r="D48" s="196"/>
      <c r="E48" s="138"/>
      <c r="F48" s="198"/>
      <c r="G48" s="198"/>
      <c r="H48" s="233"/>
      <c r="I48" s="138"/>
      <c r="J48" s="196"/>
      <c r="K48" s="196"/>
      <c r="L48" s="231"/>
      <c r="M48" s="74"/>
    </row>
    <row r="49" spans="1:15" s="135" customFormat="1" ht="18.75" x14ac:dyDescent="0.3">
      <c r="A49" s="137" t="s">
        <v>112</v>
      </c>
      <c r="B49" s="110">
        <f>'Skjema total MA'!B56</f>
        <v>121084.31299999999</v>
      </c>
      <c r="C49" s="110">
        <f>'Skjema total MA'!C56</f>
        <v>94447.146999999997</v>
      </c>
      <c r="D49" s="233">
        <f t="shared" ref="D49" si="7">IF(B49=0, "    ---- ", IF(ABS(ROUND(100/B49*C49-100,1))&lt;999,ROUND(100/B49*C49-100,1),IF(ROUND(100/B49*C49-100,1)&gt;999,999,-999)))</f>
        <v>-22</v>
      </c>
      <c r="E49" s="138"/>
      <c r="F49" s="198"/>
      <c r="G49" s="198"/>
      <c r="H49" s="233"/>
      <c r="I49" s="138"/>
      <c r="J49" s="198">
        <f>SUM(B49+F49)</f>
        <v>121084.31299999999</v>
      </c>
      <c r="K49" s="198">
        <f>SUM(C49+G49)</f>
        <v>94447.146999999997</v>
      </c>
      <c r="L49" s="231">
        <f t="shared" si="3"/>
        <v>-22</v>
      </c>
      <c r="M49" s="75"/>
    </row>
    <row r="50" spans="1:15" ht="18.75" x14ac:dyDescent="0.3">
      <c r="A50" s="137"/>
      <c r="B50" s="104"/>
      <c r="C50" s="196"/>
      <c r="D50" s="196"/>
      <c r="E50" s="182"/>
      <c r="F50" s="196"/>
      <c r="G50" s="196"/>
      <c r="H50" s="233"/>
      <c r="I50" s="182"/>
      <c r="J50" s="196"/>
      <c r="K50" s="196"/>
      <c r="L50" s="231"/>
      <c r="M50" s="74"/>
    </row>
    <row r="51" spans="1:15" ht="21.75" x14ac:dyDescent="0.3">
      <c r="A51" s="192" t="s">
        <v>362</v>
      </c>
      <c r="B51" s="104"/>
      <c r="C51" s="196"/>
      <c r="D51" s="196"/>
      <c r="E51" s="182"/>
      <c r="F51" s="196"/>
      <c r="G51" s="196"/>
      <c r="H51" s="233"/>
      <c r="I51" s="182"/>
      <c r="J51" s="196"/>
      <c r="K51" s="196"/>
      <c r="L51" s="231"/>
      <c r="M51" s="74"/>
    </row>
    <row r="52" spans="1:15" ht="18.75" x14ac:dyDescent="0.3">
      <c r="A52" s="193" t="s">
        <v>110</v>
      </c>
      <c r="B52" s="104">
        <f>B30-B41</f>
        <v>3279</v>
      </c>
      <c r="C52" s="196">
        <f>C30-C41</f>
        <v>11203</v>
      </c>
      <c r="D52" s="233">
        <f>IF(B52=0, "    ---- ", IF(ABS(ROUND(100/B52*C52-100,1))&lt;999,ROUND(100/B52*C52-100,1),IF(ROUND(100/B52*C52-100,1)&gt;999,999,-999)))</f>
        <v>241.7</v>
      </c>
      <c r="E52" s="182"/>
      <c r="F52" s="196">
        <f>F30-F41</f>
        <v>51032.117480000001</v>
      </c>
      <c r="G52" s="196">
        <f>G30-G41</f>
        <v>26174.459690000018</v>
      </c>
      <c r="H52" s="233">
        <f t="shared" si="2"/>
        <v>-48.7</v>
      </c>
      <c r="I52" s="182"/>
      <c r="J52" s="196">
        <f t="shared" si="0"/>
        <v>54311.117480000001</v>
      </c>
      <c r="K52" s="196">
        <f t="shared" si="0"/>
        <v>37377.459690000018</v>
      </c>
      <c r="L52" s="231">
        <f t="shared" si="3"/>
        <v>-31.2</v>
      </c>
      <c r="M52" s="74"/>
    </row>
    <row r="53" spans="1:15" ht="18.75" x14ac:dyDescent="0.3">
      <c r="A53" s="193" t="s">
        <v>111</v>
      </c>
      <c r="B53" s="104">
        <f t="shared" ref="B53:C56" si="8">B31-B42</f>
        <v>13514.91402</v>
      </c>
      <c r="C53" s="196">
        <f t="shared" si="8"/>
        <v>26902.503779999999</v>
      </c>
      <c r="D53" s="233">
        <f t="shared" ref="D53:D60" si="9">IF(B53=0, "    ---- ", IF(ABS(ROUND(100/B53*C53-100,1))&lt;999,ROUND(100/B53*C53-100,1),IF(ROUND(100/B53*C53-100,1)&gt;999,999,-999)))</f>
        <v>99.1</v>
      </c>
      <c r="E53" s="182"/>
      <c r="F53" s="196">
        <f t="shared" ref="F53:G56" si="10">F31-F42</f>
        <v>-9118.79738</v>
      </c>
      <c r="G53" s="196">
        <f t="shared" si="10"/>
        <v>-34296.842270000001</v>
      </c>
      <c r="H53" s="233">
        <f t="shared" si="2"/>
        <v>276.10000000000002</v>
      </c>
      <c r="I53" s="182"/>
      <c r="J53" s="196">
        <f t="shared" si="0"/>
        <v>4396.1166400000002</v>
      </c>
      <c r="K53" s="196">
        <f t="shared" si="0"/>
        <v>-7394.3384900000019</v>
      </c>
      <c r="L53" s="231">
        <f t="shared" si="3"/>
        <v>-268.2</v>
      </c>
      <c r="M53" s="74"/>
    </row>
    <row r="54" spans="1:15" ht="18.75" x14ac:dyDescent="0.3">
      <c r="A54" s="193" t="s">
        <v>113</v>
      </c>
      <c r="B54" s="104">
        <f t="shared" si="8"/>
        <v>41726.892560000066</v>
      </c>
      <c r="C54" s="196">
        <f t="shared" si="8"/>
        <v>-95490.662000000011</v>
      </c>
      <c r="D54" s="233">
        <f t="shared" si="9"/>
        <v>-328.8</v>
      </c>
      <c r="E54" s="182"/>
      <c r="F54" s="196">
        <f t="shared" si="10"/>
        <v>-94227.499880000949</v>
      </c>
      <c r="G54" s="196">
        <f t="shared" si="10"/>
        <v>284384.26615999825</v>
      </c>
      <c r="H54" s="233">
        <f t="shared" si="2"/>
        <v>-401.8</v>
      </c>
      <c r="I54" s="182"/>
      <c r="J54" s="196">
        <f t="shared" si="0"/>
        <v>-52500.607320000883</v>
      </c>
      <c r="K54" s="196">
        <f t="shared" si="0"/>
        <v>188893.60415999824</v>
      </c>
      <c r="L54" s="231">
        <f t="shared" si="3"/>
        <v>-459.8</v>
      </c>
      <c r="M54" s="74"/>
    </row>
    <row r="55" spans="1:15" ht="22.5" x14ac:dyDescent="0.3">
      <c r="A55" s="193" t="s">
        <v>356</v>
      </c>
      <c r="B55" s="104">
        <f t="shared" si="8"/>
        <v>-248299.76699999999</v>
      </c>
      <c r="C55" s="196">
        <f t="shared" si="8"/>
        <v>-3411565.2769999998</v>
      </c>
      <c r="D55" s="233">
        <f t="shared" si="9"/>
        <v>999</v>
      </c>
      <c r="E55" s="182"/>
      <c r="F55" s="196">
        <f t="shared" si="10"/>
        <v>0</v>
      </c>
      <c r="G55" s="196">
        <f t="shared" si="10"/>
        <v>-462765.72600000002</v>
      </c>
      <c r="H55" s="233" t="str">
        <f t="shared" si="2"/>
        <v xml:space="preserve">    ---- </v>
      </c>
      <c r="I55" s="182"/>
      <c r="J55" s="196">
        <f t="shared" si="0"/>
        <v>-248299.76699999999</v>
      </c>
      <c r="K55" s="196">
        <f t="shared" si="0"/>
        <v>-3874331.0029999996</v>
      </c>
      <c r="L55" s="231">
        <f t="shared" si="3"/>
        <v>999</v>
      </c>
      <c r="M55" s="74"/>
    </row>
    <row r="56" spans="1:15" ht="18.75" x14ac:dyDescent="0.3">
      <c r="A56" s="193" t="s">
        <v>116</v>
      </c>
      <c r="B56" s="104">
        <f t="shared" si="8"/>
        <v>0</v>
      </c>
      <c r="C56" s="196">
        <f t="shared" si="8"/>
        <v>0</v>
      </c>
      <c r="D56" s="233" t="str">
        <f t="shared" si="9"/>
        <v xml:space="preserve">    ---- </v>
      </c>
      <c r="E56" s="182"/>
      <c r="F56" s="196">
        <f t="shared" si="10"/>
        <v>0</v>
      </c>
      <c r="G56" s="196">
        <f t="shared" si="10"/>
        <v>0</v>
      </c>
      <c r="H56" s="233"/>
      <c r="I56" s="182"/>
      <c r="J56" s="196">
        <f t="shared" si="0"/>
        <v>0</v>
      </c>
      <c r="K56" s="196">
        <f t="shared" si="0"/>
        <v>0</v>
      </c>
      <c r="L56" s="231" t="str">
        <f t="shared" si="3"/>
        <v xml:space="preserve">    ---- </v>
      </c>
      <c r="M56" s="74"/>
    </row>
    <row r="57" spans="1:15" s="135" customFormat="1" ht="18.75" x14ac:dyDescent="0.3">
      <c r="A57" s="137" t="s">
        <v>122</v>
      </c>
      <c r="B57" s="110">
        <f>SUM(B52:B56)</f>
        <v>-189778.96041999993</v>
      </c>
      <c r="C57" s="198">
        <f>SUM(C52:C56)</f>
        <v>-3468950.4352199999</v>
      </c>
      <c r="D57" s="233">
        <f>IF(B57=0, "    ---- ", IF(ABS(ROUND(100/B57*C57-100,1))&lt;999,ROUND(100/B57*C57-100,1),IF(ROUND(100/B57*C57-100,1)&gt;999,999,-999)))</f>
        <v>999</v>
      </c>
      <c r="E57" s="138"/>
      <c r="F57" s="198">
        <f>SUM(F52:F56)</f>
        <v>-52314.179780000952</v>
      </c>
      <c r="G57" s="272">
        <f>SUM(G52:G56)</f>
        <v>-186503.84242000175</v>
      </c>
      <c r="H57" s="233">
        <f t="shared" si="2"/>
        <v>256.5</v>
      </c>
      <c r="I57" s="138"/>
      <c r="J57" s="198">
        <f t="shared" si="0"/>
        <v>-242093.1402000009</v>
      </c>
      <c r="K57" s="196">
        <f t="shared" si="0"/>
        <v>-3655454.2776400018</v>
      </c>
      <c r="L57" s="231">
        <f t="shared" si="3"/>
        <v>999</v>
      </c>
      <c r="M57" s="75"/>
      <c r="N57" s="134"/>
      <c r="O57" s="134"/>
    </row>
    <row r="58" spans="1:15" ht="18.75" x14ac:dyDescent="0.3">
      <c r="A58" s="137"/>
      <c r="B58" s="110"/>
      <c r="C58" s="198"/>
      <c r="D58" s="233"/>
      <c r="E58" s="138"/>
      <c r="F58" s="198"/>
      <c r="G58" s="198"/>
      <c r="H58" s="233"/>
      <c r="I58" s="138"/>
      <c r="J58" s="198"/>
      <c r="K58" s="196"/>
      <c r="L58" s="231"/>
      <c r="M58" s="74"/>
    </row>
    <row r="59" spans="1:15" ht="22.5" x14ac:dyDescent="0.3">
      <c r="A59" s="137" t="s">
        <v>363</v>
      </c>
      <c r="B59" s="110"/>
      <c r="C59" s="198"/>
      <c r="D59" s="233"/>
      <c r="E59" s="138"/>
      <c r="F59" s="198"/>
      <c r="G59" s="198"/>
      <c r="H59" s="233"/>
      <c r="I59" s="138"/>
      <c r="J59" s="198"/>
      <c r="K59" s="196"/>
      <c r="L59" s="231"/>
      <c r="M59" s="74"/>
    </row>
    <row r="60" spans="1:15" s="135" customFormat="1" ht="18.75" x14ac:dyDescent="0.3">
      <c r="A60" s="137" t="s">
        <v>112</v>
      </c>
      <c r="B60" s="110">
        <f>B38-B49</f>
        <v>27916.724000000017</v>
      </c>
      <c r="C60" s="198">
        <f>C38-C49</f>
        <v>7759.3670000000129</v>
      </c>
      <c r="D60" s="233">
        <f t="shared" si="9"/>
        <v>-72.2</v>
      </c>
      <c r="E60" s="138"/>
      <c r="F60" s="198">
        <f>F38-F49</f>
        <v>0</v>
      </c>
      <c r="G60" s="198">
        <f>G38-G49</f>
        <v>0</v>
      </c>
      <c r="H60" s="233"/>
      <c r="I60" s="138"/>
      <c r="J60" s="198">
        <f t="shared" si="0"/>
        <v>27916.724000000017</v>
      </c>
      <c r="K60" s="196">
        <f t="shared" si="0"/>
        <v>7759.3670000000129</v>
      </c>
      <c r="L60" s="231">
        <f t="shared" si="3"/>
        <v>-72.2</v>
      </c>
      <c r="M60" s="75"/>
    </row>
    <row r="61" spans="1:15" s="135" customFormat="1" ht="18.75" x14ac:dyDescent="0.3">
      <c r="A61" s="195"/>
      <c r="B61" s="115"/>
      <c r="C61" s="199"/>
      <c r="D61" s="204"/>
      <c r="E61" s="138"/>
      <c r="F61" s="199"/>
      <c r="G61" s="199"/>
      <c r="H61" s="204"/>
      <c r="I61" s="138"/>
      <c r="J61" s="204"/>
      <c r="K61" s="204"/>
      <c r="L61" s="204"/>
      <c r="M61" s="75"/>
    </row>
    <row r="62" spans="1:15" ht="18.75" x14ac:dyDescent="0.3">
      <c r="A62" s="112" t="s">
        <v>123</v>
      </c>
      <c r="C62" s="139"/>
      <c r="D62" s="139"/>
      <c r="E62" s="139"/>
      <c r="F62" s="139"/>
      <c r="G62" s="112"/>
      <c r="H62" s="74"/>
      <c r="I62" s="112"/>
      <c r="J62" s="112"/>
      <c r="K62" s="112"/>
      <c r="L62" s="74"/>
      <c r="M62" s="74"/>
    </row>
    <row r="63" spans="1:15" ht="18.75" x14ac:dyDescent="0.3">
      <c r="A63" s="112" t="s">
        <v>124</v>
      </c>
      <c r="C63" s="139"/>
      <c r="D63" s="139"/>
      <c r="E63" s="139"/>
      <c r="F63" s="139"/>
      <c r="G63" s="74"/>
      <c r="H63" s="74"/>
      <c r="I63" s="74"/>
      <c r="J63" s="74"/>
      <c r="K63" s="74"/>
      <c r="L63" s="74"/>
      <c r="M63" s="74"/>
    </row>
    <row r="64" spans="1:15" ht="18.75" x14ac:dyDescent="0.3">
      <c r="A64" s="112" t="s">
        <v>103</v>
      </c>
      <c r="B64" s="74"/>
      <c r="C64" s="74"/>
      <c r="D64" s="74"/>
      <c r="E64" s="74"/>
      <c r="F64" s="74"/>
      <c r="G64" s="74"/>
      <c r="H64" s="74"/>
      <c r="I64" s="74"/>
      <c r="J64" s="74"/>
      <c r="K64" s="74"/>
      <c r="L64" s="74"/>
      <c r="M64" s="74"/>
    </row>
    <row r="65" spans="1:13" ht="18.75" x14ac:dyDescent="0.3">
      <c r="A65" s="74"/>
      <c r="C65" s="74"/>
      <c r="D65" s="74"/>
      <c r="E65" s="74"/>
      <c r="F65" s="74"/>
      <c r="G65" s="74"/>
      <c r="H65" s="74"/>
      <c r="I65" s="74"/>
      <c r="J65" s="74"/>
      <c r="K65" s="74"/>
      <c r="L65" s="74"/>
      <c r="M65" s="74"/>
    </row>
    <row r="66" spans="1:13" ht="18.75" x14ac:dyDescent="0.3">
      <c r="A66" s="74"/>
      <c r="B66" s="74"/>
      <c r="C66" s="74"/>
      <c r="D66" s="74"/>
      <c r="E66" s="74"/>
      <c r="F66" s="74"/>
      <c r="G66" s="74"/>
      <c r="H66" s="74"/>
      <c r="I66" s="74"/>
      <c r="J66" s="74"/>
      <c r="K66" s="74"/>
      <c r="L66" s="74"/>
      <c r="M66" s="74"/>
    </row>
    <row r="67" spans="1:13" ht="18.75" x14ac:dyDescent="0.3">
      <c r="A67" s="74"/>
      <c r="B67" s="74"/>
      <c r="C67" s="74"/>
      <c r="D67" s="74"/>
      <c r="E67" s="74"/>
      <c r="F67" s="74"/>
      <c r="G67" s="74"/>
      <c r="H67" s="74"/>
      <c r="I67" s="74"/>
      <c r="J67" s="74"/>
      <c r="K67" s="74"/>
      <c r="L67" s="74"/>
      <c r="M67" s="74"/>
    </row>
    <row r="68" spans="1:13" ht="18.75" x14ac:dyDescent="0.3">
      <c r="A68" s="74"/>
      <c r="B68" s="74"/>
      <c r="C68" s="74"/>
      <c r="D68" s="74"/>
      <c r="E68" s="74"/>
      <c r="F68" s="74"/>
      <c r="G68" s="74"/>
      <c r="H68" s="74"/>
      <c r="I68" s="74"/>
      <c r="J68" s="74"/>
      <c r="K68" s="74"/>
      <c r="L68" s="74"/>
      <c r="M68" s="74"/>
    </row>
    <row r="69" spans="1:13" ht="18.75" x14ac:dyDescent="0.3">
      <c r="A69" s="74"/>
      <c r="B69" s="74"/>
      <c r="C69" s="74"/>
      <c r="D69" s="74"/>
      <c r="E69" s="74"/>
      <c r="F69" s="74"/>
      <c r="G69" s="74"/>
      <c r="H69" s="74"/>
      <c r="I69" s="74"/>
      <c r="J69" s="74"/>
      <c r="K69" s="74"/>
      <c r="L69" s="74"/>
      <c r="M69" s="74"/>
    </row>
    <row r="70" spans="1:13" ht="18.75" x14ac:dyDescent="0.3">
      <c r="A70" s="74"/>
      <c r="B70" s="74"/>
      <c r="C70" s="74"/>
      <c r="D70" s="74"/>
      <c r="E70" s="74"/>
      <c r="F70" s="74"/>
      <c r="G70" s="74"/>
      <c r="H70" s="74"/>
      <c r="I70" s="74"/>
      <c r="J70" s="74"/>
      <c r="K70" s="74"/>
      <c r="L70" s="74"/>
      <c r="M70" s="74"/>
    </row>
    <row r="71" spans="1:13" ht="18.75" x14ac:dyDescent="0.3">
      <c r="A71" s="74"/>
      <c r="B71" s="74"/>
      <c r="C71" s="74"/>
      <c r="D71" s="74"/>
      <c r="E71" s="74"/>
      <c r="F71" s="74"/>
      <c r="G71" s="74"/>
      <c r="H71" s="74"/>
      <c r="I71" s="74"/>
      <c r="J71" s="74"/>
      <c r="K71" s="74"/>
      <c r="L71" s="74"/>
      <c r="M71" s="74"/>
    </row>
    <row r="72" spans="1:13" ht="18.75" x14ac:dyDescent="0.3">
      <c r="A72" s="74"/>
      <c r="B72" s="74"/>
      <c r="C72" s="74"/>
      <c r="D72" s="74"/>
      <c r="E72" s="74"/>
      <c r="F72" s="74"/>
      <c r="G72" s="74"/>
      <c r="H72" s="74"/>
      <c r="I72" s="74"/>
      <c r="J72" s="74"/>
      <c r="K72" s="74"/>
      <c r="L72" s="74"/>
      <c r="M72" s="74"/>
    </row>
    <row r="73" spans="1:13" ht="18.75" x14ac:dyDescent="0.3">
      <c r="A73" s="74"/>
      <c r="B73" s="74"/>
      <c r="C73" s="74"/>
      <c r="D73" s="74"/>
      <c r="E73" s="74"/>
      <c r="F73" s="74"/>
      <c r="G73" s="74"/>
      <c r="H73" s="74"/>
      <c r="I73" s="74"/>
      <c r="J73" s="74"/>
      <c r="K73" s="74"/>
      <c r="L73" s="74"/>
      <c r="M73" s="74"/>
    </row>
    <row r="74" spans="1:13" ht="18.75" x14ac:dyDescent="0.3">
      <c r="A74" s="74"/>
      <c r="B74" s="74"/>
      <c r="C74" s="74"/>
      <c r="D74" s="74"/>
      <c r="E74" s="74"/>
      <c r="F74" s="74"/>
      <c r="G74" s="74"/>
      <c r="H74" s="74"/>
      <c r="I74" s="74"/>
      <c r="J74" s="74"/>
      <c r="K74" s="74"/>
      <c r="L74" s="74"/>
      <c r="M74" s="74"/>
    </row>
    <row r="75" spans="1:13" ht="18.75" x14ac:dyDescent="0.3">
      <c r="A75" s="74"/>
      <c r="B75" s="74"/>
      <c r="C75" s="74"/>
      <c r="D75" s="74"/>
      <c r="E75" s="74"/>
      <c r="F75" s="74"/>
      <c r="G75" s="74"/>
      <c r="H75" s="74"/>
      <c r="I75" s="74"/>
      <c r="J75" s="74"/>
      <c r="K75" s="74"/>
      <c r="L75" s="74"/>
      <c r="M75" s="74"/>
    </row>
    <row r="76" spans="1:13" ht="18.75" x14ac:dyDescent="0.3">
      <c r="A76" s="74"/>
      <c r="B76" s="74"/>
      <c r="C76" s="74"/>
      <c r="D76" s="74"/>
      <c r="E76" s="74"/>
      <c r="F76" s="74"/>
      <c r="G76" s="74"/>
      <c r="H76" s="74"/>
      <c r="I76" s="74"/>
      <c r="J76" s="74"/>
      <c r="K76" s="74"/>
      <c r="L76" s="74"/>
      <c r="M76" s="74"/>
    </row>
    <row r="77" spans="1:13" ht="18.75" x14ac:dyDescent="0.3">
      <c r="A77" s="74"/>
      <c r="B77" s="74"/>
      <c r="C77" s="74"/>
      <c r="D77" s="74"/>
      <c r="E77" s="74"/>
      <c r="F77" s="74"/>
      <c r="G77" s="74"/>
      <c r="H77" s="74"/>
      <c r="I77" s="74"/>
      <c r="J77" s="74"/>
      <c r="K77" s="74"/>
      <c r="L77" s="74"/>
      <c r="M77" s="74"/>
    </row>
    <row r="78" spans="1:13" ht="18.75" x14ac:dyDescent="0.3">
      <c r="A78" s="74"/>
      <c r="B78" s="74"/>
      <c r="C78" s="74"/>
      <c r="D78" s="74"/>
      <c r="E78" s="74"/>
      <c r="F78" s="74"/>
      <c r="G78" s="74"/>
      <c r="H78" s="74"/>
      <c r="I78" s="74"/>
      <c r="J78" s="74"/>
      <c r="K78" s="74"/>
      <c r="L78" s="74"/>
      <c r="M78" s="74"/>
    </row>
    <row r="79" spans="1:13" ht="18.75" x14ac:dyDescent="0.3">
      <c r="A79" s="74"/>
      <c r="B79" s="74"/>
      <c r="C79" s="74"/>
      <c r="D79" s="74"/>
      <c r="E79" s="74"/>
      <c r="F79" s="74"/>
      <c r="G79" s="74"/>
      <c r="H79" s="74"/>
      <c r="I79" s="74"/>
      <c r="J79" s="74"/>
      <c r="K79" s="74"/>
      <c r="L79" s="74"/>
      <c r="M79" s="74"/>
    </row>
    <row r="80" spans="1:13" ht="18.75" x14ac:dyDescent="0.3">
      <c r="A80" s="74"/>
      <c r="B80" s="74"/>
      <c r="C80" s="74"/>
      <c r="D80" s="74"/>
      <c r="E80" s="74"/>
      <c r="F80" s="74"/>
      <c r="G80" s="74"/>
      <c r="H80" s="74"/>
      <c r="I80" s="74"/>
      <c r="J80" s="74"/>
      <c r="K80" s="74"/>
      <c r="L80" s="74"/>
      <c r="M80" s="74"/>
    </row>
    <row r="81" spans="1:13" ht="18.75" x14ac:dyDescent="0.3">
      <c r="A81" s="74"/>
      <c r="B81" s="74"/>
      <c r="C81" s="74"/>
      <c r="D81" s="74"/>
      <c r="E81" s="74"/>
      <c r="F81" s="74"/>
      <c r="G81" s="74"/>
      <c r="H81" s="74"/>
      <c r="I81" s="74"/>
      <c r="J81" s="74"/>
      <c r="K81" s="74"/>
      <c r="L81" s="74"/>
      <c r="M81" s="74"/>
    </row>
    <row r="82" spans="1:13" ht="18.75" x14ac:dyDescent="0.3">
      <c r="A82" s="74"/>
      <c r="B82" s="74"/>
      <c r="C82" s="74"/>
      <c r="D82" s="74"/>
      <c r="E82" s="74"/>
      <c r="F82" s="74"/>
      <c r="G82" s="74"/>
      <c r="H82" s="74"/>
      <c r="I82" s="74"/>
      <c r="J82" s="74"/>
      <c r="K82" s="74"/>
      <c r="L82" s="74"/>
      <c r="M82" s="74"/>
    </row>
    <row r="83" spans="1:13" ht="18.75" x14ac:dyDescent="0.3">
      <c r="A83" s="74"/>
      <c r="B83" s="74"/>
      <c r="C83" s="74"/>
      <c r="D83" s="74"/>
      <c r="E83" s="74"/>
      <c r="F83" s="74"/>
      <c r="G83" s="74"/>
      <c r="H83" s="74"/>
      <c r="I83" s="74"/>
      <c r="J83" s="74"/>
      <c r="K83" s="74"/>
      <c r="L83" s="74"/>
      <c r="M83" s="74"/>
    </row>
    <row r="84" spans="1:13" ht="18.75" x14ac:dyDescent="0.3">
      <c r="A84" s="74"/>
      <c r="B84" s="74"/>
      <c r="C84" s="74"/>
      <c r="D84" s="74"/>
      <c r="E84" s="74"/>
      <c r="F84" s="74"/>
      <c r="G84" s="74"/>
      <c r="H84" s="74"/>
      <c r="I84" s="74"/>
      <c r="J84" s="74"/>
      <c r="K84" s="74"/>
      <c r="L84" s="74"/>
      <c r="M84" s="74"/>
    </row>
    <row r="85" spans="1:13" ht="18.75" x14ac:dyDescent="0.3">
      <c r="A85" s="74"/>
      <c r="B85" s="74"/>
      <c r="C85" s="74"/>
      <c r="D85" s="74"/>
      <c r="E85" s="74"/>
      <c r="F85" s="74"/>
      <c r="G85" s="74"/>
      <c r="H85" s="74"/>
      <c r="I85" s="74"/>
      <c r="J85" s="74"/>
      <c r="K85" s="74"/>
      <c r="L85" s="74"/>
      <c r="M85" s="74"/>
    </row>
    <row r="86" spans="1:13" ht="18.75" x14ac:dyDescent="0.3">
      <c r="A86" s="74"/>
      <c r="B86" s="74"/>
      <c r="C86" s="74"/>
      <c r="D86" s="74"/>
      <c r="E86" s="74"/>
      <c r="F86" s="74"/>
      <c r="G86" s="74"/>
      <c r="H86" s="74"/>
      <c r="I86" s="74"/>
      <c r="J86" s="74"/>
      <c r="K86" s="74"/>
      <c r="L86" s="74"/>
      <c r="M86" s="74"/>
    </row>
    <row r="87" spans="1:13" ht="18.75" x14ac:dyDescent="0.3">
      <c r="A87" s="74"/>
      <c r="B87" s="74"/>
      <c r="C87" s="74"/>
      <c r="D87" s="74"/>
      <c r="E87" s="74"/>
      <c r="F87" s="74"/>
      <c r="G87" s="74"/>
      <c r="H87" s="74"/>
      <c r="I87" s="74"/>
      <c r="J87" s="74"/>
      <c r="K87" s="74"/>
      <c r="L87" s="74"/>
      <c r="M87" s="74"/>
    </row>
    <row r="88" spans="1:13" ht="18.75" x14ac:dyDescent="0.3">
      <c r="A88" s="74"/>
      <c r="B88" s="74"/>
      <c r="C88" s="74"/>
      <c r="D88" s="74"/>
      <c r="E88" s="74"/>
      <c r="F88" s="74"/>
      <c r="G88" s="74"/>
      <c r="H88" s="74"/>
      <c r="I88" s="74"/>
      <c r="J88" s="74"/>
      <c r="K88" s="74"/>
      <c r="L88" s="74"/>
      <c r="M88" s="74"/>
    </row>
    <row r="89" spans="1:13" ht="18.75" x14ac:dyDescent="0.3">
      <c r="A89" s="74"/>
      <c r="B89" s="74"/>
      <c r="C89" s="74"/>
      <c r="D89" s="74"/>
      <c r="E89" s="74"/>
      <c r="F89" s="74"/>
      <c r="G89" s="74"/>
      <c r="H89" s="74"/>
      <c r="I89" s="74"/>
      <c r="J89" s="74"/>
      <c r="K89" s="74"/>
      <c r="L89" s="74"/>
      <c r="M89" s="74"/>
    </row>
    <row r="90" spans="1:13" ht="18.75" x14ac:dyDescent="0.3">
      <c r="A90" s="74"/>
      <c r="B90" s="74"/>
      <c r="C90" s="74"/>
      <c r="D90" s="74"/>
      <c r="E90" s="74"/>
      <c r="F90" s="74"/>
      <c r="G90" s="74"/>
      <c r="H90" s="74"/>
      <c r="I90" s="74"/>
      <c r="J90" s="74"/>
      <c r="K90" s="74"/>
      <c r="L90" s="74"/>
      <c r="M90" s="74"/>
    </row>
    <row r="91" spans="1:13" ht="18.75" x14ac:dyDescent="0.3">
      <c r="A91" s="74"/>
      <c r="B91" s="74"/>
      <c r="C91" s="74"/>
      <c r="D91" s="74"/>
      <c r="E91" s="74"/>
      <c r="F91" s="74"/>
      <c r="G91" s="74"/>
      <c r="H91" s="74"/>
      <c r="I91" s="74"/>
      <c r="J91" s="74"/>
      <c r="K91" s="74"/>
      <c r="L91" s="74"/>
      <c r="M91" s="74"/>
    </row>
    <row r="92" spans="1:13" ht="18.75" x14ac:dyDescent="0.3">
      <c r="A92" s="74"/>
      <c r="B92" s="74"/>
      <c r="C92" s="74"/>
      <c r="D92" s="74"/>
      <c r="E92" s="74"/>
      <c r="F92" s="74"/>
      <c r="G92" s="74"/>
      <c r="H92" s="74"/>
      <c r="I92" s="74"/>
      <c r="J92" s="74"/>
      <c r="K92" s="74"/>
      <c r="L92" s="74"/>
      <c r="M92" s="74"/>
    </row>
    <row r="93" spans="1:13" ht="18.75" x14ac:dyDescent="0.3">
      <c r="A93" s="74"/>
      <c r="B93" s="74"/>
      <c r="C93" s="74"/>
      <c r="D93" s="74"/>
      <c r="E93" s="74"/>
      <c r="F93" s="74"/>
      <c r="G93" s="74"/>
      <c r="H93" s="74"/>
      <c r="I93" s="74"/>
      <c r="J93" s="74"/>
      <c r="K93" s="74"/>
      <c r="L93" s="74"/>
      <c r="M93" s="74"/>
    </row>
    <row r="94" spans="1:13" ht="18.75" x14ac:dyDescent="0.3">
      <c r="A94" s="74"/>
      <c r="B94" s="74"/>
      <c r="C94" s="74"/>
      <c r="D94" s="74"/>
      <c r="E94" s="74"/>
      <c r="F94" s="74"/>
      <c r="G94" s="74"/>
      <c r="H94" s="74"/>
      <c r="I94" s="74"/>
      <c r="J94" s="74"/>
      <c r="K94" s="74"/>
      <c r="L94" s="74"/>
      <c r="M94" s="74"/>
    </row>
    <row r="95" spans="1:13" ht="18.75" x14ac:dyDescent="0.3">
      <c r="A95" s="74"/>
      <c r="B95" s="74"/>
      <c r="C95" s="74"/>
      <c r="D95" s="74"/>
      <c r="E95" s="74"/>
      <c r="F95" s="74"/>
      <c r="G95" s="74"/>
      <c r="H95" s="74"/>
      <c r="I95" s="74"/>
      <c r="J95" s="74"/>
      <c r="K95" s="74"/>
      <c r="L95" s="74"/>
      <c r="M95" s="74"/>
    </row>
    <row r="96" spans="1:13" ht="18.75" x14ac:dyDescent="0.3">
      <c r="A96" s="74"/>
      <c r="B96" s="74"/>
      <c r="C96" s="74"/>
      <c r="D96" s="74"/>
      <c r="E96" s="74"/>
      <c r="F96" s="74"/>
      <c r="G96" s="74"/>
      <c r="H96" s="74"/>
      <c r="I96" s="74"/>
      <c r="J96" s="74"/>
      <c r="K96" s="74"/>
      <c r="L96" s="74"/>
      <c r="M96" s="74"/>
    </row>
    <row r="97" spans="1:13" ht="18.75" x14ac:dyDescent="0.3">
      <c r="A97" s="74"/>
      <c r="B97" s="74"/>
      <c r="C97" s="74"/>
      <c r="D97" s="74"/>
      <c r="E97" s="74"/>
      <c r="F97" s="74"/>
      <c r="G97" s="74"/>
      <c r="H97" s="74"/>
      <c r="I97" s="74"/>
      <c r="J97" s="74"/>
      <c r="K97" s="74"/>
      <c r="L97" s="74"/>
      <c r="M97" s="74"/>
    </row>
    <row r="98" spans="1:13" ht="18.75" x14ac:dyDescent="0.3">
      <c r="A98" s="74"/>
      <c r="B98" s="74"/>
      <c r="C98" s="74"/>
      <c r="D98" s="74"/>
      <c r="E98" s="74"/>
      <c r="F98" s="74"/>
      <c r="G98" s="74"/>
      <c r="H98" s="74"/>
      <c r="I98" s="74"/>
      <c r="J98" s="74"/>
      <c r="K98" s="74"/>
      <c r="L98" s="74"/>
      <c r="M98" s="74"/>
    </row>
    <row r="99" spans="1:13" ht="18.75" x14ac:dyDescent="0.3">
      <c r="A99" s="74"/>
      <c r="B99" s="74"/>
      <c r="C99" s="74"/>
      <c r="D99" s="74"/>
      <c r="E99" s="74"/>
      <c r="F99" s="74"/>
      <c r="G99" s="74"/>
      <c r="H99" s="74"/>
      <c r="I99" s="74"/>
      <c r="J99" s="74"/>
      <c r="K99" s="74"/>
      <c r="L99" s="74"/>
      <c r="M99" s="74"/>
    </row>
    <row r="100" spans="1:13" ht="18.75" x14ac:dyDescent="0.3">
      <c r="A100" s="74"/>
      <c r="B100" s="74"/>
      <c r="C100" s="74"/>
      <c r="D100" s="74"/>
      <c r="E100" s="74"/>
      <c r="F100" s="74"/>
      <c r="G100" s="74"/>
      <c r="H100" s="74"/>
      <c r="I100" s="74"/>
      <c r="J100" s="74"/>
      <c r="K100" s="74"/>
      <c r="L100" s="74"/>
      <c r="M100" s="74"/>
    </row>
    <row r="101" spans="1:13" ht="18.75" x14ac:dyDescent="0.3">
      <c r="A101" s="74"/>
      <c r="B101" s="74"/>
      <c r="C101" s="74"/>
      <c r="D101" s="74"/>
      <c r="E101" s="74"/>
      <c r="F101" s="74"/>
      <c r="G101" s="74"/>
      <c r="H101" s="74"/>
      <c r="I101" s="74"/>
      <c r="J101" s="74"/>
      <c r="K101" s="74"/>
      <c r="L101" s="74"/>
      <c r="M101" s="74"/>
    </row>
    <row r="102" spans="1:13" ht="18.75" x14ac:dyDescent="0.3">
      <c r="A102" s="74"/>
      <c r="B102" s="74"/>
      <c r="C102" s="74"/>
      <c r="D102" s="74"/>
      <c r="E102" s="74"/>
      <c r="F102" s="74"/>
      <c r="G102" s="74"/>
      <c r="H102" s="74"/>
      <c r="I102" s="74"/>
      <c r="J102" s="74"/>
      <c r="K102" s="74"/>
      <c r="L102" s="74"/>
      <c r="M102" s="74"/>
    </row>
    <row r="103" spans="1:13" ht="18.75" x14ac:dyDescent="0.3">
      <c r="A103" s="74"/>
      <c r="B103" s="74"/>
      <c r="C103" s="74"/>
      <c r="D103" s="74"/>
      <c r="E103" s="74"/>
      <c r="F103" s="74"/>
      <c r="G103" s="74"/>
      <c r="H103" s="74"/>
      <c r="I103" s="74"/>
      <c r="J103" s="74"/>
      <c r="K103" s="74"/>
      <c r="L103" s="74"/>
      <c r="M103" s="74"/>
    </row>
    <row r="104" spans="1:13" ht="18.75" x14ac:dyDescent="0.3">
      <c r="A104" s="74"/>
      <c r="B104" s="74"/>
      <c r="C104" s="74"/>
      <c r="D104" s="74"/>
      <c r="E104" s="74"/>
      <c r="F104" s="74"/>
      <c r="G104" s="74"/>
      <c r="H104" s="74"/>
      <c r="I104" s="74"/>
      <c r="J104" s="74"/>
      <c r="K104" s="74"/>
      <c r="L104" s="74"/>
      <c r="M104" s="74"/>
    </row>
    <row r="105" spans="1:13" ht="18.75" x14ac:dyDescent="0.3">
      <c r="A105" s="74"/>
      <c r="B105" s="74"/>
      <c r="C105" s="74"/>
      <c r="D105" s="74"/>
      <c r="E105" s="74"/>
      <c r="F105" s="74"/>
      <c r="G105" s="74"/>
      <c r="H105" s="74"/>
      <c r="I105" s="74"/>
      <c r="J105" s="74"/>
      <c r="K105" s="74"/>
      <c r="L105" s="74"/>
      <c r="M105" s="74"/>
    </row>
    <row r="106" spans="1:13" ht="18.75" x14ac:dyDescent="0.3">
      <c r="A106" s="74"/>
      <c r="B106" s="74"/>
      <c r="C106" s="74"/>
      <c r="D106" s="74"/>
      <c r="E106" s="74"/>
      <c r="F106" s="74"/>
      <c r="G106" s="74"/>
      <c r="H106" s="74"/>
      <c r="I106" s="74"/>
      <c r="J106" s="74"/>
      <c r="K106" s="74"/>
      <c r="L106" s="74"/>
      <c r="M106" s="74"/>
    </row>
    <row r="107" spans="1:13" ht="18.75" x14ac:dyDescent="0.3">
      <c r="A107" s="74"/>
      <c r="B107" s="74"/>
      <c r="C107" s="74"/>
      <c r="D107" s="74"/>
      <c r="E107" s="74"/>
      <c r="F107" s="74"/>
      <c r="G107" s="74"/>
      <c r="H107" s="74"/>
      <c r="I107" s="74"/>
      <c r="J107" s="74"/>
      <c r="K107" s="74"/>
      <c r="L107" s="74"/>
      <c r="M107" s="74"/>
    </row>
    <row r="108" spans="1:13" ht="18.75" x14ac:dyDescent="0.3">
      <c r="A108" s="74"/>
      <c r="B108" s="74"/>
      <c r="C108" s="74"/>
      <c r="D108" s="74"/>
      <c r="E108" s="74"/>
      <c r="F108" s="74"/>
      <c r="G108" s="74"/>
      <c r="H108" s="74"/>
      <c r="I108" s="74"/>
      <c r="J108" s="74"/>
      <c r="K108" s="74"/>
      <c r="L108" s="74"/>
      <c r="M108" s="74"/>
    </row>
    <row r="109" spans="1:13" ht="18.75" x14ac:dyDescent="0.3">
      <c r="A109" s="74"/>
      <c r="B109" s="74"/>
      <c r="C109" s="74"/>
      <c r="D109" s="74"/>
      <c r="E109" s="74"/>
      <c r="F109" s="74"/>
      <c r="G109" s="74"/>
      <c r="H109" s="74"/>
      <c r="I109" s="74"/>
      <c r="J109" s="74"/>
      <c r="K109" s="74"/>
      <c r="L109" s="74"/>
      <c r="M109" s="74"/>
    </row>
    <row r="110" spans="1:13" ht="18.75" x14ac:dyDescent="0.3">
      <c r="A110" s="74"/>
      <c r="B110" s="74"/>
      <c r="C110" s="74"/>
      <c r="D110" s="74"/>
      <c r="E110" s="74"/>
      <c r="F110" s="74"/>
      <c r="G110" s="74"/>
      <c r="H110" s="74"/>
      <c r="I110" s="74"/>
      <c r="J110" s="74"/>
      <c r="K110" s="74"/>
      <c r="L110" s="74"/>
      <c r="M110" s="74"/>
    </row>
    <row r="111" spans="1:13" ht="18.75" x14ac:dyDescent="0.3">
      <c r="A111" s="74"/>
      <c r="B111" s="74"/>
      <c r="C111" s="74"/>
      <c r="D111" s="74"/>
      <c r="E111" s="74"/>
      <c r="F111" s="74"/>
      <c r="G111" s="74"/>
      <c r="H111" s="74"/>
      <c r="I111" s="74"/>
      <c r="J111" s="74"/>
      <c r="K111" s="74"/>
      <c r="L111" s="74"/>
      <c r="M111" s="74"/>
    </row>
    <row r="112" spans="1:13" ht="18.75" x14ac:dyDescent="0.3">
      <c r="A112" s="74"/>
      <c r="B112" s="74"/>
      <c r="C112" s="74"/>
      <c r="D112" s="74"/>
      <c r="E112" s="74"/>
      <c r="F112" s="74"/>
      <c r="G112" s="74"/>
      <c r="H112" s="74"/>
      <c r="I112" s="74"/>
      <c r="J112" s="74"/>
      <c r="K112" s="74"/>
      <c r="L112" s="74"/>
      <c r="M112" s="74"/>
    </row>
    <row r="113" spans="1:13" ht="18.75" x14ac:dyDescent="0.3">
      <c r="A113" s="74"/>
      <c r="B113" s="74"/>
      <c r="C113" s="74"/>
      <c r="D113" s="74"/>
      <c r="E113" s="74"/>
      <c r="F113" s="74"/>
      <c r="G113" s="74"/>
      <c r="H113" s="74"/>
      <c r="I113" s="74"/>
      <c r="J113" s="74"/>
      <c r="K113" s="74"/>
      <c r="L113" s="74"/>
      <c r="M113" s="74"/>
    </row>
    <row r="114" spans="1:13" ht="18.75" x14ac:dyDescent="0.3">
      <c r="A114" s="74"/>
      <c r="B114" s="74"/>
      <c r="C114" s="74"/>
      <c r="D114" s="74"/>
      <c r="E114" s="74"/>
      <c r="F114" s="74"/>
      <c r="G114" s="74"/>
      <c r="H114" s="74"/>
      <c r="I114" s="74"/>
      <c r="J114" s="74"/>
      <c r="K114" s="74"/>
      <c r="L114" s="74"/>
      <c r="M114" s="74"/>
    </row>
    <row r="115" spans="1:13" ht="18.75" x14ac:dyDescent="0.3">
      <c r="A115" s="74"/>
      <c r="B115" s="74"/>
      <c r="C115" s="74"/>
      <c r="D115" s="74"/>
      <c r="E115" s="74"/>
      <c r="F115" s="74"/>
      <c r="G115" s="74"/>
      <c r="H115" s="74"/>
      <c r="I115" s="74"/>
      <c r="J115" s="74"/>
      <c r="K115" s="74"/>
      <c r="L115" s="74"/>
      <c r="M115" s="74"/>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J92"/>
  <sheetViews>
    <sheetView showGridLines="0" zoomScale="90" zoomScaleNormal="90" workbookViewId="0">
      <pane xSplit="1" ySplit="7" topLeftCell="B8" activePane="bottomRight" state="frozen"/>
      <selection pane="topRight" activeCell="B1" sqref="B1"/>
      <selection pane="bottomLeft" activeCell="A8" sqref="A8"/>
      <selection pane="bottomRight" activeCell="C6" sqref="C6"/>
    </sheetView>
  </sheetViews>
  <sheetFormatPr baseColWidth="10" defaultColWidth="11.42578125" defaultRowHeight="18" x14ac:dyDescent="0.25"/>
  <cols>
    <col min="1" max="1" width="35.85546875" style="81" customWidth="1"/>
    <col min="2" max="2" width="18.140625" style="81" customWidth="1"/>
    <col min="3" max="3" width="17.85546875" style="81" customWidth="1"/>
    <col min="4" max="4" width="11.7109375" style="81" customWidth="1"/>
    <col min="5" max="5" width="4.7109375" style="81" customWidth="1"/>
    <col min="6" max="7" width="13" style="81" customWidth="1"/>
    <col min="8" max="8" width="11.7109375" style="81" customWidth="1"/>
    <col min="9" max="9" width="12.42578125" style="81" customWidth="1"/>
    <col min="10" max="10" width="11.42578125" style="81"/>
    <col min="11" max="12" width="17.140625" style="81" bestFit="1" customWidth="1"/>
    <col min="13" max="16384" width="11.42578125" style="81"/>
  </cols>
  <sheetData>
    <row r="1" spans="1:10" ht="18.75" customHeight="1" x14ac:dyDescent="0.3">
      <c r="A1" s="80" t="s">
        <v>77</v>
      </c>
      <c r="B1" s="73" t="s">
        <v>52</v>
      </c>
      <c r="C1" s="80"/>
      <c r="D1" s="80"/>
      <c r="E1" s="80"/>
      <c r="F1" s="74"/>
      <c r="G1" s="74"/>
      <c r="H1" s="74"/>
      <c r="I1" s="74"/>
      <c r="J1" s="74"/>
    </row>
    <row r="2" spans="1:10" ht="20.100000000000001" customHeight="1" x14ac:dyDescent="0.3">
      <c r="A2" s="80" t="s">
        <v>160</v>
      </c>
      <c r="B2" s="80"/>
      <c r="C2" s="80"/>
      <c r="D2" s="80"/>
      <c r="E2" s="80"/>
      <c r="F2" s="74"/>
      <c r="G2" s="74"/>
      <c r="H2" s="74"/>
      <c r="I2" s="74"/>
      <c r="J2" s="74"/>
    </row>
    <row r="3" spans="1:10" ht="20.100000000000001" customHeight="1" x14ac:dyDescent="0.3">
      <c r="A3" s="75"/>
      <c r="B3" s="75"/>
      <c r="C3" s="75"/>
      <c r="D3" s="75"/>
      <c r="E3" s="256"/>
      <c r="F3" s="74"/>
      <c r="G3" s="74"/>
      <c r="H3" s="74"/>
      <c r="I3" s="74"/>
      <c r="J3" s="74"/>
    </row>
    <row r="4" spans="1:10" ht="20.100000000000001" customHeight="1" x14ac:dyDescent="0.3">
      <c r="A4" s="257"/>
      <c r="B4" s="712" t="s">
        <v>161</v>
      </c>
      <c r="C4" s="712"/>
      <c r="D4" s="713"/>
      <c r="E4" s="89"/>
      <c r="F4" s="714" t="s">
        <v>161</v>
      </c>
      <c r="G4" s="712"/>
      <c r="H4" s="713"/>
      <c r="I4" s="74"/>
      <c r="J4" s="74"/>
    </row>
    <row r="5" spans="1:10" ht="18.75" customHeight="1" x14ac:dyDescent="0.3">
      <c r="A5" s="258" t="s">
        <v>410</v>
      </c>
      <c r="B5" s="715" t="s">
        <v>162</v>
      </c>
      <c r="C5" s="716"/>
      <c r="D5" s="717"/>
      <c r="E5" s="259"/>
      <c r="F5" s="718" t="s">
        <v>163</v>
      </c>
      <c r="G5" s="719"/>
      <c r="H5" s="720"/>
      <c r="I5" s="112"/>
      <c r="J5" s="74"/>
    </row>
    <row r="6" spans="1:10" ht="18.75" customHeight="1" x14ac:dyDescent="0.3">
      <c r="A6" s="122"/>
      <c r="B6" s="120"/>
      <c r="C6" s="192"/>
      <c r="D6" s="260" t="s">
        <v>81</v>
      </c>
      <c r="E6" s="260"/>
      <c r="F6" s="123"/>
      <c r="G6" s="124"/>
      <c r="H6" s="94" t="s">
        <v>81</v>
      </c>
      <c r="I6" s="100"/>
      <c r="J6" s="74"/>
    </row>
    <row r="7" spans="1:10" ht="18.75" customHeight="1" x14ac:dyDescent="0.3">
      <c r="A7" s="126"/>
      <c r="B7" s="97">
        <v>2019</v>
      </c>
      <c r="C7" s="97">
        <v>2020</v>
      </c>
      <c r="D7" s="261" t="s">
        <v>83</v>
      </c>
      <c r="E7" s="260"/>
      <c r="F7" s="97">
        <v>2019</v>
      </c>
      <c r="G7" s="127">
        <v>2020</v>
      </c>
      <c r="H7" s="262" t="s">
        <v>83</v>
      </c>
      <c r="I7" s="100"/>
      <c r="J7" s="74"/>
    </row>
    <row r="8" spans="1:10" ht="18.75" customHeight="1" x14ac:dyDescent="0.3">
      <c r="A8" s="101" t="s">
        <v>164</v>
      </c>
      <c r="B8" s="109">
        <f>SUM(B9:B14)</f>
        <v>143855.28548649003</v>
      </c>
      <c r="C8" s="109">
        <f>SUM(C9:C14)</f>
        <v>162223.70996536012</v>
      </c>
      <c r="D8" s="263">
        <f t="shared" ref="D8:D38" si="0">IF(B8=0, "    ---- ", IF(ABS(ROUND(100/B8*C8-100,1))&lt;999,ROUND(100/B8*C8-100,1),IF(ROUND(100/B8*C8-100,1)&gt;999,999,-999)))</f>
        <v>12.8</v>
      </c>
      <c r="E8" s="264"/>
      <c r="F8" s="263">
        <f>SUM(F9:F14)</f>
        <v>100.00000000000001</v>
      </c>
      <c r="G8" s="263">
        <f>SUM(G9:G14)</f>
        <v>99.999999999999986</v>
      </c>
      <c r="H8" s="264">
        <f t="shared" ref="H8:H38" si="1">IF(F8=0, "    ---- ", IF(ABS(ROUND(100/F8*G8-100,1))&lt;999,ROUND(100/F8*G8-100,1),IF(ROUND(100/F8*G8-100,1)&gt;999,999,-999)))</f>
        <v>0</v>
      </c>
      <c r="I8" s="104"/>
      <c r="J8" s="74"/>
    </row>
    <row r="9" spans="1:10" ht="18.75" customHeight="1" x14ac:dyDescent="0.3">
      <c r="A9" s="86" t="s">
        <v>165</v>
      </c>
      <c r="B9" s="106">
        <f>'Tabell 6'!AR21</f>
        <v>4194.4814084499994</v>
      </c>
      <c r="C9" s="106">
        <f>'Tabell 6'!AS21</f>
        <v>2526.8545584500002</v>
      </c>
      <c r="D9" s="265">
        <f t="shared" si="0"/>
        <v>-39.799999999999997</v>
      </c>
      <c r="E9" s="265"/>
      <c r="F9" s="265">
        <f>'Tabell 6'!AR21/'Tabell 6'!AR29*100</f>
        <v>2.9157645436975752</v>
      </c>
      <c r="G9" s="265">
        <f>'Tabell 6'!AS21/'Tabell 6'!AS29*100</f>
        <v>1.557635785169482</v>
      </c>
      <c r="H9" s="266">
        <f t="shared" si="1"/>
        <v>-46.6</v>
      </c>
      <c r="I9" s="104"/>
      <c r="J9" s="77"/>
    </row>
    <row r="10" spans="1:10" ht="18.75" customHeight="1" x14ac:dyDescent="0.3">
      <c r="A10" s="86" t="s">
        <v>166</v>
      </c>
      <c r="B10" s="105">
        <f>'Tabell 6'!AR18+'Tabell 6'!AR22</f>
        <v>71173.236143960006</v>
      </c>
      <c r="C10" s="105">
        <f>'Tabell 6'!AS18+'Tabell 6'!AS22</f>
        <v>75521.31218094012</v>
      </c>
      <c r="D10" s="265">
        <f t="shared" si="0"/>
        <v>6.1</v>
      </c>
      <c r="E10" s="265"/>
      <c r="F10" s="265">
        <f>('Tabell 6'!AR18+'Tabell 6'!AR22)/'Tabell 6'!AR29*100</f>
        <v>49.475579505658246</v>
      </c>
      <c r="G10" s="265">
        <f>('Tabell 6'!AS18+'Tabell 6'!AS22)/'Tabell 6'!AS29*100</f>
        <v>46.553806590335221</v>
      </c>
      <c r="H10" s="266">
        <f t="shared" si="1"/>
        <v>-5.9</v>
      </c>
      <c r="I10" s="104"/>
      <c r="J10" s="74"/>
    </row>
    <row r="11" spans="1:10" ht="18.75" customHeight="1" x14ac:dyDescent="0.3">
      <c r="A11" s="86" t="s">
        <v>167</v>
      </c>
      <c r="B11" s="105">
        <f>'Tabell 6'!AR14</f>
        <v>983.27323775000002</v>
      </c>
      <c r="C11" s="105">
        <f>'Tabell 6'!AS14</f>
        <v>974.77340175000006</v>
      </c>
      <c r="D11" s="265">
        <f t="shared" si="0"/>
        <v>-0.9</v>
      </c>
      <c r="E11" s="265"/>
      <c r="F11" s="265">
        <f>'Tabell 6'!AR14/'Tabell 6'!AR29*100</f>
        <v>0.6835155444061477</v>
      </c>
      <c r="G11" s="265">
        <f>'Tabell 6'!AS14/'Tabell 6'!AS29*100</f>
        <v>0.60088220270523029</v>
      </c>
      <c r="H11" s="266">
        <f t="shared" si="1"/>
        <v>-12.1</v>
      </c>
      <c r="I11" s="104"/>
      <c r="J11" s="74"/>
    </row>
    <row r="12" spans="1:10" ht="18.75" customHeight="1" x14ac:dyDescent="0.3">
      <c r="A12" s="108" t="s">
        <v>168</v>
      </c>
      <c r="B12" s="105">
        <f>'Tabell 6'!AR15</f>
        <v>23608.08246582</v>
      </c>
      <c r="C12" s="105">
        <f>'Tabell 6'!AS15</f>
        <v>25915.51625914</v>
      </c>
      <c r="D12" s="267">
        <f t="shared" si="0"/>
        <v>9.8000000000000007</v>
      </c>
      <c r="E12" s="267"/>
      <c r="F12" s="265">
        <f>'Tabell 6'!AR15/'Tabell 6'!AR29*100</f>
        <v>16.410994136212761</v>
      </c>
      <c r="G12" s="265">
        <f>'Tabell 6'!AS15/'Tabell 6'!AS29*100</f>
        <v>15.97517173332664</v>
      </c>
      <c r="H12" s="266">
        <f t="shared" si="1"/>
        <v>-2.7</v>
      </c>
      <c r="I12" s="104"/>
      <c r="J12" s="74"/>
    </row>
    <row r="13" spans="1:10" ht="18.75" customHeight="1" x14ac:dyDescent="0.3">
      <c r="A13" s="86" t="s">
        <v>169</v>
      </c>
      <c r="B13" s="105">
        <f>'Tabell 6'!AR19+'Tabell 6'!AR23</f>
        <v>28778.677208300003</v>
      </c>
      <c r="C13" s="105">
        <f>'Tabell 6'!AS19+'Tabell 6'!AS23</f>
        <v>29599.327515059998</v>
      </c>
      <c r="D13" s="265">
        <f t="shared" si="0"/>
        <v>2.9</v>
      </c>
      <c r="E13" s="265"/>
      <c r="F13" s="265">
        <f>('Tabell 6'!AR19+'Tabell 6'!AR23)/'Tabell 6'!AR29*100</f>
        <v>20.005297067102006</v>
      </c>
      <c r="G13" s="265">
        <f>('Tabell 6'!AS19+'Tabell 6'!AS23)/'Tabell 6'!AS29*100</f>
        <v>18.245993462595813</v>
      </c>
      <c r="H13" s="266">
        <f t="shared" si="1"/>
        <v>-8.8000000000000007</v>
      </c>
      <c r="I13" s="104"/>
      <c r="J13" s="74"/>
    </row>
    <row r="14" spans="1:10" ht="18.75" customHeight="1" x14ac:dyDescent="0.3">
      <c r="A14" s="86" t="s">
        <v>170</v>
      </c>
      <c r="B14" s="176">
        <f>'Tabell 6'!AR17-'Tabell 6'!AR18+'Tabell 6'!AR24+'Tabell 6'!AR25+'Tabell 6'!AR26+'Tabell 6'!AR28</f>
        <v>15117.535022210002</v>
      </c>
      <c r="C14" s="176">
        <f>'Tabell 6'!AS17-'Tabell 6'!AS18+'Tabell 6'!AS24+'Tabell 6'!AS25+'Tabell 6'!AS26+'Tabell 6'!AS28</f>
        <v>27685.92605002</v>
      </c>
      <c r="D14" s="265">
        <f t="shared" si="0"/>
        <v>83.1</v>
      </c>
      <c r="E14" s="265"/>
      <c r="F14" s="265">
        <f>('Tabell 6'!AR17-'Tabell 6'!AR18+'Tabell 6'!AR24+'Tabell 6'!AR25+'Tabell 6'!AR26+'Tabell 6'!AR28)/'Tabell 6'!AR29*100</f>
        <v>10.508849202923273</v>
      </c>
      <c r="G14" s="265">
        <f>('Tabell 6'!AS17-'Tabell 6'!AS18+'Tabell 6'!AS24+'Tabell 6'!AS25+'Tabell 6'!AS26+'Tabell 6'!AS28)/'Tabell 6'!AS29*100</f>
        <v>17.066510225867614</v>
      </c>
      <c r="H14" s="266">
        <f t="shared" si="1"/>
        <v>62.4</v>
      </c>
      <c r="I14" s="104"/>
      <c r="J14" s="74"/>
    </row>
    <row r="15" spans="1:10" ht="18.75" customHeight="1" x14ac:dyDescent="0.3">
      <c r="A15" s="193"/>
      <c r="B15" s="103"/>
      <c r="C15" s="176"/>
      <c r="D15" s="266"/>
      <c r="E15" s="266"/>
      <c r="F15" s="266"/>
      <c r="G15" s="265"/>
      <c r="H15" s="266"/>
      <c r="I15" s="104"/>
      <c r="J15" s="74"/>
    </row>
    <row r="16" spans="1:10" s="135" customFormat="1" ht="18.75" customHeight="1" x14ac:dyDescent="0.3">
      <c r="A16" s="101" t="s">
        <v>171</v>
      </c>
      <c r="B16" s="109">
        <f>SUM(B17:B22)</f>
        <v>1101845.9974695498</v>
      </c>
      <c r="C16" s="109">
        <f>SUM(C17:C22)</f>
        <v>1147922.5026718799</v>
      </c>
      <c r="D16" s="263">
        <f t="shared" si="0"/>
        <v>4.2</v>
      </c>
      <c r="E16" s="263"/>
      <c r="F16" s="263">
        <f>SUM(F17:F22)</f>
        <v>100</v>
      </c>
      <c r="G16" s="263">
        <f>SUM(G17:G22)</f>
        <v>100</v>
      </c>
      <c r="H16" s="264">
        <f t="shared" si="1"/>
        <v>0</v>
      </c>
      <c r="I16" s="110"/>
      <c r="J16" s="75"/>
    </row>
    <row r="17" spans="1:10" ht="18.75" customHeight="1" x14ac:dyDescent="0.3">
      <c r="A17" s="86" t="s">
        <v>165</v>
      </c>
      <c r="B17" s="103">
        <f>'Tabell 6'!AR40</f>
        <v>189211.21758330998</v>
      </c>
      <c r="C17" s="103">
        <f>'Tabell 6'!AS40</f>
        <v>166928.64113194999</v>
      </c>
      <c r="D17" s="265">
        <f t="shared" si="0"/>
        <v>-11.8</v>
      </c>
      <c r="E17" s="265"/>
      <c r="F17" s="265">
        <f>'Tabell 6'!AR40/('Tabell 6'!AR45+'Tabell 6'!AR46)*100</f>
        <v>17.172201743060644</v>
      </c>
      <c r="G17" s="265">
        <f>'Tabell 6'!AS40/('Tabell 6'!AS45+'Tabell 6'!AS46)*100</f>
        <v>14.541804062853586</v>
      </c>
      <c r="H17" s="266">
        <f t="shared" si="1"/>
        <v>-15.3</v>
      </c>
      <c r="I17" s="104"/>
      <c r="J17" s="74"/>
    </row>
    <row r="18" spans="1:10" ht="18.75" customHeight="1" x14ac:dyDescent="0.3">
      <c r="A18" s="86" t="s">
        <v>166</v>
      </c>
      <c r="B18" s="103">
        <f>'Tabell 6'!AR37+'Tabell 6'!AR41</f>
        <v>350433.05922608002</v>
      </c>
      <c r="C18" s="103">
        <f>'Tabell 6'!AS37+'Tabell 6'!AS41</f>
        <v>343867.44375620002</v>
      </c>
      <c r="D18" s="265">
        <f t="shared" si="0"/>
        <v>-1.9</v>
      </c>
      <c r="E18" s="265"/>
      <c r="F18" s="265">
        <f>('Tabell 6'!AR37+'Tabell 6'!AR41)/('Tabell 6'!AR45+'Tabell 6'!AR46)*100</f>
        <v>31.804177719106747</v>
      </c>
      <c r="G18" s="265">
        <f>('Tabell 6'!AS37+'Tabell 6'!AS41)/('Tabell 6'!AS45+'Tabell 6'!AS46)*100</f>
        <v>29.955632279689741</v>
      </c>
      <c r="H18" s="266">
        <f t="shared" si="1"/>
        <v>-5.8</v>
      </c>
      <c r="I18" s="104"/>
      <c r="J18" s="74"/>
    </row>
    <row r="19" spans="1:10" ht="18.75" customHeight="1" x14ac:dyDescent="0.3">
      <c r="A19" s="86" t="s">
        <v>167</v>
      </c>
      <c r="B19" s="103">
        <f>'Tabell 6'!AR33</f>
        <v>33.442</v>
      </c>
      <c r="C19" s="103">
        <f>'Tabell 6'!AS33</f>
        <v>26.204000000000001</v>
      </c>
      <c r="D19" s="265">
        <f t="shared" si="0"/>
        <v>-21.6</v>
      </c>
      <c r="E19" s="265"/>
      <c r="F19" s="265">
        <f>'Tabell 6'!AR33/('Tabell 6'!AR45+'Tabell 6'!AR46)*100</f>
        <v>3.0350883950026959E-3</v>
      </c>
      <c r="G19" s="265">
        <f>'Tabell 6'!AS33/('Tabell 6'!AS45+'Tabell 6'!AS46)*100</f>
        <v>2.2827324962275877E-3</v>
      </c>
      <c r="H19" s="266">
        <f t="shared" si="1"/>
        <v>-24.8</v>
      </c>
      <c r="I19" s="104"/>
      <c r="J19" s="74"/>
    </row>
    <row r="20" spans="1:10" ht="18.75" customHeight="1" x14ac:dyDescent="0.3">
      <c r="A20" s="108" t="s">
        <v>168</v>
      </c>
      <c r="B20" s="105">
        <f>'Tabell 6'!AR34</f>
        <v>137832.59241354</v>
      </c>
      <c r="C20" s="105">
        <f>'Tabell 6'!AS34</f>
        <v>160961.96920787002</v>
      </c>
      <c r="D20" s="267">
        <f t="shared" si="0"/>
        <v>16.8</v>
      </c>
      <c r="E20" s="267"/>
      <c r="F20" s="265">
        <f>'Tabell 6'!AR34/('Tabell 6'!AR45+'Tabell 6'!AR46)*100</f>
        <v>12.509242918709162</v>
      </c>
      <c r="G20" s="265">
        <f>'Tabell 6'!AS34/('Tabell 6'!AS45+'Tabell 6'!AS46)*100</f>
        <v>14.022024033261685</v>
      </c>
      <c r="H20" s="266">
        <f t="shared" si="1"/>
        <v>12.1</v>
      </c>
      <c r="I20" s="104"/>
      <c r="J20" s="74"/>
    </row>
    <row r="21" spans="1:10" ht="18.75" customHeight="1" x14ac:dyDescent="0.3">
      <c r="A21" s="86" t="s">
        <v>169</v>
      </c>
      <c r="B21" s="103">
        <f>'Tabell 6'!AR38+'Tabell 6'!AR42</f>
        <v>415257.29665263987</v>
      </c>
      <c r="C21" s="103">
        <f>'Tabell 6'!AS38+'Tabell 6'!AS42</f>
        <v>460105.43181071989</v>
      </c>
      <c r="D21" s="265">
        <f t="shared" si="0"/>
        <v>10.8</v>
      </c>
      <c r="E21" s="265"/>
      <c r="F21" s="265">
        <f>('Tabell 6'!AR38+'Tabell 6'!AR42)/('Tabell 6'!AR45+'Tabell 6'!AR46)*100</f>
        <v>37.687417080635697</v>
      </c>
      <c r="G21" s="265">
        <f>('Tabell 6'!AS38+'Tabell 6'!AS42)/('Tabell 6'!AS45+'Tabell 6'!AS46)*100</f>
        <v>40.081576129032079</v>
      </c>
      <c r="H21" s="266">
        <f t="shared" si="1"/>
        <v>6.4</v>
      </c>
      <c r="I21" s="104"/>
      <c r="J21" s="74"/>
    </row>
    <row r="22" spans="1:10" ht="18.75" customHeight="1" x14ac:dyDescent="0.3">
      <c r="A22" s="193" t="s">
        <v>170</v>
      </c>
      <c r="B22" s="103">
        <f>'Tabell 6'!AR36-'Tabell 6'!AR37+'Tabell 6'!AR43+'Tabell 6'!AR44+'Tabell 6'!AR46</f>
        <v>9078.3895939799786</v>
      </c>
      <c r="C22" s="103">
        <f>'Tabell 6'!AS36-'Tabell 6'!AS37+'Tabell 6'!AS43+'Tabell 6'!AS44+'Tabell 6'!AS46</f>
        <v>16032.812765139995</v>
      </c>
      <c r="D22" s="265">
        <f t="shared" si="0"/>
        <v>76.599999999999994</v>
      </c>
      <c r="E22" s="265"/>
      <c r="F22" s="266">
        <f>('Tabell 6'!AR36-'Tabell 6'!AR37+'Tabell 6'!AR43+'Tabell 6'!AR44+'Tabell 6'!AR46)/('Tabell 6'!AR45+'Tabell 6'!AR46)*100</f>
        <v>0.82392545009275375</v>
      </c>
      <c r="G22" s="266">
        <f>('Tabell 6'!AS36-'Tabell 6'!AS37+'Tabell 6'!AS43+'Tabell 6'!AS44+'Tabell 6'!AS46)/('Tabell 6'!AS45+'Tabell 6'!AS46)*100</f>
        <v>1.3966807626666748</v>
      </c>
      <c r="H22" s="266">
        <f t="shared" si="1"/>
        <v>69.5</v>
      </c>
      <c r="I22" s="104"/>
      <c r="J22" s="74"/>
    </row>
    <row r="23" spans="1:10" ht="18.75" customHeight="1" x14ac:dyDescent="0.3">
      <c r="A23" s="86"/>
      <c r="B23" s="176"/>
      <c r="C23" s="176"/>
      <c r="D23" s="266"/>
      <c r="E23" s="265"/>
      <c r="F23" s="265"/>
      <c r="G23" s="266"/>
      <c r="H23" s="266"/>
      <c r="I23" s="182"/>
      <c r="J23" s="74"/>
    </row>
    <row r="24" spans="1:10" ht="18.75" customHeight="1" x14ac:dyDescent="0.3">
      <c r="A24" s="137" t="s">
        <v>172</v>
      </c>
      <c r="B24" s="109">
        <f>SUM(B25:B30)</f>
        <v>338309.52895604994</v>
      </c>
      <c r="C24" s="109">
        <f>SUM(C25:C30)</f>
        <v>354951.87404817005</v>
      </c>
      <c r="D24" s="263">
        <f t="shared" si="0"/>
        <v>4.9000000000000004</v>
      </c>
      <c r="E24" s="263"/>
      <c r="F24" s="264">
        <f>SUM(F25:F30)</f>
        <v>99.999999999999986</v>
      </c>
      <c r="G24" s="264">
        <f>SUM(G25:G30)</f>
        <v>100.00000000000003</v>
      </c>
      <c r="H24" s="266">
        <f t="shared" si="1"/>
        <v>0</v>
      </c>
      <c r="I24" s="182"/>
      <c r="J24" s="74"/>
    </row>
    <row r="25" spans="1:10" ht="18.75" customHeight="1" x14ac:dyDescent="0.3">
      <c r="A25" s="193" t="s">
        <v>165</v>
      </c>
      <c r="B25" s="103">
        <f>'Tabell 6'!AR55</f>
        <v>187041.67945738998</v>
      </c>
      <c r="C25" s="103">
        <f>'Tabell 6'!AS55</f>
        <v>193836.67316444</v>
      </c>
      <c r="D25" s="265">
        <f t="shared" si="0"/>
        <v>3.6</v>
      </c>
      <c r="E25" s="265"/>
      <c r="F25" s="265">
        <f>'Tabell 6'!AR55/('Tabell 6'!AR60+'Tabell 6'!AR61)*100</f>
        <v>55.287144892004704</v>
      </c>
      <c r="G25" s="265">
        <f>'Tabell 6'!AS55/('Tabell 6'!AS60+'Tabell 6'!AS61)*100</f>
        <v>54.609282930038773</v>
      </c>
      <c r="H25" s="266">
        <f t="shared" si="1"/>
        <v>-1.2</v>
      </c>
      <c r="I25" s="182"/>
      <c r="J25" s="74"/>
    </row>
    <row r="26" spans="1:10" ht="18.75" customHeight="1" x14ac:dyDescent="0.3">
      <c r="A26" s="193" t="s">
        <v>166</v>
      </c>
      <c r="B26" s="103">
        <f>'Tabell 6'!AR52+'Tabell 6'!AR56</f>
        <v>126868.11202816</v>
      </c>
      <c r="C26" s="103">
        <f>'Tabell 6'!AS52+'Tabell 6'!AS56</f>
        <v>131894.06696913001</v>
      </c>
      <c r="D26" s="265">
        <f t="shared" si="0"/>
        <v>4</v>
      </c>
      <c r="E26" s="265"/>
      <c r="F26" s="265">
        <f>('Tabell 6'!AR52+'Tabell 6'!AR56)/('Tabell 6'!AR60+'Tabell 6'!AR61)*100</f>
        <v>37.500602604853469</v>
      </c>
      <c r="G26" s="265">
        <f>('Tabell 6'!AS52+'Tabell 6'!AS56)/('Tabell 6'!AS60+'Tabell 6'!AS61)*100</f>
        <v>37.158295704963898</v>
      </c>
      <c r="H26" s="266">
        <f t="shared" si="1"/>
        <v>-0.9</v>
      </c>
      <c r="I26" s="182"/>
      <c r="J26" s="74"/>
    </row>
    <row r="27" spans="1:10" ht="18.75" customHeight="1" x14ac:dyDescent="0.3">
      <c r="A27" s="193" t="s">
        <v>167</v>
      </c>
      <c r="B27" s="103">
        <f>'Tabell 6'!AR48</f>
        <v>0</v>
      </c>
      <c r="C27" s="103">
        <f>'Tabell 6'!AS48</f>
        <v>0</v>
      </c>
      <c r="D27" s="265" t="str">
        <f t="shared" si="0"/>
        <v xml:space="preserve">    ---- </v>
      </c>
      <c r="E27" s="265"/>
      <c r="F27" s="265">
        <f>'Tabell 6'!AR48/('Tabell 6'!AR60+'Tabell 6'!AR61)*100</f>
        <v>0</v>
      </c>
      <c r="G27" s="265">
        <f>'Tabell 6'!AS48/('Tabell 6'!AS60+'Tabell 6'!AS61)*100</f>
        <v>0</v>
      </c>
      <c r="H27" s="266" t="str">
        <f t="shared" si="1"/>
        <v xml:space="preserve">    ---- </v>
      </c>
      <c r="I27" s="182"/>
      <c r="J27" s="74"/>
    </row>
    <row r="28" spans="1:10" ht="18.75" customHeight="1" x14ac:dyDescent="0.3">
      <c r="A28" s="108" t="s">
        <v>168</v>
      </c>
      <c r="B28" s="105">
        <f>'Tabell 6'!AR49</f>
        <v>18518.771066879999</v>
      </c>
      <c r="C28" s="105">
        <f>'Tabell 6'!AS49</f>
        <v>21362.888297879999</v>
      </c>
      <c r="D28" s="267">
        <f t="shared" si="0"/>
        <v>15.4</v>
      </c>
      <c r="E28" s="267"/>
      <c r="F28" s="265">
        <f>'Tabell 6'!AR49/('Tabell 6'!AR60+'Tabell 6'!AR61)*100</f>
        <v>5.4739135264752719</v>
      </c>
      <c r="G28" s="265">
        <f>'Tabell 6'!AS49/('Tabell 6'!AS60+'Tabell 6'!AS61)*100</f>
        <v>6.0185309220203962</v>
      </c>
      <c r="H28" s="266">
        <f t="shared" si="1"/>
        <v>9.9</v>
      </c>
      <c r="I28" s="182"/>
      <c r="J28" s="74"/>
    </row>
    <row r="29" spans="1:10" ht="18.75" customHeight="1" x14ac:dyDescent="0.3">
      <c r="A29" s="193" t="s">
        <v>169</v>
      </c>
      <c r="B29" s="103">
        <f>'Tabell 6'!AR53+'Tabell 6'!AR57</f>
        <v>2902.43611573</v>
      </c>
      <c r="C29" s="103">
        <f>'Tabell 6'!AS53+'Tabell 6'!AS57</f>
        <v>4213.5009485700002</v>
      </c>
      <c r="D29" s="265">
        <f t="shared" si="0"/>
        <v>45.2</v>
      </c>
      <c r="E29" s="265"/>
      <c r="F29" s="265">
        <f>('Tabell 6'!AR53+'Tabell 6'!AR57)/('Tabell 6'!AR60+'Tabell 6'!AR61)*100</f>
        <v>0.85792325291170179</v>
      </c>
      <c r="G29" s="265">
        <f>('Tabell 6'!AS53+'Tabell 6'!AS57)/('Tabell 6'!AS60+'Tabell 6'!AS61)*100</f>
        <v>1.1870626010550918</v>
      </c>
      <c r="H29" s="266">
        <f t="shared" si="1"/>
        <v>38.4</v>
      </c>
      <c r="I29" s="182"/>
      <c r="J29" s="74"/>
    </row>
    <row r="30" spans="1:10" ht="18.75" customHeight="1" x14ac:dyDescent="0.3">
      <c r="A30" s="86" t="s">
        <v>170</v>
      </c>
      <c r="B30" s="103">
        <f>'Tabell 6'!AR51-'Tabell 6'!AR52+'Tabell 6'!AR58+'Tabell 6'!AR59+'Tabell 6'!AR61</f>
        <v>2978.5302878900002</v>
      </c>
      <c r="C30" s="103">
        <f>'Tabell 6'!AS51-'Tabell 6'!AS52+'Tabell 6'!AS58+'Tabell 6'!AS59+'Tabell 6'!AS61</f>
        <v>3644.7446681499996</v>
      </c>
      <c r="D30" s="266">
        <f t="shared" si="0"/>
        <v>22.4</v>
      </c>
      <c r="E30" s="266"/>
      <c r="F30" s="266">
        <f>('Tabell 6'!AR51-'Tabell 6'!AR52+'Tabell 6'!AR58+'Tabell 6'!AR59+'Tabell 6'!AR61)/('Tabell 6'!AR60+'Tabell 6'!AR61)*100</f>
        <v>0.88041572375484078</v>
      </c>
      <c r="G30" s="266">
        <f>('Tabell 6'!AS51-'Tabell 6'!AS52+'Tabell 6'!AS58+'Tabell 6'!AS59+'Tabell 6'!AS61)/('Tabell 6'!AS60+'Tabell 6'!AS61)*100</f>
        <v>1.0268278419218535</v>
      </c>
      <c r="H30" s="266">
        <f t="shared" si="1"/>
        <v>16.600000000000001</v>
      </c>
      <c r="I30" s="182"/>
      <c r="J30" s="74"/>
    </row>
    <row r="31" spans="1:10" ht="18.75" customHeight="1" x14ac:dyDescent="0.3">
      <c r="A31" s="193"/>
      <c r="B31" s="176"/>
      <c r="C31" s="176"/>
      <c r="D31" s="265"/>
      <c r="E31" s="265"/>
      <c r="F31" s="265"/>
      <c r="G31" s="266"/>
      <c r="H31" s="266"/>
      <c r="I31" s="182"/>
      <c r="J31" s="74"/>
    </row>
    <row r="32" spans="1:10" ht="18.75" customHeight="1" x14ac:dyDescent="0.3">
      <c r="A32" s="137" t="s">
        <v>2</v>
      </c>
      <c r="B32" s="109">
        <f>SUM(B33:B38)</f>
        <v>1584010.8119120898</v>
      </c>
      <c r="C32" s="109">
        <f>SUM(C33:C38)</f>
        <v>1665098.0866854102</v>
      </c>
      <c r="D32" s="263">
        <f t="shared" si="0"/>
        <v>5.0999999999999996</v>
      </c>
      <c r="E32" s="263"/>
      <c r="F32" s="263">
        <f>SUM(F33:F38)</f>
        <v>100</v>
      </c>
      <c r="G32" s="263">
        <f>SUM(G33:G38)</f>
        <v>99.999999999999986</v>
      </c>
      <c r="H32" s="264">
        <f t="shared" si="1"/>
        <v>0</v>
      </c>
      <c r="I32" s="182"/>
      <c r="J32" s="74"/>
    </row>
    <row r="33" spans="1:10" ht="18.75" customHeight="1" x14ac:dyDescent="0.3">
      <c r="A33" s="193" t="s">
        <v>165</v>
      </c>
      <c r="B33" s="103">
        <f t="shared" ref="B33:C38" si="2">B9+B17+B25</f>
        <v>380447.37844914995</v>
      </c>
      <c r="C33" s="103">
        <f t="shared" si="2"/>
        <v>363292.16885483998</v>
      </c>
      <c r="D33" s="265">
        <f t="shared" si="0"/>
        <v>-4.5</v>
      </c>
      <c r="E33" s="265"/>
      <c r="F33" s="265">
        <f>B33/B32*100</f>
        <v>24.017978639293798</v>
      </c>
      <c r="G33" s="265">
        <f>C33/C32*100</f>
        <v>21.818064158491666</v>
      </c>
      <c r="H33" s="266">
        <f t="shared" si="1"/>
        <v>-9.1999999999999993</v>
      </c>
      <c r="I33" s="182"/>
      <c r="J33" s="74"/>
    </row>
    <row r="34" spans="1:10" ht="18.75" customHeight="1" x14ac:dyDescent="0.3">
      <c r="A34" s="193" t="s">
        <v>166</v>
      </c>
      <c r="B34" s="103">
        <f t="shared" si="2"/>
        <v>548474.40739820001</v>
      </c>
      <c r="C34" s="103">
        <f t="shared" si="2"/>
        <v>551282.82290627016</v>
      </c>
      <c r="D34" s="265">
        <f t="shared" si="0"/>
        <v>0.5</v>
      </c>
      <c r="E34" s="265"/>
      <c r="F34" s="265">
        <f>B34/B32*100</f>
        <v>34.625673213437608</v>
      </c>
      <c r="G34" s="265">
        <f>C34/C32*100</f>
        <v>33.108129023418002</v>
      </c>
      <c r="H34" s="266">
        <f t="shared" si="1"/>
        <v>-4.4000000000000004</v>
      </c>
      <c r="I34" s="182"/>
      <c r="J34" s="74"/>
    </row>
    <row r="35" spans="1:10" ht="18.75" customHeight="1" x14ac:dyDescent="0.3">
      <c r="A35" s="193" t="s">
        <v>167</v>
      </c>
      <c r="B35" s="103">
        <f t="shared" si="2"/>
        <v>1016.71523775</v>
      </c>
      <c r="C35" s="103">
        <f t="shared" si="2"/>
        <v>1000.97740175</v>
      </c>
      <c r="D35" s="265">
        <f t="shared" si="0"/>
        <v>-1.5</v>
      </c>
      <c r="E35" s="265"/>
      <c r="F35" s="265">
        <f>B35/B32*100</f>
        <v>6.4186129924372393E-2</v>
      </c>
      <c r="G35" s="265">
        <f>C35/C32*100</f>
        <v>6.0115221424737381E-2</v>
      </c>
      <c r="H35" s="266">
        <f t="shared" si="1"/>
        <v>-6.3</v>
      </c>
      <c r="I35" s="182"/>
      <c r="J35" s="74"/>
    </row>
    <row r="36" spans="1:10" ht="18.75" customHeight="1" x14ac:dyDescent="0.3">
      <c r="A36" s="108" t="s">
        <v>168</v>
      </c>
      <c r="B36" s="105">
        <f t="shared" si="2"/>
        <v>179959.44594624001</v>
      </c>
      <c r="C36" s="105">
        <f t="shared" si="2"/>
        <v>208240.37376489001</v>
      </c>
      <c r="D36" s="267">
        <f t="shared" si="0"/>
        <v>15.7</v>
      </c>
      <c r="E36" s="267"/>
      <c r="F36" s="265">
        <f>B36/B32*100</f>
        <v>11.360998586178052</v>
      </c>
      <c r="G36" s="265">
        <f>C36/C32*100</f>
        <v>12.506192603909538</v>
      </c>
      <c r="H36" s="266">
        <f t="shared" si="1"/>
        <v>10.1</v>
      </c>
      <c r="I36" s="182"/>
      <c r="J36" s="74"/>
    </row>
    <row r="37" spans="1:10" ht="18.75" customHeight="1" x14ac:dyDescent="0.3">
      <c r="A37" s="193" t="s">
        <v>169</v>
      </c>
      <c r="B37" s="103">
        <f t="shared" si="2"/>
        <v>446938.40997666982</v>
      </c>
      <c r="C37" s="103">
        <f t="shared" si="2"/>
        <v>493918.26027434994</v>
      </c>
      <c r="D37" s="265">
        <f t="shared" si="0"/>
        <v>10.5</v>
      </c>
      <c r="E37" s="265"/>
      <c r="F37" s="265">
        <f>B37/B32*100</f>
        <v>28.215616119258801</v>
      </c>
      <c r="G37" s="265">
        <f>C37/C32*100</f>
        <v>29.663012901393522</v>
      </c>
      <c r="H37" s="266">
        <f t="shared" si="1"/>
        <v>5.0999999999999996</v>
      </c>
      <c r="I37" s="182"/>
      <c r="J37" s="74"/>
    </row>
    <row r="38" spans="1:10" ht="18.75" customHeight="1" x14ac:dyDescent="0.3">
      <c r="A38" s="268" t="s">
        <v>170</v>
      </c>
      <c r="B38" s="269">
        <f t="shared" si="2"/>
        <v>27174.454904079979</v>
      </c>
      <c r="C38" s="269">
        <f t="shared" si="2"/>
        <v>47363.483483309996</v>
      </c>
      <c r="D38" s="270">
        <f t="shared" si="0"/>
        <v>74.3</v>
      </c>
      <c r="E38" s="265"/>
      <c r="F38" s="270">
        <f>B38/B32*100</f>
        <v>1.715547311907371</v>
      </c>
      <c r="G38" s="270">
        <f>C38/C32*100</f>
        <v>2.8444860913625241</v>
      </c>
      <c r="H38" s="271">
        <f t="shared" si="1"/>
        <v>65.8</v>
      </c>
      <c r="I38" s="182"/>
      <c r="J38" s="74"/>
    </row>
    <row r="39" spans="1:10" ht="18.75" customHeight="1" x14ac:dyDescent="0.3">
      <c r="A39" s="112"/>
      <c r="B39" s="112"/>
      <c r="C39" s="112"/>
      <c r="D39" s="112"/>
      <c r="E39" s="112"/>
      <c r="F39" s="182"/>
      <c r="G39" s="182"/>
      <c r="H39" s="182"/>
      <c r="I39" s="182"/>
      <c r="J39" s="74"/>
    </row>
    <row r="40" spans="1:10" ht="18.75" customHeight="1" x14ac:dyDescent="0.3">
      <c r="A40" s="112" t="s">
        <v>173</v>
      </c>
      <c r="B40" s="112"/>
      <c r="C40" s="112"/>
      <c r="D40" s="112"/>
      <c r="E40" s="112"/>
      <c r="F40" s="182"/>
      <c r="G40" s="182"/>
      <c r="H40" s="182"/>
      <c r="I40" s="182"/>
      <c r="J40" s="74"/>
    </row>
    <row r="41" spans="1:10" ht="18.75" x14ac:dyDescent="0.3">
      <c r="A41" s="112" t="s">
        <v>103</v>
      </c>
      <c r="B41" s="112"/>
      <c r="C41" s="112"/>
      <c r="D41" s="112"/>
      <c r="E41" s="112"/>
      <c r="F41" s="74"/>
      <c r="G41" s="74"/>
      <c r="H41" s="74"/>
      <c r="I41" s="74"/>
      <c r="J41" s="74"/>
    </row>
    <row r="42" spans="1:10" ht="18.75" x14ac:dyDescent="0.3">
      <c r="A42" s="74"/>
      <c r="B42" s="74"/>
      <c r="C42" s="74"/>
      <c r="D42" s="74"/>
      <c r="E42" s="74"/>
      <c r="G42" s="74"/>
      <c r="H42" s="74"/>
      <c r="I42" s="74"/>
      <c r="J42" s="74"/>
    </row>
    <row r="43" spans="1:10" ht="18.75" x14ac:dyDescent="0.3">
      <c r="A43" s="74"/>
      <c r="B43" s="74"/>
      <c r="C43" s="74"/>
      <c r="D43" s="74"/>
      <c r="E43" s="74"/>
      <c r="F43" s="74"/>
      <c r="G43" s="74"/>
      <c r="H43" s="74"/>
      <c r="I43" s="74"/>
      <c r="J43" s="74"/>
    </row>
    <row r="44" spans="1:10" ht="18.75" x14ac:dyDescent="0.3">
      <c r="A44" s="74"/>
      <c r="B44" s="74"/>
      <c r="C44" s="74"/>
      <c r="D44" s="74"/>
      <c r="E44" s="74"/>
      <c r="F44" s="74"/>
      <c r="G44" s="74"/>
      <c r="H44" s="74"/>
      <c r="I44" s="74"/>
      <c r="J44" s="74"/>
    </row>
    <row r="45" spans="1:10" ht="18.75" x14ac:dyDescent="0.3">
      <c r="A45" s="74"/>
      <c r="B45" s="74"/>
      <c r="C45" s="74"/>
      <c r="D45" s="74"/>
      <c r="E45" s="74"/>
      <c r="F45" s="74"/>
      <c r="G45" s="74"/>
      <c r="H45" s="74"/>
      <c r="I45" s="74"/>
      <c r="J45" s="74"/>
    </row>
    <row r="46" spans="1:10" ht="18.75" x14ac:dyDescent="0.3">
      <c r="A46" s="74"/>
      <c r="B46" s="74"/>
      <c r="C46" s="74"/>
      <c r="D46" s="74"/>
      <c r="E46" s="74"/>
      <c r="F46" s="74"/>
      <c r="G46" s="74"/>
      <c r="H46" s="74"/>
      <c r="I46" s="74"/>
      <c r="J46" s="74"/>
    </row>
    <row r="47" spans="1:10" ht="18.75" x14ac:dyDescent="0.3">
      <c r="A47" s="74"/>
      <c r="B47" s="74"/>
      <c r="C47" s="74"/>
      <c r="D47" s="74"/>
      <c r="E47" s="74"/>
      <c r="F47" s="74"/>
      <c r="G47" s="74"/>
      <c r="H47" s="74"/>
      <c r="I47" s="74"/>
      <c r="J47" s="74"/>
    </row>
    <row r="48" spans="1:10" ht="18.75" x14ac:dyDescent="0.3">
      <c r="A48" s="74"/>
      <c r="B48" s="74"/>
      <c r="C48" s="74"/>
      <c r="D48" s="74"/>
      <c r="E48" s="74"/>
      <c r="F48" s="74"/>
      <c r="G48" s="74"/>
      <c r="H48" s="74"/>
      <c r="I48" s="74"/>
      <c r="J48" s="74"/>
    </row>
    <row r="49" spans="1:10" ht="18.75" x14ac:dyDescent="0.3">
      <c r="A49" s="74"/>
      <c r="B49" s="74"/>
      <c r="C49" s="74"/>
      <c r="D49" s="74"/>
      <c r="E49" s="74"/>
      <c r="F49" s="74"/>
      <c r="G49" s="74"/>
      <c r="H49" s="74"/>
      <c r="I49" s="74"/>
      <c r="J49" s="74"/>
    </row>
    <row r="50" spans="1:10" ht="18.75" x14ac:dyDescent="0.3">
      <c r="A50" s="74"/>
      <c r="B50" s="74"/>
      <c r="C50" s="74"/>
      <c r="D50" s="74"/>
      <c r="E50" s="74"/>
      <c r="F50" s="74"/>
      <c r="G50" s="74"/>
      <c r="H50" s="74"/>
      <c r="I50" s="74"/>
      <c r="J50" s="74"/>
    </row>
    <row r="51" spans="1:10" ht="18.75" x14ac:dyDescent="0.3">
      <c r="A51" s="74"/>
      <c r="B51" s="74"/>
      <c r="C51" s="74"/>
      <c r="D51" s="74"/>
      <c r="E51" s="74"/>
      <c r="F51" s="74"/>
      <c r="G51" s="74"/>
      <c r="H51" s="74"/>
      <c r="I51" s="74"/>
      <c r="J51" s="74"/>
    </row>
    <row r="52" spans="1:10" ht="18.75" x14ac:dyDescent="0.3">
      <c r="A52" s="74"/>
      <c r="B52" s="74"/>
      <c r="C52" s="74"/>
      <c r="D52" s="74"/>
      <c r="E52" s="74"/>
      <c r="F52" s="74"/>
      <c r="G52" s="74"/>
      <c r="H52" s="74"/>
      <c r="I52" s="74"/>
      <c r="J52" s="74"/>
    </row>
    <row r="53" spans="1:10" ht="18.75" x14ac:dyDescent="0.3">
      <c r="A53" s="74"/>
      <c r="B53" s="74"/>
      <c r="C53" s="74"/>
      <c r="D53" s="74"/>
      <c r="E53" s="74"/>
      <c r="F53" s="74"/>
      <c r="G53" s="74"/>
      <c r="H53" s="74"/>
      <c r="I53" s="74"/>
      <c r="J53" s="74"/>
    </row>
    <row r="54" spans="1:10" ht="18.75" x14ac:dyDescent="0.3">
      <c r="A54" s="74"/>
      <c r="B54" s="74"/>
      <c r="C54" s="74"/>
      <c r="D54" s="74"/>
      <c r="E54" s="74"/>
      <c r="F54" s="74"/>
      <c r="G54" s="74"/>
      <c r="H54" s="74"/>
      <c r="I54" s="74"/>
      <c r="J54" s="74"/>
    </row>
    <row r="55" spans="1:10" ht="18.75" x14ac:dyDescent="0.3">
      <c r="A55" s="74"/>
      <c r="B55" s="74"/>
      <c r="C55" s="74"/>
      <c r="D55" s="74"/>
      <c r="E55" s="74"/>
      <c r="F55" s="74"/>
      <c r="G55" s="74"/>
      <c r="H55" s="74"/>
      <c r="I55" s="74"/>
      <c r="J55" s="74"/>
    </row>
    <row r="56" spans="1:10" ht="18.75" x14ac:dyDescent="0.3">
      <c r="A56" s="74"/>
      <c r="B56" s="74"/>
      <c r="C56" s="74"/>
      <c r="D56" s="74"/>
      <c r="E56" s="74"/>
      <c r="F56" s="74"/>
      <c r="G56" s="74"/>
      <c r="H56" s="74"/>
      <c r="I56" s="74"/>
      <c r="J56" s="74"/>
    </row>
    <row r="57" spans="1:10" ht="18.75" x14ac:dyDescent="0.3">
      <c r="A57" s="74"/>
      <c r="B57" s="74"/>
      <c r="C57" s="74"/>
      <c r="D57" s="74"/>
      <c r="E57" s="74"/>
      <c r="F57" s="74"/>
      <c r="G57" s="74"/>
      <c r="H57" s="74"/>
      <c r="I57" s="74"/>
      <c r="J57" s="74"/>
    </row>
    <row r="58" spans="1:10" ht="18.75" x14ac:dyDescent="0.3">
      <c r="A58" s="74"/>
      <c r="B58" s="74"/>
      <c r="C58" s="74"/>
      <c r="D58" s="74"/>
      <c r="E58" s="74"/>
      <c r="F58" s="74"/>
      <c r="G58" s="74"/>
      <c r="H58" s="74"/>
      <c r="I58" s="74"/>
      <c r="J58" s="74"/>
    </row>
    <row r="59" spans="1:10" ht="18.75" x14ac:dyDescent="0.3">
      <c r="A59" s="74"/>
      <c r="B59" s="74"/>
      <c r="C59" s="74"/>
      <c r="D59" s="74"/>
      <c r="E59" s="74"/>
      <c r="F59" s="74"/>
      <c r="G59" s="74"/>
      <c r="H59" s="74"/>
      <c r="I59" s="74"/>
      <c r="J59" s="74"/>
    </row>
    <row r="60" spans="1:10" ht="18.75" x14ac:dyDescent="0.3">
      <c r="A60" s="74"/>
      <c r="B60" s="74"/>
      <c r="C60" s="74"/>
      <c r="D60" s="74"/>
      <c r="E60" s="74"/>
      <c r="F60" s="74"/>
      <c r="G60" s="74"/>
      <c r="H60" s="74"/>
      <c r="I60" s="74"/>
      <c r="J60" s="74"/>
    </row>
    <row r="61" spans="1:10" ht="18.75" x14ac:dyDescent="0.3">
      <c r="A61" s="74"/>
      <c r="B61" s="74"/>
      <c r="C61" s="74"/>
      <c r="D61" s="74"/>
      <c r="E61" s="74"/>
      <c r="F61" s="74"/>
      <c r="G61" s="74"/>
      <c r="H61" s="74"/>
      <c r="I61" s="74"/>
      <c r="J61" s="74"/>
    </row>
    <row r="62" spans="1:10" ht="18.75" x14ac:dyDescent="0.3">
      <c r="A62" s="74"/>
      <c r="B62" s="74"/>
      <c r="C62" s="74"/>
      <c r="D62" s="74"/>
      <c r="E62" s="74"/>
      <c r="F62" s="74"/>
      <c r="G62" s="74"/>
      <c r="H62" s="74"/>
      <c r="I62" s="74"/>
      <c r="J62" s="74"/>
    </row>
    <row r="63" spans="1:10" ht="18.75" x14ac:dyDescent="0.3">
      <c r="A63" s="74"/>
      <c r="B63" s="74"/>
      <c r="C63" s="74"/>
      <c r="D63" s="74"/>
      <c r="E63" s="74"/>
      <c r="F63" s="74"/>
      <c r="G63" s="74"/>
      <c r="H63" s="74"/>
      <c r="I63" s="74"/>
      <c r="J63" s="74"/>
    </row>
    <row r="64" spans="1:10" ht="18.75" x14ac:dyDescent="0.3">
      <c r="A64" s="74"/>
      <c r="B64" s="74"/>
      <c r="C64" s="74"/>
      <c r="D64" s="74"/>
      <c r="E64" s="74"/>
      <c r="F64" s="74"/>
      <c r="G64" s="74"/>
      <c r="H64" s="74"/>
      <c r="I64" s="74"/>
      <c r="J64" s="74"/>
    </row>
    <row r="65" spans="1:10" ht="18.75" x14ac:dyDescent="0.3">
      <c r="A65" s="74"/>
      <c r="B65" s="74"/>
      <c r="C65" s="74"/>
      <c r="D65" s="74"/>
      <c r="E65" s="74"/>
      <c r="F65" s="74"/>
      <c r="G65" s="74"/>
      <c r="H65" s="74"/>
      <c r="I65" s="74"/>
      <c r="J65" s="74"/>
    </row>
    <row r="66" spans="1:10" ht="18.75" x14ac:dyDescent="0.3">
      <c r="A66" s="74"/>
      <c r="B66" s="74"/>
      <c r="C66" s="74"/>
      <c r="D66" s="74"/>
      <c r="E66" s="74"/>
      <c r="F66" s="74"/>
      <c r="G66" s="74"/>
      <c r="H66" s="74"/>
      <c r="I66" s="74"/>
      <c r="J66" s="74"/>
    </row>
    <row r="67" spans="1:10" ht="18.75" x14ac:dyDescent="0.3">
      <c r="A67" s="74"/>
      <c r="B67" s="74"/>
      <c r="C67" s="74"/>
      <c r="D67" s="74"/>
      <c r="E67" s="74"/>
      <c r="F67" s="74"/>
      <c r="G67" s="74"/>
      <c r="H67" s="74"/>
      <c r="I67" s="74"/>
      <c r="J67" s="74"/>
    </row>
    <row r="68" spans="1:10" ht="18.75" x14ac:dyDescent="0.3">
      <c r="A68" s="74"/>
      <c r="B68" s="74"/>
      <c r="C68" s="74"/>
      <c r="D68" s="74"/>
      <c r="E68" s="74"/>
      <c r="F68" s="74"/>
      <c r="G68" s="74"/>
      <c r="H68" s="74"/>
      <c r="I68" s="74"/>
      <c r="J68" s="74"/>
    </row>
    <row r="69" spans="1:10" ht="18.75" x14ac:dyDescent="0.3">
      <c r="A69" s="74"/>
      <c r="B69" s="74"/>
      <c r="C69" s="74"/>
      <c r="D69" s="74"/>
      <c r="E69" s="74"/>
      <c r="F69" s="74"/>
      <c r="G69" s="74"/>
      <c r="H69" s="74"/>
      <c r="I69" s="74"/>
      <c r="J69" s="74"/>
    </row>
    <row r="70" spans="1:10" ht="18.75" x14ac:dyDescent="0.3">
      <c r="A70" s="74"/>
      <c r="B70" s="74"/>
      <c r="C70" s="74"/>
      <c r="D70" s="74"/>
      <c r="E70" s="74"/>
      <c r="F70" s="74"/>
      <c r="G70" s="74"/>
      <c r="H70" s="74"/>
      <c r="I70" s="74"/>
      <c r="J70" s="74"/>
    </row>
    <row r="71" spans="1:10" ht="18.75" x14ac:dyDescent="0.3">
      <c r="A71" s="74"/>
      <c r="B71" s="74"/>
      <c r="C71" s="74"/>
      <c r="D71" s="74"/>
      <c r="E71" s="74"/>
      <c r="F71" s="74"/>
      <c r="G71" s="74"/>
      <c r="H71" s="74"/>
      <c r="I71" s="74"/>
      <c r="J71" s="74"/>
    </row>
    <row r="72" spans="1:10" ht="18.75" x14ac:dyDescent="0.3">
      <c r="A72" s="74"/>
      <c r="B72" s="74"/>
      <c r="C72" s="74"/>
      <c r="D72" s="74"/>
      <c r="E72" s="74"/>
      <c r="F72" s="74"/>
      <c r="G72" s="74"/>
      <c r="H72" s="74"/>
      <c r="I72" s="74"/>
      <c r="J72" s="74"/>
    </row>
    <row r="73" spans="1:10" ht="18.75" x14ac:dyDescent="0.3">
      <c r="A73" s="74"/>
      <c r="B73" s="74"/>
      <c r="C73" s="74"/>
      <c r="D73" s="74"/>
      <c r="E73" s="74"/>
      <c r="F73" s="74"/>
      <c r="G73" s="74"/>
      <c r="H73" s="74"/>
      <c r="I73" s="74"/>
      <c r="J73" s="74"/>
    </row>
    <row r="74" spans="1:10" ht="18.75" x14ac:dyDescent="0.3">
      <c r="A74" s="74"/>
      <c r="B74" s="74"/>
      <c r="C74" s="74"/>
      <c r="D74" s="74"/>
      <c r="E74" s="74"/>
      <c r="F74" s="74"/>
      <c r="G74" s="74"/>
      <c r="H74" s="74"/>
      <c r="I74" s="74"/>
      <c r="J74" s="74"/>
    </row>
    <row r="75" spans="1:10" ht="18.75" x14ac:dyDescent="0.3">
      <c r="A75" s="74"/>
      <c r="B75" s="74"/>
      <c r="C75" s="74"/>
      <c r="D75" s="74"/>
      <c r="E75" s="74"/>
      <c r="F75" s="74"/>
      <c r="G75" s="74"/>
      <c r="H75" s="74"/>
      <c r="I75" s="74"/>
      <c r="J75" s="74"/>
    </row>
    <row r="76" spans="1:10" ht="18.75" x14ac:dyDescent="0.3">
      <c r="A76" s="74"/>
      <c r="B76" s="74"/>
      <c r="C76" s="74"/>
      <c r="D76" s="74"/>
      <c r="E76" s="74"/>
      <c r="F76" s="74"/>
      <c r="G76" s="74"/>
      <c r="H76" s="74"/>
      <c r="I76" s="74"/>
      <c r="J76" s="74"/>
    </row>
    <row r="77" spans="1:10" ht="18.75" x14ac:dyDescent="0.3">
      <c r="A77" s="74"/>
      <c r="B77" s="74"/>
      <c r="C77" s="74"/>
      <c r="D77" s="74"/>
      <c r="E77" s="74"/>
      <c r="F77" s="74"/>
      <c r="G77" s="74"/>
      <c r="H77" s="74"/>
      <c r="I77" s="74"/>
      <c r="J77" s="74"/>
    </row>
    <row r="78" spans="1:10" ht="18.75" x14ac:dyDescent="0.3">
      <c r="A78" s="74"/>
      <c r="B78" s="74"/>
      <c r="C78" s="74"/>
      <c r="D78" s="74"/>
      <c r="E78" s="74"/>
      <c r="F78" s="74"/>
      <c r="G78" s="74"/>
      <c r="H78" s="74"/>
      <c r="I78" s="74"/>
      <c r="J78" s="74"/>
    </row>
    <row r="79" spans="1:10" ht="18.75" x14ac:dyDescent="0.3">
      <c r="A79" s="74"/>
      <c r="B79" s="74"/>
      <c r="C79" s="74"/>
      <c r="D79" s="74"/>
      <c r="E79" s="74"/>
      <c r="F79" s="74"/>
      <c r="G79" s="74"/>
      <c r="H79" s="74"/>
      <c r="I79" s="74"/>
      <c r="J79" s="74"/>
    </row>
    <row r="80" spans="1:10" ht="18.75" x14ac:dyDescent="0.3">
      <c r="A80" s="74"/>
      <c r="B80" s="74"/>
      <c r="C80" s="74"/>
      <c r="D80" s="74"/>
      <c r="E80" s="74"/>
      <c r="F80" s="74"/>
      <c r="G80" s="74"/>
      <c r="H80" s="74"/>
      <c r="I80" s="74"/>
      <c r="J80" s="74"/>
    </row>
    <row r="81" spans="1:10" ht="18.75" x14ac:dyDescent="0.3">
      <c r="A81" s="74"/>
      <c r="B81" s="74"/>
      <c r="C81" s="74"/>
      <c r="D81" s="74"/>
      <c r="E81" s="74"/>
      <c r="F81" s="74"/>
      <c r="G81" s="74"/>
      <c r="H81" s="74"/>
      <c r="I81" s="74"/>
      <c r="J81" s="74"/>
    </row>
    <row r="82" spans="1:10" ht="18.75" x14ac:dyDescent="0.3">
      <c r="A82" s="74"/>
      <c r="B82" s="74"/>
      <c r="C82" s="74"/>
      <c r="D82" s="74"/>
      <c r="E82" s="74"/>
      <c r="F82" s="74"/>
      <c r="G82" s="74"/>
      <c r="H82" s="74"/>
      <c r="I82" s="74"/>
      <c r="J82" s="74"/>
    </row>
    <row r="83" spans="1:10" ht="18.75" x14ac:dyDescent="0.3">
      <c r="A83" s="74"/>
      <c r="B83" s="74"/>
      <c r="C83" s="74"/>
      <c r="D83" s="74"/>
      <c r="E83" s="74"/>
      <c r="F83" s="74"/>
      <c r="G83" s="74"/>
      <c r="H83" s="74"/>
      <c r="I83" s="74"/>
      <c r="J83" s="74"/>
    </row>
    <row r="84" spans="1:10" ht="18.75" x14ac:dyDescent="0.3">
      <c r="A84" s="74"/>
      <c r="B84" s="74"/>
      <c r="C84" s="74"/>
      <c r="D84" s="74"/>
      <c r="E84" s="74"/>
      <c r="F84" s="74"/>
      <c r="G84" s="74"/>
      <c r="H84" s="74"/>
      <c r="I84" s="74"/>
      <c r="J84" s="74"/>
    </row>
    <row r="85" spans="1:10" ht="18.75" x14ac:dyDescent="0.3">
      <c r="A85" s="74"/>
      <c r="B85" s="74"/>
      <c r="C85" s="74"/>
      <c r="D85" s="74"/>
      <c r="E85" s="74"/>
      <c r="F85" s="74"/>
      <c r="G85" s="74"/>
      <c r="H85" s="74"/>
      <c r="I85" s="74"/>
      <c r="J85" s="74"/>
    </row>
    <row r="86" spans="1:10" ht="18.75" x14ac:dyDescent="0.3">
      <c r="A86" s="74"/>
      <c r="B86" s="74"/>
      <c r="C86" s="74"/>
      <c r="D86" s="74"/>
      <c r="E86" s="74"/>
      <c r="F86" s="74"/>
      <c r="G86" s="74"/>
      <c r="H86" s="74"/>
      <c r="I86" s="74"/>
      <c r="J86" s="74"/>
    </row>
    <row r="87" spans="1:10" ht="18.75" x14ac:dyDescent="0.3">
      <c r="A87" s="74"/>
      <c r="B87" s="74"/>
      <c r="C87" s="74"/>
      <c r="D87" s="74"/>
      <c r="E87" s="74"/>
      <c r="F87" s="74"/>
      <c r="G87" s="74"/>
      <c r="H87" s="74"/>
      <c r="I87" s="74"/>
      <c r="J87" s="74"/>
    </row>
    <row r="88" spans="1:10" ht="18.75" x14ac:dyDescent="0.3">
      <c r="A88" s="74"/>
      <c r="B88" s="74"/>
      <c r="C88" s="74"/>
      <c r="D88" s="74"/>
      <c r="E88" s="74"/>
      <c r="F88" s="74"/>
      <c r="G88" s="74"/>
      <c r="H88" s="74"/>
      <c r="I88" s="74"/>
      <c r="J88" s="74"/>
    </row>
    <row r="89" spans="1:10" ht="18.75" x14ac:dyDescent="0.3">
      <c r="A89" s="74"/>
      <c r="B89" s="74"/>
      <c r="C89" s="74"/>
      <c r="D89" s="74"/>
      <c r="E89" s="74"/>
      <c r="F89" s="74"/>
      <c r="G89" s="74"/>
      <c r="H89" s="74"/>
      <c r="I89" s="74"/>
      <c r="J89" s="74"/>
    </row>
    <row r="90" spans="1:10" ht="18.75" x14ac:dyDescent="0.3">
      <c r="A90" s="74"/>
      <c r="B90" s="74"/>
      <c r="C90" s="74"/>
      <c r="D90" s="74"/>
      <c r="E90" s="74"/>
      <c r="F90" s="74"/>
      <c r="G90" s="74"/>
      <c r="H90" s="74"/>
      <c r="I90" s="74"/>
      <c r="J90" s="74"/>
    </row>
    <row r="91" spans="1:10" ht="18.75" x14ac:dyDescent="0.3">
      <c r="A91" s="74"/>
      <c r="B91" s="74"/>
      <c r="C91" s="74"/>
      <c r="D91" s="74"/>
      <c r="E91" s="74"/>
      <c r="F91" s="74"/>
      <c r="G91" s="74"/>
      <c r="H91" s="74"/>
      <c r="I91" s="74"/>
      <c r="J91" s="74"/>
    </row>
    <row r="92" spans="1:10" ht="18.75" x14ac:dyDescent="0.3">
      <c r="A92" s="74"/>
      <c r="B92" s="74"/>
      <c r="C92" s="74"/>
      <c r="D92" s="74"/>
      <c r="E92" s="74"/>
      <c r="F92" s="74"/>
      <c r="G92" s="74"/>
      <c r="H92" s="74"/>
      <c r="I92" s="74"/>
      <c r="J92" s="74"/>
    </row>
  </sheetData>
  <mergeCells count="4">
    <mergeCell ref="B4:D4"/>
    <mergeCell ref="F4:H4"/>
    <mergeCell ref="B5:D5"/>
    <mergeCell ref="F5:H5"/>
  </mergeCells>
  <hyperlinks>
    <hyperlink ref="B1" location="Innhold!A1" display="Tilbake" xr:uid="{00000000-0004-0000-0500-000000000000}"/>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K303"/>
  <sheetViews>
    <sheetView showGridLines="0" showZeros="0" zoomScaleNormal="100" zoomScaleSheetLayoutView="80" workbookViewId="0">
      <pane xSplit="1" ySplit="1" topLeftCell="B2" activePane="bottomRight" state="frozen"/>
      <selection activeCell="J44" sqref="J44"/>
      <selection pane="topRight" activeCell="J44" sqref="J44"/>
      <selection pane="bottomLeft" activeCell="J44" sqref="J44"/>
      <selection pane="bottomRight"/>
    </sheetView>
  </sheetViews>
  <sheetFormatPr baseColWidth="10" defaultColWidth="11.42578125" defaultRowHeight="12.75" x14ac:dyDescent="0.2"/>
  <cols>
    <col min="1" max="1" width="57.140625" style="1" customWidth="1"/>
    <col min="2" max="2" width="10.7109375" style="1" customWidth="1"/>
    <col min="3" max="3" width="10.85546875" style="1" customWidth="1"/>
    <col min="4" max="4" width="8.7109375" style="1" customWidth="1"/>
    <col min="5" max="5" width="10.7109375" style="1" customWidth="1"/>
    <col min="6" max="6" width="10.85546875" style="1" customWidth="1"/>
    <col min="7" max="7" width="8.7109375" style="1" customWidth="1"/>
    <col min="8" max="8" width="10.7109375" style="1" customWidth="1"/>
    <col min="9" max="9" width="10.85546875" style="1" customWidth="1"/>
    <col min="10" max="10" width="8.7109375" style="1" customWidth="1"/>
    <col min="11" max="16384" width="11.42578125" style="1"/>
  </cols>
  <sheetData>
    <row r="1" spans="1:10" ht="15.75" customHeight="1" x14ac:dyDescent="0.2">
      <c r="A1" s="351">
        <v>4</v>
      </c>
      <c r="B1" s="4"/>
      <c r="C1" s="4"/>
      <c r="D1" s="4"/>
      <c r="E1" s="4"/>
      <c r="F1" s="4"/>
      <c r="G1" s="4"/>
      <c r="H1" s="4"/>
      <c r="I1" s="4"/>
      <c r="J1" s="4"/>
    </row>
    <row r="2" spans="1:10" ht="15.75" customHeight="1" x14ac:dyDescent="0.25">
      <c r="A2" s="165" t="s">
        <v>28</v>
      </c>
      <c r="B2" s="724"/>
      <c r="C2" s="724"/>
      <c r="D2" s="724"/>
      <c r="E2" s="724"/>
      <c r="F2" s="724"/>
      <c r="G2" s="724"/>
      <c r="H2" s="724"/>
      <c r="I2" s="724"/>
      <c r="J2" s="724"/>
    </row>
    <row r="3" spans="1:10" ht="15.75" customHeight="1" x14ac:dyDescent="0.25">
      <c r="A3" s="163"/>
      <c r="B3" s="297"/>
      <c r="C3" s="297"/>
      <c r="D3" s="297"/>
      <c r="E3" s="297"/>
      <c r="F3" s="297"/>
      <c r="G3" s="297"/>
      <c r="H3" s="297"/>
      <c r="I3" s="297"/>
      <c r="J3" s="297"/>
    </row>
    <row r="4" spans="1:10" ht="15.75" customHeight="1" x14ac:dyDescent="0.2">
      <c r="A4" s="144"/>
      <c r="B4" s="721" t="s">
        <v>0</v>
      </c>
      <c r="C4" s="722"/>
      <c r="D4" s="722"/>
      <c r="E4" s="721" t="s">
        <v>1</v>
      </c>
      <c r="F4" s="722"/>
      <c r="G4" s="722"/>
      <c r="H4" s="721" t="s">
        <v>2</v>
      </c>
      <c r="I4" s="722"/>
      <c r="J4" s="723"/>
    </row>
    <row r="5" spans="1:10" ht="15.75" customHeight="1" x14ac:dyDescent="0.2">
      <c r="A5" s="158"/>
      <c r="B5" s="20" t="s">
        <v>423</v>
      </c>
      <c r="C5" s="20" t="s">
        <v>424</v>
      </c>
      <c r="D5" s="249" t="s">
        <v>3</v>
      </c>
      <c r="E5" s="20" t="s">
        <v>423</v>
      </c>
      <c r="F5" s="20" t="s">
        <v>424</v>
      </c>
      <c r="G5" s="249" t="s">
        <v>3</v>
      </c>
      <c r="H5" s="20" t="s">
        <v>423</v>
      </c>
      <c r="I5" s="20" t="s">
        <v>424</v>
      </c>
      <c r="J5" s="249" t="s">
        <v>3</v>
      </c>
    </row>
    <row r="6" spans="1:10" ht="15.75" customHeight="1" x14ac:dyDescent="0.2">
      <c r="A6" s="702"/>
      <c r="B6" s="15"/>
      <c r="C6" s="15"/>
      <c r="D6" s="17" t="s">
        <v>4</v>
      </c>
      <c r="E6" s="16"/>
      <c r="F6" s="16"/>
      <c r="G6" s="15" t="s">
        <v>4</v>
      </c>
      <c r="H6" s="16"/>
      <c r="I6" s="16"/>
      <c r="J6" s="15" t="s">
        <v>4</v>
      </c>
    </row>
    <row r="7" spans="1:10" s="43" customFormat="1" ht="15.75" customHeight="1" x14ac:dyDescent="0.2">
      <c r="A7" s="14" t="s">
        <v>23</v>
      </c>
      <c r="B7" s="236">
        <f>'Fremtind Livsforsikring'!B7+'Danica Pensjonsforsikring'!B7+'DNB Livsforsikring'!B7+'Eika Forsikring AS'!B7+'Frende Livsforsikring'!B7+'Frende Skadeforsikring'!B7+'Gjensidige Forsikring'!B7+'Gjensidige Pensjon'!B7+'Handelsbanken Liv'!B7+'If Skadeforsikring NUF'!B7+KLP!B7+'KLP Bedriftspensjon AS'!B7+'KLP Skadeforsikring AS'!B7+'Landkreditt Forsikring'!B7+Inrs!B7+'Nordea Liv '!B7+'Oslo Pensjonsforsikring'!B7+'Protector Forsikring'!B7+'SHB Liv'!B7+'Sparebank 1'!B7+'Storebrand Livsforsikring'!B7+'Telenor Forsikring'!B7+'Tryg Forsikring'!B7+'WaterCircles F'!B7</f>
        <v>1597772.8419394668</v>
      </c>
      <c r="C7" s="236">
        <f>'Fremtind Livsforsikring'!C7+'Danica Pensjonsforsikring'!C7+'DNB Livsforsikring'!C7+'Eika Forsikring AS'!C7+'Frende Livsforsikring'!C7+'Frende Skadeforsikring'!C7+'Gjensidige Forsikring'!C7+'Gjensidige Pensjon'!C7+'Handelsbanken Liv'!C7+'If Skadeforsikring NUF'!C7+KLP!C7+'KLP Bedriftspensjon AS'!C7+'KLP Skadeforsikring AS'!C7+'Landkreditt Forsikring'!C7+Inrs!C7+'Nordea Liv '!C7+'Oslo Pensjonsforsikring'!C7+'Protector Forsikring'!C7+'SHB Liv'!C7+'Sparebank 1'!C7+'Storebrand Livsforsikring'!C7+'Telenor Forsikring'!C7+'Tryg Forsikring'!C7+'WaterCircles F'!C7</f>
        <v>1554514.9184598648</v>
      </c>
      <c r="D7" s="160">
        <f t="shared" ref="D7:D12" si="0">IF(B7=0, "    ---- ", IF(ABS(ROUND(100/B7*C7-100,1))&lt;999,ROUND(100/B7*C7-100,1),IF(ROUND(100/B7*C7-100,1)&gt;999,999,-999)))</f>
        <v>-2.7</v>
      </c>
      <c r="E7" s="236">
        <f>'Fremtind Livsforsikring'!F7+'Danica Pensjonsforsikring'!F7+'DNB Livsforsikring'!F7+'Eika Forsikring AS'!F7+'Frende Livsforsikring'!F7+'Frende Skadeforsikring'!F7+'Gjensidige Forsikring'!F7+'Gjensidige Pensjon'!F7+'Handelsbanken Liv'!F7+'If Skadeforsikring NUF'!F7+KLP!F7+'KLP Bedriftspensjon AS'!F7+'KLP Skadeforsikring AS'!F7+'Landkreditt Forsikring'!F7+Inrs!F7+'Nordea Liv '!F7+'Oslo Pensjonsforsikring'!F7+'Protector Forsikring'!F7+'SHB Liv'!F7+'Sparebank 1'!F7+'Storebrand Livsforsikring'!F7+'Telenor Forsikring'!F7+'Tryg Forsikring'!F7+'WaterCircles F'!F7</f>
        <v>2690409.6018500002</v>
      </c>
      <c r="F7" s="236">
        <f>'Fremtind Livsforsikring'!G7+'Danica Pensjonsforsikring'!G7+'DNB Livsforsikring'!G7+'Eika Forsikring AS'!G7+'Frende Livsforsikring'!G7+'Frende Skadeforsikring'!G7+'Gjensidige Forsikring'!G7+'Gjensidige Pensjon'!G7+'Handelsbanken Liv'!G7+'If Skadeforsikring NUF'!G7+KLP!G7+'KLP Bedriftspensjon AS'!G7+'KLP Skadeforsikring AS'!G7+'Landkreditt Forsikring'!G7+Inrs!G7+'Nordea Liv '!G7+'Oslo Pensjonsforsikring'!G7+'Protector Forsikring'!G7+'SHB Liv'!G7+'Sparebank 1'!G7+'Storebrand Livsforsikring'!G7+'Telenor Forsikring'!G7+'Tryg Forsikring'!G7+'WaterCircles F'!G7</f>
        <v>2532534.1483199997</v>
      </c>
      <c r="G7" s="160">
        <f t="shared" ref="G7:G12" si="1">IF(E7=0, "    ---- ", IF(ABS(ROUND(100/E7*F7-100,1))&lt;999,ROUND(100/E7*F7-100,1),IF(ROUND(100/E7*F7-100,1)&gt;999,999,-999)))</f>
        <v>-5.9</v>
      </c>
      <c r="H7" s="277">
        <f t="shared" ref="H7:H12" si="2">B7+E7</f>
        <v>4288182.4437894672</v>
      </c>
      <c r="I7" s="278">
        <f t="shared" ref="I7:I12" si="3">C7+F7</f>
        <v>4087049.0667798645</v>
      </c>
      <c r="J7" s="171">
        <f t="shared" ref="J7:J12" si="4">IF(H7=0, "    ---- ", IF(ABS(ROUND(100/H7*I7-100,1))&lt;999,ROUND(100/H7*I7-100,1),IF(ROUND(100/H7*I7-100,1)&gt;999,999,-999)))</f>
        <v>-4.7</v>
      </c>
    </row>
    <row r="8" spans="1:10" ht="15.75" customHeight="1" x14ac:dyDescent="0.2">
      <c r="A8" s="21" t="s">
        <v>25</v>
      </c>
      <c r="B8" s="44">
        <f>'Fremtind Livsforsikring'!B8+'Danica Pensjonsforsikring'!B8+'DNB Livsforsikring'!B8+'Eika Forsikring AS'!B8+'Frende Livsforsikring'!B8+'Frende Skadeforsikring'!B8+'Gjensidige Forsikring'!B8+'Gjensidige Pensjon'!B8+'Handelsbanken Liv'!B8+'If Skadeforsikring NUF'!B8+KLP!B8+'KLP Bedriftspensjon AS'!B8+'KLP Skadeforsikring AS'!B8+'Landkreditt Forsikring'!B8+Inrs!B8+'Nordea Liv '!B8+'Oslo Pensjonsforsikring'!B8+'Protector Forsikring'!B8+'SHB Liv'!B8+'Sparebank 1'!B8+'Storebrand Livsforsikring'!B8+'Telenor Forsikring'!B8+'Tryg Forsikring'!B8+'WaterCircles F'!B8</f>
        <v>983805.20152011036</v>
      </c>
      <c r="C8" s="44">
        <f>'Fremtind Livsforsikring'!C8+'Danica Pensjonsforsikring'!C8+'DNB Livsforsikring'!C8+'Eika Forsikring AS'!C8+'Frende Livsforsikring'!C8+'Frende Skadeforsikring'!C8+'Gjensidige Forsikring'!C8+'Gjensidige Pensjon'!C8+'Handelsbanken Liv'!C8+'If Skadeforsikring NUF'!C8+KLP!C8+'KLP Bedriftspensjon AS'!C8+'KLP Skadeforsikring AS'!C8+'Landkreditt Forsikring'!C8+Inrs!C8+'Nordea Liv '!C8+'Oslo Pensjonsforsikring'!C8+'Protector Forsikring'!C8+'SHB Liv'!C8+'Sparebank 1'!C8+'Storebrand Livsforsikring'!C8+'Telenor Forsikring'!C8+'Tryg Forsikring'!C8+'WaterCircles F'!C8</f>
        <v>1037253.3635032017</v>
      </c>
      <c r="D8" s="166">
        <f t="shared" si="0"/>
        <v>5.4</v>
      </c>
      <c r="E8" s="187">
        <f>'Fremtind Livsforsikring'!F8+'Danica Pensjonsforsikring'!F8+'DNB Livsforsikring'!F8+'Eika Forsikring AS'!F8+'Frende Livsforsikring'!F8+'Frende Skadeforsikring'!F8+'Gjensidige Forsikring'!F8+'Gjensidige Pensjon'!F8+'Handelsbanken Liv'!F8+'If Skadeforsikring NUF'!F8+KLP!F8+'KLP Bedriftspensjon AS'!F8+'KLP Skadeforsikring AS'!F8+'Landkreditt Forsikring'!F8+Inrs!F8+'Nordea Liv '!F8+'Oslo Pensjonsforsikring'!F8+'Protector Forsikring'!F8+'SHB Liv'!F8+'Sparebank 1'!F8+'Storebrand Livsforsikring'!F8+'Telenor Forsikring'!F8+'Tryg Forsikring'!F8</f>
        <v>0</v>
      </c>
      <c r="F8" s="187">
        <f>'Fremtind Livsforsikring'!G8+'Danica Pensjonsforsikring'!G8+'DNB Livsforsikring'!G8+'Eika Forsikring AS'!G8+'Frende Livsforsikring'!G8+'Frende Skadeforsikring'!G8+'Gjensidige Forsikring'!G8+'Gjensidige Pensjon'!G8+'Handelsbanken Liv'!G8+'If Skadeforsikring NUF'!G8+KLP!G8+'KLP Bedriftspensjon AS'!G8+'KLP Skadeforsikring AS'!G8+'Landkreditt Forsikring'!G8+Inrs!G8+'Nordea Liv '!G8+'Oslo Pensjonsforsikring'!G8+'Protector Forsikring'!G8+'SHB Liv'!G8+'Sparebank 1'!G8+'Storebrand Livsforsikring'!G8+'Telenor Forsikring'!G8+'Tryg Forsikring'!G8</f>
        <v>0</v>
      </c>
      <c r="G8" s="175"/>
      <c r="H8" s="189">
        <f t="shared" si="2"/>
        <v>983805.20152011036</v>
      </c>
      <c r="I8" s="190">
        <f t="shared" si="3"/>
        <v>1037253.3635032017</v>
      </c>
      <c r="J8" s="171">
        <f t="shared" si="4"/>
        <v>5.4</v>
      </c>
    </row>
    <row r="9" spans="1:10" ht="15.75" customHeight="1" x14ac:dyDescent="0.2">
      <c r="A9" s="21" t="s">
        <v>24</v>
      </c>
      <c r="B9" s="44">
        <f>'Fremtind Livsforsikring'!B9+'Danica Pensjonsforsikring'!B9+'DNB Livsforsikring'!B9+'Eika Forsikring AS'!B9+'Frende Livsforsikring'!B9+'Frende Skadeforsikring'!B9+'Gjensidige Forsikring'!B9+'Gjensidige Pensjon'!B9+'Handelsbanken Liv'!B9+'If Skadeforsikring NUF'!B9+KLP!B9+'KLP Bedriftspensjon AS'!B9+'KLP Skadeforsikring AS'!B9+'Landkreditt Forsikring'!B9+Inrs!B9+'Nordea Liv '!B9+'Oslo Pensjonsforsikring'!B9+'Protector Forsikring'!B9+'SHB Liv'!B9+'Sparebank 1'!B9+'Storebrand Livsforsikring'!B9+'Telenor Forsikring'!B9+'Tryg Forsikring'!B9+'WaterCircles F'!B9</f>
        <v>368152.23084575322</v>
      </c>
      <c r="C9" s="44">
        <f>'Fremtind Livsforsikring'!C9+'Danica Pensjonsforsikring'!C9+'DNB Livsforsikring'!C9+'Eika Forsikring AS'!C9+'Frende Livsforsikring'!C9+'Frende Skadeforsikring'!C9+'Gjensidige Forsikring'!C9+'Gjensidige Pensjon'!C9+'Handelsbanken Liv'!C9+'If Skadeforsikring NUF'!C9+KLP!C9+'KLP Bedriftspensjon AS'!C9+'KLP Skadeforsikring AS'!C9+'Landkreditt Forsikring'!C9+Inrs!C9+'Nordea Liv '!C9+'Oslo Pensjonsforsikring'!C9+'Protector Forsikring'!C9+'SHB Liv'!C9+'Sparebank 1'!C9+'Storebrand Livsforsikring'!C9+'Telenor Forsikring'!C9+'Tryg Forsikring'!C9+'WaterCircles F'!C9</f>
        <v>333393.96494063927</v>
      </c>
      <c r="D9" s="175">
        <f t="shared" si="0"/>
        <v>-9.4</v>
      </c>
      <c r="E9" s="187">
        <f>'Fremtind Livsforsikring'!F9+'Danica Pensjonsforsikring'!F9+'DNB Livsforsikring'!F9+'Eika Forsikring AS'!F9+'Frende Livsforsikring'!F9+'Frende Skadeforsikring'!F9+'Gjensidige Forsikring'!F9+'Gjensidige Pensjon'!F9+'Handelsbanken Liv'!F9+'If Skadeforsikring NUF'!F9+KLP!F9+'KLP Bedriftspensjon AS'!F9+'KLP Skadeforsikring AS'!F9+'Landkreditt Forsikring'!F9+Inrs!F9+'Nordea Liv '!F9+'Oslo Pensjonsforsikring'!F9+'Protector Forsikring'!F9+'SHB Liv'!F9+'Sparebank 1'!F9+'Storebrand Livsforsikring'!F9+'Telenor Forsikring'!F9+'Tryg Forsikring'!F9</f>
        <v>0</v>
      </c>
      <c r="F9" s="187">
        <f>'Fremtind Livsforsikring'!G9+'Danica Pensjonsforsikring'!G9+'DNB Livsforsikring'!G9+'Eika Forsikring AS'!G9+'Frende Livsforsikring'!G9+'Frende Skadeforsikring'!G9+'Gjensidige Forsikring'!G9+'Gjensidige Pensjon'!G9+'Handelsbanken Liv'!G9+'If Skadeforsikring NUF'!G9+KLP!G9+'KLP Bedriftspensjon AS'!G9+'KLP Skadeforsikring AS'!G9+'Landkreditt Forsikring'!G9+Inrs!G9+'Nordea Liv '!G9+'Oslo Pensjonsforsikring'!G9+'Protector Forsikring'!G9+'SHB Liv'!G9+'Sparebank 1'!G9+'Storebrand Livsforsikring'!G9+'Telenor Forsikring'!G9+'Tryg Forsikring'!G9</f>
        <v>0</v>
      </c>
      <c r="G9" s="175"/>
      <c r="H9" s="189">
        <f t="shared" si="2"/>
        <v>368152.23084575322</v>
      </c>
      <c r="I9" s="190">
        <f t="shared" si="3"/>
        <v>333393.96494063927</v>
      </c>
      <c r="J9" s="171">
        <f t="shared" si="4"/>
        <v>-9.4</v>
      </c>
    </row>
    <row r="10" spans="1:10" s="43" customFormat="1" ht="15.75" customHeight="1" x14ac:dyDescent="0.2">
      <c r="A10" s="39" t="s">
        <v>368</v>
      </c>
      <c r="B10" s="236">
        <f>'Fremtind Livsforsikring'!B10+'Danica Pensjonsforsikring'!B10+'DNB Livsforsikring'!B10+'Eika Forsikring AS'!B10+'Frende Livsforsikring'!B10+'Frende Skadeforsikring'!B10+'Gjensidige Forsikring'!B10+'Gjensidige Pensjon'!B10+'Handelsbanken Liv'!B10+'If Skadeforsikring NUF'!B10+KLP!B10+'KLP Bedriftspensjon AS'!B10+'KLP Skadeforsikring AS'!B10+'Landkreditt Forsikring'!B10+Inrs!B10+'Nordea Liv '!B10+'Oslo Pensjonsforsikring'!B10+'Protector Forsikring'!B10+'SHB Liv'!B10+'Sparebank 1'!B10+'Storebrand Livsforsikring'!B10+'Telenor Forsikring'!B10+'Tryg Forsikring'!B10+'WaterCircles F'!B10</f>
        <v>20244209.887745671</v>
      </c>
      <c r="C10" s="236">
        <f>'Fremtind Livsforsikring'!C10+'Danica Pensjonsforsikring'!C10+'DNB Livsforsikring'!C10+'Eika Forsikring AS'!C10+'Frende Livsforsikring'!C10+'Frende Skadeforsikring'!C10+'Gjensidige Forsikring'!C10+'Gjensidige Pensjon'!C10+'Handelsbanken Liv'!C10+'If Skadeforsikring NUF'!C10+KLP!C10+'KLP Bedriftspensjon AS'!C10+'KLP Skadeforsikring AS'!C10+'Landkreditt Forsikring'!C10+Inrs!C10+'Nordea Liv '!C10+'Oslo Pensjonsforsikring'!C10+'Protector Forsikring'!C10+'SHB Liv'!C10+'Sparebank 1'!C10+'Storebrand Livsforsikring'!C10+'Telenor Forsikring'!C10+'Tryg Forsikring'!C10+'WaterCircles F'!C10</f>
        <v>18852684.110962451</v>
      </c>
      <c r="D10" s="160">
        <f t="shared" si="0"/>
        <v>-6.9</v>
      </c>
      <c r="E10" s="236">
        <f>'Fremtind Livsforsikring'!F10+'Danica Pensjonsforsikring'!F10+'DNB Livsforsikring'!F10+'Eika Forsikring AS'!F10+'Frende Livsforsikring'!F10+'Frende Skadeforsikring'!F10+'Gjensidige Forsikring'!F10+'Gjensidige Pensjon'!F10+'Handelsbanken Liv'!F10+'If Skadeforsikring NUF'!F10+KLP!F10+'KLP Bedriftspensjon AS'!F10+'KLP Skadeforsikring AS'!F10+'Landkreditt Forsikring'!F10+Inrs!F10+'Nordea Liv '!F10+'Oslo Pensjonsforsikring'!F10+'Protector Forsikring'!F10+'SHB Liv'!F10+'Sparebank 1'!F10+'Storebrand Livsforsikring'!F10+'Telenor Forsikring'!F10+'Tryg Forsikring'!F10+'WaterCircles F'!F10</f>
        <v>44815409.115429401</v>
      </c>
      <c r="F10" s="236">
        <f>'Fremtind Livsforsikring'!G10+'Danica Pensjonsforsikring'!G10+'DNB Livsforsikring'!G10+'Eika Forsikring AS'!G10+'Frende Livsforsikring'!G10+'Frende Skadeforsikring'!G10+'Gjensidige Forsikring'!G10+'Gjensidige Pensjon'!G10+'Handelsbanken Liv'!G10+'If Skadeforsikring NUF'!G10+KLP!G10+'KLP Bedriftspensjon AS'!G10+'KLP Skadeforsikring AS'!G10+'Landkreditt Forsikring'!G10+Inrs!G10+'Nordea Liv '!G10+'Oslo Pensjonsforsikring'!G10+'Protector Forsikring'!G10+'SHB Liv'!G10+'Sparebank 1'!G10+'Storebrand Livsforsikring'!G10+'Telenor Forsikring'!G10+'Tryg Forsikring'!G10+'WaterCircles F'!G10</f>
        <v>46610028.193619996</v>
      </c>
      <c r="G10" s="160">
        <f t="shared" si="1"/>
        <v>4</v>
      </c>
      <c r="H10" s="277">
        <f t="shared" si="2"/>
        <v>65059619.003175072</v>
      </c>
      <c r="I10" s="278">
        <f t="shared" si="3"/>
        <v>65462712.304582447</v>
      </c>
      <c r="J10" s="171">
        <f t="shared" si="4"/>
        <v>0.6</v>
      </c>
    </row>
    <row r="11" spans="1:10" s="43" customFormat="1" ht="15.75" customHeight="1" x14ac:dyDescent="0.2">
      <c r="A11" s="39" t="s">
        <v>369</v>
      </c>
      <c r="B11" s="236">
        <f>'Fremtind Livsforsikring'!B11+'Danica Pensjonsforsikring'!B11+'DNB Livsforsikring'!B11+'Eika Forsikring AS'!B11+'Frende Livsforsikring'!B11+'Frende Skadeforsikring'!B11+'Gjensidige Forsikring'!B11+'Gjensidige Pensjon'!B11+'Handelsbanken Liv'!B11+'If Skadeforsikring NUF'!B11+KLP!B11+'KLP Bedriftspensjon AS'!B11+'KLP Skadeforsikring AS'!B11+'Landkreditt Forsikring'!B11+Inrs!B11+'Nordea Liv '!B11+'Oslo Pensjonsforsikring'!B11+'Protector Forsikring'!B11+'SHB Liv'!B11+'Sparebank 1'!B11+'Storebrand Livsforsikring'!B11+'Telenor Forsikring'!B11+'Tryg Forsikring'!B11+'WaterCircles F'!B11</f>
        <v>5332</v>
      </c>
      <c r="C11" s="236">
        <f>'Fremtind Livsforsikring'!C11+'Danica Pensjonsforsikring'!C11+'DNB Livsforsikring'!C11+'Eika Forsikring AS'!C11+'Frende Livsforsikring'!C11+'Frende Skadeforsikring'!C11+'Gjensidige Forsikring'!C11+'Gjensidige Pensjon'!C11+'Handelsbanken Liv'!C11+'If Skadeforsikring NUF'!C11+KLP!C11+'KLP Bedriftspensjon AS'!C11+'KLP Skadeforsikring AS'!C11+'Landkreditt Forsikring'!C11+Inrs!C11+'Nordea Liv '!C11+'Oslo Pensjonsforsikring'!C11+'Protector Forsikring'!C11+'SHB Liv'!C11+'Sparebank 1'!C11+'Storebrand Livsforsikring'!C11+'Telenor Forsikring'!C11+'Tryg Forsikring'!C11+'WaterCircles F'!C11</f>
        <v>12545</v>
      </c>
      <c r="D11" s="171">
        <f t="shared" si="0"/>
        <v>135.30000000000001</v>
      </c>
      <c r="E11" s="236">
        <f>'Fremtind Livsforsikring'!F11+'Danica Pensjonsforsikring'!F11+'DNB Livsforsikring'!F11+'Eika Forsikring AS'!F11+'Frende Livsforsikring'!F11+'Frende Skadeforsikring'!F11+'Gjensidige Forsikring'!F11+'Gjensidige Pensjon'!F11+'Handelsbanken Liv'!F11+'If Skadeforsikring NUF'!F11+KLP!F11+'KLP Bedriftspensjon AS'!F11+'KLP Skadeforsikring AS'!F11+'Landkreditt Forsikring'!F11+Inrs!F11+'Nordea Liv '!F11+'Oslo Pensjonsforsikring'!F11+'Protector Forsikring'!F11+'SHB Liv'!F11+'Sparebank 1'!F11+'Storebrand Livsforsikring'!F11+'Telenor Forsikring'!F11+'Tryg Forsikring'!F11+'WaterCircles F'!F11</f>
        <v>92838.963300000003</v>
      </c>
      <c r="F11" s="236">
        <f>'Fremtind Livsforsikring'!G11+'Danica Pensjonsforsikring'!G11+'DNB Livsforsikring'!G11+'Eika Forsikring AS'!G11+'Frende Livsforsikring'!G11+'Frende Skadeforsikring'!G11+'Gjensidige Forsikring'!G11+'Gjensidige Pensjon'!G11+'Handelsbanken Liv'!G11+'If Skadeforsikring NUF'!G11+KLP!G11+'KLP Bedriftspensjon AS'!G11+'KLP Skadeforsikring AS'!G11+'Landkreditt Forsikring'!G11+Inrs!G11+'Nordea Liv '!G11+'Oslo Pensjonsforsikring'!G11+'Protector Forsikring'!G11+'SHB Liv'!G11+'Sparebank 1'!G11+'Storebrand Livsforsikring'!G11+'Telenor Forsikring'!G11+'Tryg Forsikring'!G11+'WaterCircles F'!G11</f>
        <v>127141.19075000001</v>
      </c>
      <c r="G11" s="171">
        <f t="shared" si="1"/>
        <v>36.9</v>
      </c>
      <c r="H11" s="277">
        <f t="shared" si="2"/>
        <v>98170.963300000003</v>
      </c>
      <c r="I11" s="278">
        <f t="shared" si="3"/>
        <v>139686.19075000001</v>
      </c>
      <c r="J11" s="171">
        <f t="shared" si="4"/>
        <v>42.3</v>
      </c>
    </row>
    <row r="12" spans="1:10" s="43" customFormat="1" ht="15.75" customHeight="1" x14ac:dyDescent="0.2">
      <c r="A12" s="584" t="s">
        <v>370</v>
      </c>
      <c r="B12" s="276">
        <f>'Fremtind Livsforsikring'!B12+'Danica Pensjonsforsikring'!B12+'DNB Livsforsikring'!B12+'Eika Forsikring AS'!B12+'Frende Livsforsikring'!B12+'Frende Skadeforsikring'!B12+'Gjensidige Forsikring'!B12+'Gjensidige Pensjon'!B12+'Handelsbanken Liv'!B12+'If Skadeforsikring NUF'!B12+KLP!B12+'KLP Bedriftspensjon AS'!B12+'KLP Skadeforsikring AS'!B12+'Landkreditt Forsikring'!B12+Inrs!B12+'Nordea Liv '!B12+'Oslo Pensjonsforsikring'!B12+'Protector Forsikring'!B12+'SHB Liv'!B12+'Sparebank 1'!B12+'Storebrand Livsforsikring'!B12+'Telenor Forsikring'!B12+'Tryg Forsikring'!B12+'WaterCircles F'!B12</f>
        <v>2053</v>
      </c>
      <c r="C12" s="276">
        <f>'Fremtind Livsforsikring'!C12+'Danica Pensjonsforsikring'!C12+'DNB Livsforsikring'!C12+'Eika Forsikring AS'!C12+'Frende Livsforsikring'!C12+'Frende Skadeforsikring'!C12+'Gjensidige Forsikring'!C12+'Gjensidige Pensjon'!C12+'Handelsbanken Liv'!C12+'If Skadeforsikring NUF'!C12+KLP!C12+'KLP Bedriftspensjon AS'!C12+'KLP Skadeforsikring AS'!C12+'Landkreditt Forsikring'!C12+Inrs!C12+'Nordea Liv '!C12+'Oslo Pensjonsforsikring'!C12+'Protector Forsikring'!C12+'SHB Liv'!C12+'Sparebank 1'!C12+'Storebrand Livsforsikring'!C12+'Telenor Forsikring'!C12+'Tryg Forsikring'!C12+'WaterCircles F'!C12</f>
        <v>1342</v>
      </c>
      <c r="D12" s="170">
        <f t="shared" si="0"/>
        <v>-34.6</v>
      </c>
      <c r="E12" s="276">
        <f>'Fremtind Livsforsikring'!F12+'Danica Pensjonsforsikring'!F12+'DNB Livsforsikring'!F12+'Eika Forsikring AS'!F12+'Frende Livsforsikring'!F12+'Frende Skadeforsikring'!F12+'Gjensidige Forsikring'!F12+'Gjensidige Pensjon'!F12+'Handelsbanken Liv'!F12+'If Skadeforsikring NUF'!F12+KLP!F12+'KLP Bedriftspensjon AS'!F12+'KLP Skadeforsikring AS'!F12+'Landkreditt Forsikring'!F12+Inrs!F12+'Nordea Liv '!F12+'Oslo Pensjonsforsikring'!F12+'Protector Forsikring'!F12+'SHB Liv'!F12+'Sparebank 1'!F12+'Storebrand Livsforsikring'!F12+'Telenor Forsikring'!F12+'Tryg Forsikring'!F12+'WaterCircles F'!F12</f>
        <v>41806.845820000002</v>
      </c>
      <c r="F12" s="276">
        <f>'Fremtind Livsforsikring'!G12+'Danica Pensjonsforsikring'!G12+'DNB Livsforsikring'!G12+'Eika Forsikring AS'!G12+'Frende Livsforsikring'!G12+'Frende Skadeforsikring'!G12+'Gjensidige Forsikring'!G12+'Gjensidige Pensjon'!G12+'Handelsbanken Liv'!G12+'If Skadeforsikring NUF'!G12+KLP!G12+'KLP Bedriftspensjon AS'!G12+'KLP Skadeforsikring AS'!G12+'Landkreditt Forsikring'!G12+Inrs!G12+'Nordea Liv '!G12+'Oslo Pensjonsforsikring'!G12+'Protector Forsikring'!G12+'SHB Liv'!G12+'Sparebank 1'!G12+'Storebrand Livsforsikring'!G12+'Telenor Forsikring'!G12+'Tryg Forsikring'!G12+'WaterCircles F'!G12</f>
        <v>100966.73105999999</v>
      </c>
      <c r="G12" s="169">
        <f t="shared" si="1"/>
        <v>141.5</v>
      </c>
      <c r="H12" s="279">
        <f t="shared" si="2"/>
        <v>43859.845820000002</v>
      </c>
      <c r="I12" s="280">
        <f t="shared" si="3"/>
        <v>102308.73105999999</v>
      </c>
      <c r="J12" s="169">
        <f t="shared" si="4"/>
        <v>133.30000000000001</v>
      </c>
    </row>
    <row r="13" spans="1:10" s="43" customFormat="1" ht="15.75" customHeight="1" x14ac:dyDescent="0.2">
      <c r="A13" s="168"/>
      <c r="B13" s="35"/>
      <c r="C13" s="5"/>
      <c r="D13" s="32"/>
      <c r="E13" s="35"/>
      <c r="F13" s="5"/>
      <c r="G13" s="32"/>
      <c r="H13" s="48"/>
      <c r="I13" s="48"/>
      <c r="J13" s="32"/>
    </row>
    <row r="14" spans="1:10" ht="15.75" customHeight="1" x14ac:dyDescent="0.2">
      <c r="A14" s="153" t="s">
        <v>278</v>
      </c>
    </row>
    <row r="15" spans="1:10" ht="15.75" customHeight="1" x14ac:dyDescent="0.2">
      <c r="A15" s="149"/>
      <c r="E15" s="7"/>
      <c r="F15" s="7"/>
      <c r="G15" s="7"/>
      <c r="H15" s="7"/>
      <c r="I15" s="7"/>
      <c r="J15" s="7"/>
    </row>
    <row r="16" spans="1:10" s="3" customFormat="1" ht="15.75" customHeight="1" x14ac:dyDescent="0.25">
      <c r="A16" s="164"/>
      <c r="C16" s="30"/>
      <c r="D16" s="30"/>
      <c r="E16" s="30"/>
      <c r="F16" s="30"/>
      <c r="G16" s="30"/>
      <c r="H16" s="30"/>
      <c r="I16" s="30"/>
      <c r="J16" s="30"/>
    </row>
    <row r="17" spans="1:11" ht="15.75" customHeight="1" x14ac:dyDescent="0.25">
      <c r="A17" s="147" t="s">
        <v>275</v>
      </c>
      <c r="B17" s="28"/>
      <c r="C17" s="28"/>
      <c r="D17" s="29"/>
      <c r="E17" s="28"/>
      <c r="F17" s="28"/>
      <c r="G17" s="28"/>
      <c r="H17" s="28"/>
      <c r="I17" s="28"/>
      <c r="J17" s="28"/>
    </row>
    <row r="18" spans="1:11" ht="15.75" customHeight="1" x14ac:dyDescent="0.25">
      <c r="A18" s="149"/>
      <c r="B18" s="724"/>
      <c r="C18" s="724"/>
      <c r="D18" s="724"/>
      <c r="E18" s="724"/>
      <c r="F18" s="724"/>
      <c r="G18" s="724"/>
      <c r="H18" s="724"/>
      <c r="I18" s="724"/>
      <c r="J18" s="724"/>
    </row>
    <row r="19" spans="1:11" ht="15.75" customHeight="1" x14ac:dyDescent="0.2">
      <c r="A19" s="144"/>
      <c r="B19" s="721" t="s">
        <v>0</v>
      </c>
      <c r="C19" s="722"/>
      <c r="D19" s="722"/>
      <c r="E19" s="721" t="s">
        <v>1</v>
      </c>
      <c r="F19" s="722"/>
      <c r="G19" s="723"/>
      <c r="H19" s="722" t="s">
        <v>2</v>
      </c>
      <c r="I19" s="722"/>
      <c r="J19" s="723"/>
    </row>
    <row r="20" spans="1:11" ht="15.75" customHeight="1" x14ac:dyDescent="0.2">
      <c r="A20" s="140" t="s">
        <v>5</v>
      </c>
      <c r="B20" s="20" t="s">
        <v>423</v>
      </c>
      <c r="C20" s="20" t="s">
        <v>424</v>
      </c>
      <c r="D20" s="249" t="s">
        <v>3</v>
      </c>
      <c r="E20" s="20" t="s">
        <v>423</v>
      </c>
      <c r="F20" s="20" t="s">
        <v>424</v>
      </c>
      <c r="G20" s="249" t="s">
        <v>3</v>
      </c>
      <c r="H20" s="20" t="s">
        <v>423</v>
      </c>
      <c r="I20" s="20" t="s">
        <v>424</v>
      </c>
      <c r="J20" s="249" t="s">
        <v>3</v>
      </c>
    </row>
    <row r="21" spans="1:11" ht="15.75" customHeight="1" x14ac:dyDescent="0.2">
      <c r="A21" s="703"/>
      <c r="B21" s="15"/>
      <c r="C21" s="15"/>
      <c r="D21" s="17" t="s">
        <v>4</v>
      </c>
      <c r="E21" s="16"/>
      <c r="F21" s="16"/>
      <c r="G21" s="15" t="s">
        <v>4</v>
      </c>
      <c r="H21" s="16"/>
      <c r="I21" s="16"/>
      <c r="J21" s="15" t="s">
        <v>4</v>
      </c>
    </row>
    <row r="22" spans="1:11" s="43" customFormat="1" ht="15.75" customHeight="1" x14ac:dyDescent="0.2">
      <c r="A22" s="14" t="s">
        <v>23</v>
      </c>
      <c r="B22" s="236">
        <f>'Fremtind Livsforsikring'!B22+'Danica Pensjonsforsikring'!B22+'DNB Livsforsikring'!B22+'Eika Forsikring AS'!B22+'Frende Livsforsikring'!B22+'Frende Skadeforsikring'!B22+'Gjensidige Forsikring'!B22+'Gjensidige Pensjon'!B22+'Handelsbanken Liv'!B22+'If Skadeforsikring NUF'!B22+KLP!B22+'KLP Bedriftspensjon AS'!B22+'KLP Skadeforsikring AS'!B22+'Landkreditt Forsikring'!B22+Inrs!B22+'Nordea Liv '!B22+'Oslo Pensjonsforsikring'!B22+'Protector Forsikring'!B22+'SHB Liv'!B22+'Sparebank 1'!B22+'Storebrand Livsforsikring'!B22+'Telenor Forsikring'!B22+'Tryg Forsikring'!B22+'WaterCircles F'!B22</f>
        <v>689346.93827549648</v>
      </c>
      <c r="C22" s="236">
        <f>'Fremtind Livsforsikring'!C22+'Danica Pensjonsforsikring'!C22+'DNB Livsforsikring'!C22+'Eika Forsikring AS'!C22+'Frende Livsforsikring'!C22+'Frende Skadeforsikring'!C22+'Gjensidige Forsikring'!C22+'Gjensidige Pensjon'!C22+'Handelsbanken Liv'!C22+'If Skadeforsikring NUF'!C22+KLP!C22+'KLP Bedriftspensjon AS'!C22+'KLP Skadeforsikring AS'!C22+'Landkreditt Forsikring'!C22+Inrs!C22+'Nordea Liv '!C22+'Oslo Pensjonsforsikring'!C22+'Protector Forsikring'!C22+'SHB Liv'!C22+'Sparebank 1'!C22+'Storebrand Livsforsikring'!C22+'Telenor Forsikring'!C22+'Tryg Forsikring'!C22+'WaterCircles F'!C22</f>
        <v>694478.98208007566</v>
      </c>
      <c r="D22" s="11">
        <f t="shared" ref="D22:D37" si="5">IF(B22=0, "    ---- ", IF(ABS(ROUND(100/B22*C22-100,1))&lt;999,ROUND(100/B22*C22-100,1),IF(ROUND(100/B22*C22-100,1)&gt;999,999,-999)))</f>
        <v>0.7</v>
      </c>
      <c r="E22" s="236">
        <f>'Fremtind Livsforsikring'!F22+'Danica Pensjonsforsikring'!F22+'DNB Livsforsikring'!F22+'Eika Forsikring AS'!F22+'Frende Livsforsikring'!F22+'Frende Skadeforsikring'!F22+'Gjensidige Forsikring'!F22+'Gjensidige Pensjon'!F22+'Handelsbanken Liv'!F22+'If Skadeforsikring NUF'!F22+KLP!F22+'KLP Bedriftspensjon AS'!F22+'KLP Skadeforsikring AS'!F22+'Landkreditt Forsikring'!F22+Inrs!F22+'Nordea Liv '!F22+'Oslo Pensjonsforsikring'!F22+'Protector Forsikring'!F22+'SHB Liv'!F22+'Sparebank 1'!F22+'Storebrand Livsforsikring'!F22+'Telenor Forsikring'!F22+'Tryg Forsikring'!F22+'WaterCircles F'!F22</f>
        <v>309187.42986999999</v>
      </c>
      <c r="F22" s="236">
        <f>'Fremtind Livsforsikring'!G22+'Danica Pensjonsforsikring'!G22+'DNB Livsforsikring'!G22+'Eika Forsikring AS'!G22+'Frende Livsforsikring'!G22+'Frende Skadeforsikring'!G22+'Gjensidige Forsikring'!G22+'Gjensidige Pensjon'!G22+'Handelsbanken Liv'!G22+'If Skadeforsikring NUF'!G22+KLP!G22+'KLP Bedriftspensjon AS'!G22+'KLP Skadeforsikring AS'!G22+'Landkreditt Forsikring'!G22+Inrs!G22+'Nordea Liv '!G22+'Oslo Pensjonsforsikring'!G22+'Protector Forsikring'!G22+'SHB Liv'!G22+'Sparebank 1'!G22+'Storebrand Livsforsikring'!G22+'Telenor Forsikring'!G22+'Tryg Forsikring'!G22+'WaterCircles F'!G22</f>
        <v>334034.62965000002</v>
      </c>
      <c r="G22" s="350">
        <f t="shared" ref="G22:G35" si="6">IF(E22=0, "    ---- ", IF(ABS(ROUND(100/E22*F22-100,1))&lt;999,ROUND(100/E22*F22-100,1),IF(ROUND(100/E22*F22-100,1)&gt;999,999,-999)))</f>
        <v>8</v>
      </c>
      <c r="H22" s="308">
        <f>SUM(B22,E22)</f>
        <v>998534.36814549647</v>
      </c>
      <c r="I22" s="236">
        <f t="shared" ref="I22:I37" si="7">SUM(C22,F22)</f>
        <v>1028513.6117300757</v>
      </c>
      <c r="J22" s="24">
        <f t="shared" ref="J22:J37" si="8">IF(H22=0, "    ---- ", IF(ABS(ROUND(100/H22*I22-100,1))&lt;999,ROUND(100/H22*I22-100,1),IF(ROUND(100/H22*I22-100,1)&gt;999,999,-999)))</f>
        <v>3</v>
      </c>
    </row>
    <row r="23" spans="1:11" ht="15.75" customHeight="1" x14ac:dyDescent="0.2">
      <c r="A23" s="585" t="s">
        <v>371</v>
      </c>
      <c r="B23" s="44">
        <f>'Fremtind Livsforsikring'!B23+'Danica Pensjonsforsikring'!B23+'DNB Livsforsikring'!B23+'Eika Forsikring AS'!B23+'Frende Livsforsikring'!B23+'Frende Skadeforsikring'!B23+'Gjensidige Forsikring'!B23+'Gjensidige Pensjon'!B23+'Handelsbanken Liv'!B23+'If Skadeforsikring NUF'!B23+KLP!B23+'KLP Bedriftspensjon AS'!B23+'KLP Skadeforsikring AS'!B23+'Landkreditt Forsikring'!B23+Inrs!B23+'Nordea Liv '!B23+'Oslo Pensjonsforsikring'!B23+'Protector Forsikring'!B23+'SHB Liv'!B23+'Sparebank 1'!B23+'Storebrand Livsforsikring'!B23+'Telenor Forsikring'!B23+'Tryg Forsikring'!B23+'WaterCircles F'!B23</f>
        <v>525829.49111944146</v>
      </c>
      <c r="C23" s="44">
        <f>'Fremtind Livsforsikring'!C23+'Danica Pensjonsforsikring'!C23+'DNB Livsforsikring'!C23+'Eika Forsikring AS'!C23+'Frende Livsforsikring'!C23+'Frende Skadeforsikring'!C23+'Gjensidige Forsikring'!C23+'Gjensidige Pensjon'!C23+'Handelsbanken Liv'!C23+'If Skadeforsikring NUF'!C23+KLP!C23+'KLP Bedriftspensjon AS'!C23+'KLP Skadeforsikring AS'!C23+'Landkreditt Forsikring'!C23+Inrs!C23+'Nordea Liv '!C23+'Oslo Pensjonsforsikring'!C23+'Protector Forsikring'!C23+'SHB Liv'!C23+'Sparebank 1'!C23+'Storebrand Livsforsikring'!C23+'Telenor Forsikring'!C23+'Tryg Forsikring'!C23+'WaterCircles F'!C23</f>
        <v>314640.32622007572</v>
      </c>
      <c r="D23" s="27">
        <f>IF($A$1=4,IF(B23=0, "    ---- ", IF(ABS(ROUND(100/B23*C23-100,1))&lt;999,ROUND(100/B23*C23-100,1),IF(ROUND(100/B23*C23-100,1)&gt;999,999,-999))),"")</f>
        <v>-40.200000000000003</v>
      </c>
      <c r="E23" s="44">
        <f>'Fremtind Livsforsikring'!F23+'Danica Pensjonsforsikring'!F23+'DNB Livsforsikring'!F23+'Eika Forsikring AS'!F23+'Frende Livsforsikring'!F23+'Frende Skadeforsikring'!F23+'Gjensidige Forsikring'!F23+'Gjensidige Pensjon'!F23+'Handelsbanken Liv'!F23+'If Skadeforsikring NUF'!F23+KLP!F23+'KLP Bedriftspensjon AS'!F23+'KLP Skadeforsikring AS'!F23+'Landkreditt Forsikring'!F23+Inrs!F23+'Nordea Liv '!F23+'Oslo Pensjonsforsikring'!F23+'Protector Forsikring'!F23+'SHB Liv'!F23+'Sparebank 1'!F23+'Storebrand Livsforsikring'!F23+'Telenor Forsikring'!F23+'Tryg Forsikring'!F23+'WaterCircles F'!F23</f>
        <v>30458.922050000001</v>
      </c>
      <c r="F23" s="44">
        <f>'Fremtind Livsforsikring'!G23+'Danica Pensjonsforsikring'!G23+'DNB Livsforsikring'!G23+'Eika Forsikring AS'!G23+'Frende Livsforsikring'!G23+'Frende Skadeforsikring'!G23+'Gjensidige Forsikring'!G23+'Gjensidige Pensjon'!G23+'Handelsbanken Liv'!G23+'If Skadeforsikring NUF'!G23+KLP!G23+'KLP Bedriftspensjon AS'!G23+'KLP Skadeforsikring AS'!G23+'Landkreditt Forsikring'!G23+Inrs!G23+'Nordea Liv '!G23+'Oslo Pensjonsforsikring'!G23+'Protector Forsikring'!G23+'SHB Liv'!G23+'Sparebank 1'!G23+'Storebrand Livsforsikring'!G23+'Telenor Forsikring'!G23+'Tryg Forsikring'!G23+'WaterCircles F'!G23</f>
        <v>27726.697140000004</v>
      </c>
      <c r="G23" s="166">
        <f>IF($A$1=4,IF(E23=0, "    ---- ", IF(ABS(ROUND(100/E23*F23-100,1))&lt;999,ROUND(100/E23*F23-100,1),IF(ROUND(100/E23*F23-100,1)&gt;999,999,-999))),"")</f>
        <v>-9</v>
      </c>
      <c r="H23" s="234">
        <f t="shared" ref="H23:H37" si="9">SUM(B23,E23)</f>
        <v>556288.41316944151</v>
      </c>
      <c r="I23" s="44">
        <f t="shared" si="7"/>
        <v>342367.02336007572</v>
      </c>
      <c r="J23" s="23">
        <f t="shared" si="8"/>
        <v>-38.5</v>
      </c>
    </row>
    <row r="24" spans="1:11" ht="15.75" customHeight="1" x14ac:dyDescent="0.2">
      <c r="A24" s="585" t="s">
        <v>372</v>
      </c>
      <c r="B24" s="44">
        <f>'Fremtind Livsforsikring'!B24+'Danica Pensjonsforsikring'!B24+'DNB Livsforsikring'!B24+'Eika Forsikring AS'!B24+'Frende Livsforsikring'!B24+'Frende Skadeforsikring'!B24+'Gjensidige Forsikring'!B24+'Gjensidige Pensjon'!B24+'Handelsbanken Liv'!B24+'If Skadeforsikring NUF'!B24+KLP!B24+'KLP Bedriftspensjon AS'!B24+'KLP Skadeforsikring AS'!B24+'Landkreditt Forsikring'!B24+Inrs!B24+'Nordea Liv '!B24+'Oslo Pensjonsforsikring'!B24+'Protector Forsikring'!B24+'SHB Liv'!B24+'Sparebank 1'!B24+'Storebrand Livsforsikring'!B24+'Telenor Forsikring'!B24+'Tryg Forsikring'!B24+'WaterCircles F'!B24</f>
        <v>9949.0881560547696</v>
      </c>
      <c r="C24" s="44">
        <f>'Fremtind Livsforsikring'!C24+'Danica Pensjonsforsikring'!C24+'DNB Livsforsikring'!C24+'Eika Forsikring AS'!C24+'Frende Livsforsikring'!C24+'Frende Skadeforsikring'!C24+'Gjensidige Forsikring'!C24+'Gjensidige Pensjon'!C24+'Handelsbanken Liv'!C24+'If Skadeforsikring NUF'!C24+KLP!C24+'KLP Bedriftspensjon AS'!C24+'KLP Skadeforsikring AS'!C24+'Landkreditt Forsikring'!C24+Inrs!C24+'Nordea Liv '!C24+'Oslo Pensjonsforsikring'!C24+'Protector Forsikring'!C24+'SHB Liv'!C24+'Sparebank 1'!C24+'Storebrand Livsforsikring'!C24+'Telenor Forsikring'!C24+'Tryg Forsikring'!C24+'WaterCircles F'!C24</f>
        <v>7466.9988600000006</v>
      </c>
      <c r="D24" s="27">
        <f t="shared" ref="D24:D25" si="10">IF($A$1=4,IF(B24=0, "    ---- ", IF(ABS(ROUND(100/B24*C24-100,1))&lt;999,ROUND(100/B24*C24-100,1),IF(ROUND(100/B24*C24-100,1)&gt;999,999,-999))),"")</f>
        <v>-24.9</v>
      </c>
      <c r="E24" s="44">
        <f>'Fremtind Livsforsikring'!F24+'Danica Pensjonsforsikring'!F24+'DNB Livsforsikring'!F24+'Eika Forsikring AS'!F24+'Frende Livsforsikring'!F24+'Frende Skadeforsikring'!F24+'Gjensidige Forsikring'!F24+'Gjensidige Pensjon'!F24+'Handelsbanken Liv'!F24+'If Skadeforsikring NUF'!F24+KLP!F24+'KLP Bedriftspensjon AS'!F24+'KLP Skadeforsikring AS'!F24+'Landkreditt Forsikring'!F24+Inrs!F24+'Nordea Liv '!F24+'Oslo Pensjonsforsikring'!F24+'Protector Forsikring'!F24+'SHB Liv'!F24+'Sparebank 1'!F24+'Storebrand Livsforsikring'!F24+'Telenor Forsikring'!F24+'Tryg Forsikring'!F24+'WaterCircles F'!F24</f>
        <v>34.999999999999986</v>
      </c>
      <c r="F24" s="44">
        <f>'Fremtind Livsforsikring'!G24+'Danica Pensjonsforsikring'!G24+'DNB Livsforsikring'!G24+'Eika Forsikring AS'!G24+'Frende Livsforsikring'!G24+'Frende Skadeforsikring'!G24+'Gjensidige Forsikring'!G24+'Gjensidige Pensjon'!G24+'Handelsbanken Liv'!G24+'If Skadeforsikring NUF'!G24+KLP!G24+'KLP Bedriftspensjon AS'!G24+'KLP Skadeforsikring AS'!G24+'Landkreditt Forsikring'!G24+Inrs!G24+'Nordea Liv '!G24+'Oslo Pensjonsforsikring'!G24+'Protector Forsikring'!G24+'SHB Liv'!G24+'Sparebank 1'!G24+'Storebrand Livsforsikring'!G24+'Telenor Forsikring'!G24+'Tryg Forsikring'!G24+'WaterCircles F'!G24</f>
        <v>542.88850000000002</v>
      </c>
      <c r="G24" s="166">
        <f t="shared" ref="G24:G25" si="11">IF($A$1=4,IF(E24=0, "    ---- ", IF(ABS(ROUND(100/E24*F24-100,1))&lt;999,ROUND(100/E24*F24-100,1),IF(ROUND(100/E24*F24-100,1)&gt;999,999,-999))),"")</f>
        <v>999</v>
      </c>
      <c r="H24" s="234">
        <f t="shared" si="9"/>
        <v>9984.0881560547696</v>
      </c>
      <c r="I24" s="44">
        <f t="shared" si="7"/>
        <v>8009.8873600000006</v>
      </c>
      <c r="J24" s="11">
        <f t="shared" si="8"/>
        <v>-19.8</v>
      </c>
    </row>
    <row r="25" spans="1:11" ht="15.75" customHeight="1" x14ac:dyDescent="0.2">
      <c r="A25" s="585" t="s">
        <v>373</v>
      </c>
      <c r="B25" s="44">
        <f>'Fremtind Livsforsikring'!B25+'Danica Pensjonsforsikring'!B25+'DNB Livsforsikring'!B25+'Eika Forsikring AS'!B25+'Frende Livsforsikring'!B25+'Frende Skadeforsikring'!B25+'Gjensidige Forsikring'!B25+'Gjensidige Pensjon'!B25+'Handelsbanken Liv'!B25+'If Skadeforsikring NUF'!B25+KLP!B25+'KLP Bedriftspensjon AS'!B25+'KLP Skadeforsikring AS'!B25+'Landkreditt Forsikring'!B25+Inrs!B25+'Nordea Liv '!B25+'Oslo Pensjonsforsikring'!B25+'Protector Forsikring'!B25+'SHB Liv'!B25+'Sparebank 1'!B25+'Storebrand Livsforsikring'!B25+'Telenor Forsikring'!B25+'Tryg Forsikring'!B25+'WaterCircles F'!B25</f>
        <v>11515</v>
      </c>
      <c r="C25" s="44">
        <f>'Fremtind Livsforsikring'!C25+'Danica Pensjonsforsikring'!C25+'DNB Livsforsikring'!C25+'Eika Forsikring AS'!C25+'Frende Livsforsikring'!C25+'Frende Skadeforsikring'!C25+'Gjensidige Forsikring'!C25+'Gjensidige Pensjon'!C25+'Handelsbanken Liv'!C25+'If Skadeforsikring NUF'!C25+KLP!C25+'KLP Bedriftspensjon AS'!C25+'KLP Skadeforsikring AS'!C25+'Landkreditt Forsikring'!C25+Inrs!C25+'Nordea Liv '!C25+'Oslo Pensjonsforsikring'!C25+'Protector Forsikring'!C25+'SHB Liv'!C25+'Sparebank 1'!C25+'Storebrand Livsforsikring'!C25+'Telenor Forsikring'!C25+'Tryg Forsikring'!C25+'WaterCircles F'!C25</f>
        <v>10237</v>
      </c>
      <c r="D25" s="27">
        <f t="shared" si="10"/>
        <v>-11.1</v>
      </c>
      <c r="E25" s="44">
        <f>'Fremtind Livsforsikring'!F25+'Danica Pensjonsforsikring'!F25+'DNB Livsforsikring'!F25+'Eika Forsikring AS'!F25+'Frende Livsforsikring'!F25+'Frende Skadeforsikring'!F25+'Gjensidige Forsikring'!F25+'Gjensidige Pensjon'!F25+'Handelsbanken Liv'!F25+'If Skadeforsikring NUF'!F25+KLP!F25+'KLP Bedriftspensjon AS'!F25+'KLP Skadeforsikring AS'!F25+'Landkreditt Forsikring'!F25+Inrs!F25+'Nordea Liv '!F25+'Oslo Pensjonsforsikring'!F25+'Protector Forsikring'!F25+'SHB Liv'!F25+'Sparebank 1'!F25+'Storebrand Livsforsikring'!F25+'Telenor Forsikring'!F25+'Tryg Forsikring'!F25+'WaterCircles F'!F25</f>
        <v>6529.3964299999998</v>
      </c>
      <c r="F25" s="44">
        <f>'Fremtind Livsforsikring'!G25+'Danica Pensjonsforsikring'!G25+'DNB Livsforsikring'!G25+'Eika Forsikring AS'!G25+'Frende Livsforsikring'!G25+'Frende Skadeforsikring'!G25+'Gjensidige Forsikring'!G25+'Gjensidige Pensjon'!G25+'Handelsbanken Liv'!G25+'If Skadeforsikring NUF'!G25+KLP!G25+'KLP Bedriftspensjon AS'!G25+'KLP Skadeforsikring AS'!G25+'Landkreditt Forsikring'!G25+Inrs!G25+'Nordea Liv '!G25+'Oslo Pensjonsforsikring'!G25+'Protector Forsikring'!G25+'SHB Liv'!G25+'Sparebank 1'!G25+'Storebrand Livsforsikring'!G25+'Telenor Forsikring'!G25+'Tryg Forsikring'!G25+'WaterCircles F'!G25</f>
        <v>9150.1233199999988</v>
      </c>
      <c r="G25" s="166">
        <f t="shared" si="11"/>
        <v>40.1</v>
      </c>
      <c r="H25" s="234">
        <f t="shared" si="9"/>
        <v>18044.396430000001</v>
      </c>
      <c r="I25" s="44">
        <f t="shared" si="7"/>
        <v>19387.123319999999</v>
      </c>
      <c r="J25" s="27">
        <f t="shared" si="8"/>
        <v>7.4</v>
      </c>
    </row>
    <row r="26" spans="1:11" ht="15.75" customHeight="1" x14ac:dyDescent="0.2">
      <c r="A26" s="585" t="s">
        <v>374</v>
      </c>
      <c r="B26" s="44">
        <f>'Fremtind Livsforsikring'!B26+'Danica Pensjonsforsikring'!B26+'DNB Livsforsikring'!B26+'Eika Forsikring AS'!B26+'Frende Livsforsikring'!B26+'Frende Skadeforsikring'!B26+'Gjensidige Forsikring'!B26+'Gjensidige Pensjon'!B26+'Handelsbanken Liv'!B26+'If Skadeforsikring NUF'!B26+KLP!B26+'KLP Bedriftspensjon AS'!B26+'KLP Skadeforsikring AS'!B26+'Landkreditt Forsikring'!B26+Inrs!B26+'Nordea Liv '!B26+'Oslo Pensjonsforsikring'!B26+'Protector Forsikring'!B26+'SHB Liv'!B26+'Sparebank 1'!B26+'Storebrand Livsforsikring'!B26+'Telenor Forsikring'!B26+'Tryg Forsikring'!B26+'WaterCircles F'!B26</f>
        <v>0</v>
      </c>
      <c r="C26" s="44">
        <f>'Fremtind Livsforsikring'!C26+'Danica Pensjonsforsikring'!C26+'DNB Livsforsikring'!C26+'Eika Forsikring AS'!C26+'Frende Livsforsikring'!C26+'Frende Skadeforsikring'!C26+'Gjensidige Forsikring'!C26+'Gjensidige Pensjon'!C26+'Handelsbanken Liv'!C26+'If Skadeforsikring NUF'!C26+KLP!C26+'KLP Bedriftspensjon AS'!C26+'KLP Skadeforsikring AS'!C26+'Landkreditt Forsikring'!C26+Inrs!C26+'Nordea Liv '!C26+'Oslo Pensjonsforsikring'!C26+'Protector Forsikring'!C26+'SHB Liv'!C26+'Sparebank 1'!C26+'Storebrand Livsforsikring'!C26+'Telenor Forsikring'!C26+'Tryg Forsikring'!C26+'WaterCircles F'!C26</f>
        <v>0</v>
      </c>
      <c r="D26" s="27" t="str">
        <f t="shared" ref="D26" si="12">IF($A$1=4,IF(B26=0, "    ---- ", IF(ABS(ROUND(100/B26*C26-100,1))&lt;999,ROUND(100/B26*C26-100,1),IF(ROUND(100/B26*C26-100,1)&gt;999,999,-999))),"")</f>
        <v xml:space="preserve">    ---- </v>
      </c>
      <c r="E26" s="44">
        <f>'Fremtind Livsforsikring'!F26+'Danica Pensjonsforsikring'!F26+'DNB Livsforsikring'!F26+'Eika Forsikring AS'!F26+'Frende Livsforsikring'!F26+'Frende Skadeforsikring'!F26+'Gjensidige Forsikring'!F26+'Gjensidige Pensjon'!F26+'Handelsbanken Liv'!F26+'If Skadeforsikring NUF'!F26+KLP!F26+'KLP Bedriftspensjon AS'!F26+'KLP Skadeforsikring AS'!F26+'Landkreditt Forsikring'!F26+Inrs!F26+'Nordea Liv '!F26+'Oslo Pensjonsforsikring'!F26+'Protector Forsikring'!F26+'SHB Liv'!F26+'Sparebank 1'!F26+'Storebrand Livsforsikring'!F26+'Telenor Forsikring'!F26+'Tryg Forsikring'!F26+'WaterCircles F'!F26</f>
        <v>272164.87738999998</v>
      </c>
      <c r="F26" s="44">
        <f>'Fremtind Livsforsikring'!G26+'Danica Pensjonsforsikring'!G26+'DNB Livsforsikring'!G26+'Eika Forsikring AS'!G26+'Frende Livsforsikring'!G26+'Frende Skadeforsikring'!G26+'Gjensidige Forsikring'!G26+'Gjensidige Pensjon'!G26+'Handelsbanken Liv'!G26+'If Skadeforsikring NUF'!G26+KLP!G26+'KLP Bedriftspensjon AS'!G26+'KLP Skadeforsikring AS'!G26+'Landkreditt Forsikring'!G26+Inrs!G26+'Nordea Liv '!G26+'Oslo Pensjonsforsikring'!G26+'Protector Forsikring'!G26+'SHB Liv'!G26+'Sparebank 1'!G26+'Storebrand Livsforsikring'!G26+'Telenor Forsikring'!G26+'Tryg Forsikring'!G26+'WaterCircles F'!G26</f>
        <v>296614.92069</v>
      </c>
      <c r="G26" s="166">
        <f t="shared" ref="G26" si="13">IF($A$1=4,IF(E26=0, "    ---- ", IF(ABS(ROUND(100/E26*F26-100,1))&lt;999,ROUND(100/E26*F26-100,1),IF(ROUND(100/E26*F26-100,1)&gt;999,999,-999))),"")</f>
        <v>9</v>
      </c>
      <c r="H26" s="234">
        <f t="shared" ref="H26" si="14">SUM(B26,E26)</f>
        <v>272164.87738999998</v>
      </c>
      <c r="I26" s="44">
        <f t="shared" ref="I26" si="15">SUM(C26,F26)</f>
        <v>296614.92069</v>
      </c>
      <c r="J26" s="27">
        <f t="shared" ref="J26" si="16">IF(H26=0, "    ---- ", IF(ABS(ROUND(100/H26*I26-100,1))&lt;999,ROUND(100/H26*I26-100,1),IF(ROUND(100/H26*I26-100,1)&gt;999,999,-999)))</f>
        <v>9</v>
      </c>
    </row>
    <row r="27" spans="1:11" ht="15.75" customHeight="1" x14ac:dyDescent="0.2">
      <c r="A27" s="583" t="s">
        <v>11</v>
      </c>
      <c r="B27" s="44">
        <f>'Fremtind Livsforsikring'!B27+'Danica Pensjonsforsikring'!B27+'DNB Livsforsikring'!B27+'Eika Forsikring AS'!B27+'Frende Livsforsikring'!B27+'Frende Skadeforsikring'!B27+'Gjensidige Forsikring'!B27+'Gjensidige Pensjon'!B27+'Handelsbanken Liv'!B27+'If Skadeforsikring NUF'!B27+KLP!B27+'KLP Bedriftspensjon AS'!B27+'KLP Skadeforsikring AS'!B27+'Landkreditt Forsikring'!B27+Inrs!B27+'Nordea Liv '!B27+'Oslo Pensjonsforsikring'!B27+'Protector Forsikring'!B27+'SHB Liv'!B27+'Sparebank 1'!B27+'Storebrand Livsforsikring'!B27+'Telenor Forsikring'!B27+'Tryg Forsikring'!B27+'WaterCircles F'!B27</f>
        <v>0</v>
      </c>
      <c r="C27" s="44">
        <f>'Fremtind Livsforsikring'!C27+'Danica Pensjonsforsikring'!C27+'DNB Livsforsikring'!C27+'Eika Forsikring AS'!C27+'Frende Livsforsikring'!C27+'Frende Skadeforsikring'!C27+'Gjensidige Forsikring'!C27+'Gjensidige Pensjon'!C27+'Handelsbanken Liv'!C27+'If Skadeforsikring NUF'!C27+KLP!C27+'KLP Bedriftspensjon AS'!C27+'KLP Skadeforsikring AS'!C27+'Landkreditt Forsikring'!C27+Inrs!C27+'Nordea Liv '!C27+'Oslo Pensjonsforsikring'!C27+'Protector Forsikring'!C27+'SHB Liv'!C27+'Sparebank 1'!C27+'Storebrand Livsforsikring'!C27+'Telenor Forsikring'!C27+'Tryg Forsikring'!C27+'WaterCircles F'!C27</f>
        <v>0</v>
      </c>
      <c r="D27" s="27"/>
      <c r="E27" s="44">
        <f>'Fremtind Livsforsikring'!F27+'Danica Pensjonsforsikring'!F27+'DNB Livsforsikring'!F27+'Eika Forsikring AS'!F27+'Frende Livsforsikring'!F27+'Frende Skadeforsikring'!F27+'Gjensidige Forsikring'!F27+'Gjensidige Pensjon'!F27+'Handelsbanken Liv'!F27+'If Skadeforsikring NUF'!F27+KLP!F27+'KLP Bedriftspensjon AS'!F27+'KLP Skadeforsikring AS'!F27+'Landkreditt Forsikring'!F27+Inrs!F27+'Nordea Liv '!F27+'Oslo Pensjonsforsikring'!F27+'Protector Forsikring'!F27+'SHB Liv'!F27+'Sparebank 1'!F27+'Storebrand Livsforsikring'!F27+'Telenor Forsikring'!F27+'Tryg Forsikring'!F27+'WaterCircles F'!F27</f>
        <v>0</v>
      </c>
      <c r="F27" s="44">
        <f>'Fremtind Livsforsikring'!G27+'Danica Pensjonsforsikring'!G27+'DNB Livsforsikring'!G27+'Eika Forsikring AS'!G27+'Frende Livsforsikring'!G27+'Frende Skadeforsikring'!G27+'Gjensidige Forsikring'!G27+'Gjensidige Pensjon'!G27+'Handelsbanken Liv'!G27+'If Skadeforsikring NUF'!G27+KLP!G27+'KLP Bedriftspensjon AS'!G27+'KLP Skadeforsikring AS'!G27+'Landkreditt Forsikring'!G27+Inrs!G27+'Nordea Liv '!G27+'Oslo Pensjonsforsikring'!G27+'Protector Forsikring'!G27+'SHB Liv'!G27+'Sparebank 1'!G27+'Storebrand Livsforsikring'!G27+'Telenor Forsikring'!G27+'Tryg Forsikring'!G27+'WaterCircles F'!G27</f>
        <v>0</v>
      </c>
      <c r="G27" s="166"/>
      <c r="H27" s="234">
        <f t="shared" si="9"/>
        <v>0</v>
      </c>
      <c r="I27" s="44">
        <f t="shared" si="7"/>
        <v>0</v>
      </c>
      <c r="J27" s="27"/>
    </row>
    <row r="28" spans="1:11" ht="15.75" customHeight="1" x14ac:dyDescent="0.2">
      <c r="A28" s="49" t="s">
        <v>279</v>
      </c>
      <c r="B28" s="44">
        <f>'Fremtind Livsforsikring'!B28+'Danica Pensjonsforsikring'!B28+'DNB Livsforsikring'!B28+'Eika Forsikring AS'!B28+'Frende Livsforsikring'!B28+'Frende Skadeforsikring'!B28+'Gjensidige Forsikring'!B28+'Gjensidige Pensjon'!B28+'Handelsbanken Liv'!B28+'If Skadeforsikring NUF'!B28+KLP!B28+'KLP Bedriftspensjon AS'!B28+'KLP Skadeforsikring AS'!B28+'Landkreditt Forsikring'!B28+Inrs!B28+'Nordea Liv '!B28+'Oslo Pensjonsforsikring'!B28+'Protector Forsikring'!B28+'SHB Liv'!B28+'Sparebank 1'!B28+'Storebrand Livsforsikring'!B28+'Telenor Forsikring'!B28+'Tryg Forsikring'!B28+'WaterCircles F'!B28</f>
        <v>645198.67032838089</v>
      </c>
      <c r="C28" s="44">
        <f>'Fremtind Livsforsikring'!C28+'Danica Pensjonsforsikring'!C28+'DNB Livsforsikring'!C28+'Eika Forsikring AS'!C28+'Frende Livsforsikring'!C28+'Frende Skadeforsikring'!C28+'Gjensidige Forsikring'!C28+'Gjensidige Pensjon'!C28+'Handelsbanken Liv'!C28+'If Skadeforsikring NUF'!C28+KLP!C28+'KLP Bedriftspensjon AS'!C28+'KLP Skadeforsikring AS'!C28+'Landkreditt Forsikring'!C28+Inrs!C28+'Nordea Liv '!C28+'Oslo Pensjonsforsikring'!C28+'Protector Forsikring'!C28+'SHB Liv'!C28+'Sparebank 1'!C28+'Storebrand Livsforsikring'!C28+'Telenor Forsikring'!C28+'Tryg Forsikring'!C28+'WaterCircles F'!C28</f>
        <v>728324.64252883382</v>
      </c>
      <c r="D28" s="23">
        <f t="shared" si="5"/>
        <v>12.9</v>
      </c>
      <c r="E28" s="187"/>
      <c r="F28" s="187"/>
      <c r="G28" s="166"/>
      <c r="H28" s="234">
        <f t="shared" si="9"/>
        <v>645198.67032838089</v>
      </c>
      <c r="I28" s="44">
        <f t="shared" si="7"/>
        <v>728324.64252883382</v>
      </c>
      <c r="J28" s="23">
        <f t="shared" si="8"/>
        <v>12.9</v>
      </c>
      <c r="K28" s="3"/>
    </row>
    <row r="29" spans="1:11" s="420" customFormat="1" ht="15.75" customHeight="1" x14ac:dyDescent="0.2">
      <c r="A29" s="39" t="s">
        <v>375</v>
      </c>
      <c r="B29" s="236">
        <f>'Fremtind Livsforsikring'!B29+'Danica Pensjonsforsikring'!B29+'DNB Livsforsikring'!B29+'Eika Forsikring AS'!B29+'Frende Livsforsikring'!B29+'Frende Skadeforsikring'!B29+'Gjensidige Forsikring'!B29+'Gjensidige Pensjon'!B29+'Handelsbanken Liv'!B29+'If Skadeforsikring NUF'!B29+KLP!B29+'KLP Bedriftspensjon AS'!B29+'KLP Skadeforsikring AS'!B29+'Landkreditt Forsikring'!B29+Inrs!B29+'Nordea Liv '!B29+'Oslo Pensjonsforsikring'!B29+'Protector Forsikring'!B29+'SHB Liv'!B29+'Sparebank 1'!B29+'Storebrand Livsforsikring'!B29+'Telenor Forsikring'!B29+'Tryg Forsikring'!B29+'WaterCircles F'!B29</f>
        <v>47924786.639119998</v>
      </c>
      <c r="C29" s="236">
        <f>'Fremtind Livsforsikring'!C29+'Danica Pensjonsforsikring'!C29+'DNB Livsforsikring'!C29+'Eika Forsikring AS'!C29+'Frende Livsforsikring'!C29+'Frende Skadeforsikring'!C29+'Gjensidige Forsikring'!C29+'Gjensidige Pensjon'!C29+'Handelsbanken Liv'!C29+'If Skadeforsikring NUF'!C29+KLP!C29+'KLP Bedriftspensjon AS'!C29+'KLP Skadeforsikring AS'!C29+'Landkreditt Forsikring'!C29+Inrs!C29+'Nordea Liv '!C29+'Oslo Pensjonsforsikring'!C29+'Protector Forsikring'!C29+'SHB Liv'!C29+'Sparebank 1'!C29+'Storebrand Livsforsikring'!C29+'Telenor Forsikring'!C29+'Tryg Forsikring'!C29+'WaterCircles F'!C29</f>
        <v>46830826.733410731</v>
      </c>
      <c r="D29" s="24">
        <f t="shared" si="5"/>
        <v>-2.2999999999999998</v>
      </c>
      <c r="E29" s="308">
        <f>'Fremtind Livsforsikring'!F29+'Danica Pensjonsforsikring'!F29+'DNB Livsforsikring'!F29+'Eika Forsikring AS'!F29+'Frende Livsforsikring'!F29+'Frende Skadeforsikring'!F29+'Gjensidige Forsikring'!F29+'Gjensidige Pensjon'!F29+'Handelsbanken Liv'!F29+'If Skadeforsikring NUF'!F29+KLP!F29+'KLP Bedriftspensjon AS'!F29+'KLP Skadeforsikring AS'!F29+'Landkreditt Forsikring'!F29+Inrs!F29+'Nordea Liv '!F29+'Oslo Pensjonsforsikring'!F29+'Protector Forsikring'!F29+'SHB Liv'!F29+'Sparebank 1'!F29+'Storebrand Livsforsikring'!F29+'Telenor Forsikring'!F29+'Tryg Forsikring'!F29+'WaterCircles F'!F29</f>
        <v>20307031.191550002</v>
      </c>
      <c r="F29" s="308">
        <f>'Fremtind Livsforsikring'!G29+'Danica Pensjonsforsikring'!G29+'DNB Livsforsikring'!G29+'Eika Forsikring AS'!G29+'Frende Livsforsikring'!G29+'Frende Skadeforsikring'!G29+'Gjensidige Forsikring'!G29+'Gjensidige Pensjon'!G29+'Handelsbanken Liv'!G29+'If Skadeforsikring NUF'!G29+KLP!G29+'KLP Bedriftspensjon AS'!G29+'KLP Skadeforsikring AS'!G29+'Landkreditt Forsikring'!G29+Inrs!G29+'Nordea Liv '!G29+'Oslo Pensjonsforsikring'!G29+'Protector Forsikring'!G29+'SHB Liv'!G29+'Sparebank 1'!G29+'Storebrand Livsforsikring'!G29+'Telenor Forsikring'!G29+'Tryg Forsikring'!G29+'WaterCircles F'!G29</f>
        <v>20087775.560259998</v>
      </c>
      <c r="G29" s="171">
        <f t="shared" si="6"/>
        <v>-1.1000000000000001</v>
      </c>
      <c r="H29" s="308">
        <f t="shared" si="9"/>
        <v>68231817.830669999</v>
      </c>
      <c r="I29" s="236">
        <f t="shared" si="7"/>
        <v>66918602.293670729</v>
      </c>
      <c r="J29" s="24">
        <f t="shared" si="8"/>
        <v>-1.9</v>
      </c>
    </row>
    <row r="30" spans="1:11" s="3" customFormat="1" ht="15.75" customHeight="1" x14ac:dyDescent="0.2">
      <c r="A30" s="585" t="s">
        <v>371</v>
      </c>
      <c r="B30" s="44">
        <f>'Fremtind Livsforsikring'!B30+'Danica Pensjonsforsikring'!B30+'DNB Livsforsikring'!B30+'Eika Forsikring AS'!B30+'Frende Livsforsikring'!B30+'Frende Skadeforsikring'!B30+'Gjensidige Forsikring'!B30+'Gjensidige Pensjon'!B30+'Handelsbanken Liv'!B30+'If Skadeforsikring NUF'!B30+KLP!B30+'KLP Bedriftspensjon AS'!B30+'KLP Skadeforsikring AS'!B30+'Landkreditt Forsikring'!B30+Inrs!B30+'Nordea Liv '!B30+'Oslo Pensjonsforsikring'!B30+'Protector Forsikring'!B30+'SHB Liv'!B30+'Sparebank 1'!B30+'Storebrand Livsforsikring'!B30+'Telenor Forsikring'!B30+'Tryg Forsikring'!B30+'WaterCircles F'!B30</f>
        <v>11514972.7135172</v>
      </c>
      <c r="C30" s="44">
        <f>'Fremtind Livsforsikring'!C30+'Danica Pensjonsforsikring'!C30+'DNB Livsforsikring'!C30+'Eika Forsikring AS'!C30+'Frende Livsforsikring'!C30+'Frende Skadeforsikring'!C30+'Gjensidige Forsikring'!C30+'Gjensidige Pensjon'!C30+'Handelsbanken Liv'!C30+'If Skadeforsikring NUF'!C30+KLP!C30+'KLP Bedriftspensjon AS'!C30+'KLP Skadeforsikring AS'!C30+'Landkreditt Forsikring'!C30+Inrs!C30+'Nordea Liv '!C30+'Oslo Pensjonsforsikring'!C30+'Protector Forsikring'!C30+'SHB Liv'!C30+'Sparebank 1'!C30+'Storebrand Livsforsikring'!C30+'Telenor Forsikring'!C30+'Tryg Forsikring'!C30+'WaterCircles F'!C30</f>
        <v>14294535.37529074</v>
      </c>
      <c r="D30" s="27">
        <f t="shared" ref="D30:D32" si="17">IF($A$1=4,IF(B30=0, "    ---- ", IF(ABS(ROUND(100/B30*C30-100,1))&lt;999,ROUND(100/B30*C30-100,1),IF(ROUND(100/B30*C30-100,1)&gt;999,999,-999))),"")</f>
        <v>24.1</v>
      </c>
      <c r="E30" s="44">
        <f>'Fremtind Livsforsikring'!F30+'Danica Pensjonsforsikring'!F30+'DNB Livsforsikring'!F30+'Eika Forsikring AS'!F30+'Frende Livsforsikring'!F30+'Frende Skadeforsikring'!F30+'Gjensidige Forsikring'!F30+'Gjensidige Pensjon'!F30+'Handelsbanken Liv'!F30+'If Skadeforsikring NUF'!F30+KLP!F30+'KLP Bedriftspensjon AS'!F30+'KLP Skadeforsikring AS'!F30+'Landkreditt Forsikring'!F30+Inrs!F30+'Nordea Liv '!F30+'Oslo Pensjonsforsikring'!F30+'Protector Forsikring'!F30+'SHB Liv'!F30+'Sparebank 1'!F30+'Storebrand Livsforsikring'!F30+'Telenor Forsikring'!F30+'Tryg Forsikring'!F30+'WaterCircles F'!F30</f>
        <v>4203550.63748</v>
      </c>
      <c r="F30" s="44">
        <f>'Fremtind Livsforsikring'!G30+'Danica Pensjonsforsikring'!G30+'DNB Livsforsikring'!G30+'Eika Forsikring AS'!G30+'Frende Livsforsikring'!G30+'Frende Skadeforsikring'!G30+'Gjensidige Forsikring'!G30+'Gjensidige Pensjon'!G30+'Handelsbanken Liv'!G30+'If Skadeforsikring NUF'!G30+KLP!G30+'KLP Bedriftspensjon AS'!G30+'KLP Skadeforsikring AS'!G30+'Landkreditt Forsikring'!G30+Inrs!G30+'Nordea Liv '!G30+'Oslo Pensjonsforsikring'!G30+'Protector Forsikring'!G30+'SHB Liv'!G30+'Sparebank 1'!G30+'Storebrand Livsforsikring'!G30+'Telenor Forsikring'!G30+'Tryg Forsikring'!G30+'WaterCircles F'!G30</f>
        <v>3948739.6626099651</v>
      </c>
      <c r="G30" s="166">
        <f t="shared" ref="G30:G32" si="18">IF($A$1=4,IF(E30=0, "    ---- ", IF(ABS(ROUND(100/E30*F30-100,1))&lt;999,ROUND(100/E30*F30-100,1),IF(ROUND(100/E30*F30-100,1)&gt;999,999,-999))),"")</f>
        <v>-6.1</v>
      </c>
      <c r="H30" s="234">
        <f t="shared" si="9"/>
        <v>15718523.3509972</v>
      </c>
      <c r="I30" s="44">
        <f t="shared" si="7"/>
        <v>18243275.037900705</v>
      </c>
      <c r="J30" s="23">
        <f t="shared" si="8"/>
        <v>16.100000000000001</v>
      </c>
    </row>
    <row r="31" spans="1:11" s="3" customFormat="1" ht="15.75" customHeight="1" x14ac:dyDescent="0.2">
      <c r="A31" s="585" t="s">
        <v>372</v>
      </c>
      <c r="B31" s="44">
        <f>'Fremtind Livsforsikring'!B31+'Danica Pensjonsforsikring'!B31+'DNB Livsforsikring'!B31+'Eika Forsikring AS'!B31+'Frende Livsforsikring'!B31+'Frende Skadeforsikring'!B31+'Gjensidige Forsikring'!B31+'Gjensidige Pensjon'!B31+'Handelsbanken Liv'!B31+'If Skadeforsikring NUF'!B31+KLP!B31+'KLP Bedriftspensjon AS'!B31+'KLP Skadeforsikring AS'!B31+'Landkreditt Forsikring'!B31+Inrs!B31+'Nordea Liv '!B31+'Oslo Pensjonsforsikring'!B31+'Protector Forsikring'!B31+'SHB Liv'!B31+'Sparebank 1'!B31+'Storebrand Livsforsikring'!B31+'Telenor Forsikring'!B31+'Tryg Forsikring'!B31+'WaterCircles F'!B31</f>
        <v>33270802.269602798</v>
      </c>
      <c r="C31" s="44">
        <f>'Fremtind Livsforsikring'!C31+'Danica Pensjonsforsikring'!C31+'DNB Livsforsikring'!C31+'Eika Forsikring AS'!C31+'Frende Livsforsikring'!C31+'Frende Skadeforsikring'!C31+'Gjensidige Forsikring'!C31+'Gjensidige Pensjon'!C31+'Handelsbanken Liv'!C31+'If Skadeforsikring NUF'!C31+KLP!C31+'KLP Bedriftspensjon AS'!C31+'KLP Skadeforsikring AS'!C31+'Landkreditt Forsikring'!C31+Inrs!C31+'Nordea Liv '!C31+'Oslo Pensjonsforsikring'!C31+'Protector Forsikring'!C31+'SHB Liv'!C31+'Sparebank 1'!C31+'Storebrand Livsforsikring'!C31+'Telenor Forsikring'!C31+'Tryg Forsikring'!C31+'WaterCircles F'!C31</f>
        <v>24487509.032538652</v>
      </c>
      <c r="D31" s="27">
        <f t="shared" si="17"/>
        <v>-26.4</v>
      </c>
      <c r="E31" s="44">
        <f>'Fremtind Livsforsikring'!F31+'Danica Pensjonsforsikring'!F31+'DNB Livsforsikring'!F31+'Eika Forsikring AS'!F31+'Frende Livsforsikring'!F31+'Frende Skadeforsikring'!F31+'Gjensidige Forsikring'!F31+'Gjensidige Pensjon'!F31+'Handelsbanken Liv'!F31+'If Skadeforsikring NUF'!F31+KLP!F31+'KLP Bedriftspensjon AS'!F31+'KLP Skadeforsikring AS'!F31+'Landkreditt Forsikring'!F31+Inrs!F31+'Nordea Liv '!F31+'Oslo Pensjonsforsikring'!F31+'Protector Forsikring'!F31+'SHB Liv'!F31+'Sparebank 1'!F31+'Storebrand Livsforsikring'!F31+'Telenor Forsikring'!F31+'Tryg Forsikring'!F31+'WaterCircles F'!F31</f>
        <v>8350490.7504600007</v>
      </c>
      <c r="F31" s="44">
        <f>'Fremtind Livsforsikring'!G31+'Danica Pensjonsforsikring'!G31+'DNB Livsforsikring'!G31+'Eika Forsikring AS'!G31+'Frende Livsforsikring'!G31+'Frende Skadeforsikring'!G31+'Gjensidige Forsikring'!G31+'Gjensidige Pensjon'!G31+'Handelsbanken Liv'!G31+'If Skadeforsikring NUF'!G31+KLP!G31+'KLP Bedriftspensjon AS'!G31+'KLP Skadeforsikring AS'!G31+'Landkreditt Forsikring'!G31+Inrs!G31+'Nordea Liv '!G31+'Oslo Pensjonsforsikring'!G31+'Protector Forsikring'!G31+'SHB Liv'!G31+'Sparebank 1'!G31+'Storebrand Livsforsikring'!G31+'Telenor Forsikring'!G31+'Tryg Forsikring'!G31+'WaterCircles F'!G31</f>
        <v>8637339.2014900316</v>
      </c>
      <c r="G31" s="166">
        <f t="shared" si="18"/>
        <v>3.4</v>
      </c>
      <c r="H31" s="234">
        <f t="shared" si="9"/>
        <v>41621293.020062797</v>
      </c>
      <c r="I31" s="44">
        <f t="shared" si="7"/>
        <v>33124848.234028682</v>
      </c>
      <c r="J31" s="23">
        <f t="shared" si="8"/>
        <v>-20.399999999999999</v>
      </c>
    </row>
    <row r="32" spans="1:11" ht="15.75" customHeight="1" x14ac:dyDescent="0.2">
      <c r="A32" s="585" t="s">
        <v>373</v>
      </c>
      <c r="B32" s="44">
        <f>'Fremtind Livsforsikring'!B32+'Danica Pensjonsforsikring'!B32+'DNB Livsforsikring'!B32+'Eika Forsikring AS'!B32+'Frende Livsforsikring'!B32+'Frende Skadeforsikring'!B32+'Gjensidige Forsikring'!B32+'Gjensidige Pensjon'!B32+'Handelsbanken Liv'!B32+'If Skadeforsikring NUF'!B32+KLP!B32+'KLP Bedriftspensjon AS'!B32+'KLP Skadeforsikring AS'!B32+'Landkreditt Forsikring'!B32+Inrs!B32+'Nordea Liv '!B32+'Oslo Pensjonsforsikring'!B32+'Protector Forsikring'!B32+'SHB Liv'!B32+'Sparebank 1'!B32+'Storebrand Livsforsikring'!B32+'Telenor Forsikring'!B32+'Tryg Forsikring'!B32+'WaterCircles F'!B32</f>
        <v>1286853.5</v>
      </c>
      <c r="C32" s="44">
        <f>'Fremtind Livsforsikring'!C32+'Danica Pensjonsforsikring'!C32+'DNB Livsforsikring'!C32+'Eika Forsikring AS'!C32+'Frende Livsforsikring'!C32+'Frende Skadeforsikring'!C32+'Gjensidige Forsikring'!C32+'Gjensidige Pensjon'!C32+'Handelsbanken Liv'!C32+'If Skadeforsikring NUF'!C32+KLP!C32+'KLP Bedriftspensjon AS'!C32+'KLP Skadeforsikring AS'!C32+'Landkreditt Forsikring'!C32+Inrs!C32+'Nordea Liv '!C32+'Oslo Pensjonsforsikring'!C32+'Protector Forsikring'!C32+'SHB Liv'!C32+'Sparebank 1'!C32+'Storebrand Livsforsikring'!C32+'Telenor Forsikring'!C32+'Tryg Forsikring'!C32+'WaterCircles F'!C32</f>
        <v>2978065.905217343</v>
      </c>
      <c r="D32" s="27">
        <f t="shared" si="17"/>
        <v>131.4</v>
      </c>
      <c r="E32" s="44">
        <f>'Fremtind Livsforsikring'!F32+'Danica Pensjonsforsikring'!F32+'DNB Livsforsikring'!F32+'Eika Forsikring AS'!F32+'Frende Livsforsikring'!F32+'Frende Skadeforsikring'!F32+'Gjensidige Forsikring'!F32+'Gjensidige Pensjon'!F32+'Handelsbanken Liv'!F32+'If Skadeforsikring NUF'!F32+KLP!F32+'KLP Bedriftspensjon AS'!F32+'KLP Skadeforsikring AS'!F32+'Landkreditt Forsikring'!F32+Inrs!F32+'Nordea Liv '!F32+'Oslo Pensjonsforsikring'!F32+'Protector Forsikring'!F32+'SHB Liv'!F32+'Sparebank 1'!F32+'Storebrand Livsforsikring'!F32+'Telenor Forsikring'!F32+'Tryg Forsikring'!F32+'WaterCircles F'!F32</f>
        <v>4142948.30485</v>
      </c>
      <c r="F32" s="44">
        <f>'Fremtind Livsforsikring'!G32+'Danica Pensjonsforsikring'!G32+'DNB Livsforsikring'!G32+'Eika Forsikring AS'!G32+'Frende Livsforsikring'!G32+'Frende Skadeforsikring'!G32+'Gjensidige Forsikring'!G32+'Gjensidige Pensjon'!G32+'Handelsbanken Liv'!G32+'If Skadeforsikring NUF'!G32+KLP!G32+'KLP Bedriftspensjon AS'!G32+'KLP Skadeforsikring AS'!G32+'Landkreditt Forsikring'!G32+Inrs!G32+'Nordea Liv '!G32+'Oslo Pensjonsforsikring'!G32+'Protector Forsikring'!G32+'SHB Liv'!G32+'Sparebank 1'!G32+'Storebrand Livsforsikring'!G32+'Telenor Forsikring'!G32+'Tryg Forsikring'!G32+'WaterCircles F'!G32</f>
        <v>4266039.6849443708</v>
      </c>
      <c r="G32" s="166">
        <f t="shared" si="18"/>
        <v>3</v>
      </c>
      <c r="H32" s="234">
        <f t="shared" si="9"/>
        <v>5429801.80485</v>
      </c>
      <c r="I32" s="44">
        <f t="shared" si="7"/>
        <v>7244105.5901617138</v>
      </c>
      <c r="J32" s="24">
        <f t="shared" si="8"/>
        <v>33.4</v>
      </c>
    </row>
    <row r="33" spans="1:10" ht="15.75" customHeight="1" x14ac:dyDescent="0.2">
      <c r="A33" s="585" t="s">
        <v>374</v>
      </c>
      <c r="B33" s="44">
        <f>'Fremtind Livsforsikring'!B33+'Danica Pensjonsforsikring'!B33+'DNB Livsforsikring'!B33+'Eika Forsikring AS'!B33+'Frende Livsforsikring'!B33+'Frende Skadeforsikring'!B33+'Gjensidige Forsikring'!B33+'Gjensidige Pensjon'!B33+'Handelsbanken Liv'!B33+'If Skadeforsikring NUF'!B33+KLP!B33+'KLP Bedriftspensjon AS'!B33+'KLP Skadeforsikring AS'!B33+'Landkreditt Forsikring'!B33+Inrs!B33+'Nordea Liv '!B33+'Oslo Pensjonsforsikring'!B33+'Protector Forsikring'!B33+'SHB Liv'!B33+'Sparebank 1'!B33+'Storebrand Livsforsikring'!B33+'Telenor Forsikring'!B33+'Tryg Forsikring'!B33+'WaterCircles F'!B33</f>
        <v>0</v>
      </c>
      <c r="C33" s="44">
        <f>'Fremtind Livsforsikring'!C33+'Danica Pensjonsforsikring'!C33+'DNB Livsforsikring'!C33+'Eika Forsikring AS'!C33+'Frende Livsforsikring'!C33+'Frende Skadeforsikring'!C33+'Gjensidige Forsikring'!C33+'Gjensidige Pensjon'!C33+'Handelsbanken Liv'!C33+'If Skadeforsikring NUF'!C33+KLP!C33+'KLP Bedriftspensjon AS'!C33+'KLP Skadeforsikring AS'!C33+'Landkreditt Forsikring'!C33+Inrs!C33+'Nordea Liv '!C33+'Oslo Pensjonsforsikring'!C33+'Protector Forsikring'!C33+'SHB Liv'!C33+'Sparebank 1'!C33+'Storebrand Livsforsikring'!C33+'Telenor Forsikring'!C33+'Tryg Forsikring'!C33+'WaterCircles F'!C33</f>
        <v>0</v>
      </c>
      <c r="D33" s="27" t="str">
        <f t="shared" ref="D33" si="19">IF($A$1=4,IF(B33=0, "    ---- ", IF(ABS(ROUND(100/B33*C33-100,1))&lt;999,ROUND(100/B33*C33-100,1),IF(ROUND(100/B33*C33-100,1)&gt;999,999,-999))),"")</f>
        <v xml:space="preserve">    ---- </v>
      </c>
      <c r="E33" s="44">
        <f>'Fremtind Livsforsikring'!F33+'Danica Pensjonsforsikring'!F33+'DNB Livsforsikring'!F33+'Eika Forsikring AS'!F33+'Frende Livsforsikring'!F33+'Frende Skadeforsikring'!F33+'Gjensidige Forsikring'!F33+'Gjensidige Pensjon'!F33+'Handelsbanken Liv'!F33+'If Skadeforsikring NUF'!F33+KLP!F33+'KLP Bedriftspensjon AS'!F33+'KLP Skadeforsikring AS'!F33+'Landkreditt Forsikring'!F33+Inrs!F33+'Nordea Liv '!F33+'Oslo Pensjonsforsikring'!F33+'Protector Forsikring'!F33+'SHB Liv'!F33+'Sparebank 1'!F33+'Storebrand Livsforsikring'!F33+'Telenor Forsikring'!F33+'Tryg Forsikring'!F33+'WaterCircles F'!F33</f>
        <v>2052457.4987599999</v>
      </c>
      <c r="F33" s="44">
        <f>'Fremtind Livsforsikring'!G33+'Danica Pensjonsforsikring'!G33+'DNB Livsforsikring'!G33+'Eika Forsikring AS'!G33+'Frende Livsforsikring'!G33+'Frende Skadeforsikring'!G33+'Gjensidige Forsikring'!G33+'Gjensidige Pensjon'!G33+'Handelsbanken Liv'!G33+'If Skadeforsikring NUF'!G33+KLP!G33+'KLP Bedriftspensjon AS'!G33+'KLP Skadeforsikring AS'!G33+'Landkreditt Forsikring'!G33+Inrs!G33+'Nordea Liv '!G33+'Oslo Pensjonsforsikring'!G33+'Protector Forsikring'!G33+'SHB Liv'!G33+'Sparebank 1'!G33+'Storebrand Livsforsikring'!G33+'Telenor Forsikring'!G33+'Tryg Forsikring'!G33+'WaterCircles F'!G33</f>
        <v>3235657.0112156319</v>
      </c>
      <c r="G33" s="166">
        <f t="shared" ref="G33" si="20">IF($A$1=4,IF(E33=0, "    ---- ", IF(ABS(ROUND(100/E33*F33-100,1))&lt;999,ROUND(100/E33*F33-100,1),IF(ROUND(100/E33*F33-100,1)&gt;999,999,-999))),"")</f>
        <v>57.6</v>
      </c>
      <c r="H33" s="234">
        <f t="shared" ref="H33" si="21">SUM(B33,E33)</f>
        <v>2052457.4987599999</v>
      </c>
      <c r="I33" s="44">
        <f t="shared" ref="I33" si="22">SUM(C33,F33)</f>
        <v>3235657.0112156319</v>
      </c>
      <c r="J33" s="24">
        <f t="shared" ref="J33" si="23">IF(H33=0, "    ---- ", IF(ABS(ROUND(100/H33*I33-100,1))&lt;999,ROUND(100/H33*I33-100,1),IF(ROUND(100/H33*I33-100,1)&gt;999,999,-999)))</f>
        <v>57.6</v>
      </c>
    </row>
    <row r="34" spans="1:10" s="43" customFormat="1" ht="15.75" customHeight="1" x14ac:dyDescent="0.2">
      <c r="A34" s="39" t="s">
        <v>369</v>
      </c>
      <c r="B34" s="236">
        <f>'Fremtind Livsforsikring'!B34+'Danica Pensjonsforsikring'!B34+'DNB Livsforsikring'!B34+'Eika Forsikring AS'!B34+'Frende Livsforsikring'!B34+'Frende Skadeforsikring'!B34+'Gjensidige Forsikring'!B34+'Gjensidige Pensjon'!B34+'Handelsbanken Liv'!B34+'If Skadeforsikring NUF'!B34+KLP!B34+'KLP Bedriftspensjon AS'!B34+'KLP Skadeforsikring AS'!B34+'Landkreditt Forsikring'!B34+Inrs!B34+'Nordea Liv '!B34+'Oslo Pensjonsforsikring'!B34+'Protector Forsikring'!B34+'SHB Liv'!B34+'Sparebank 1'!B34+'Storebrand Livsforsikring'!B34+'Telenor Forsikring'!B34+'Tryg Forsikring'!B34+'WaterCircles F'!B34</f>
        <v>5990.25</v>
      </c>
      <c r="C34" s="236">
        <f>'Fremtind Livsforsikring'!C34+'Danica Pensjonsforsikring'!C34+'DNB Livsforsikring'!C34+'Eika Forsikring AS'!C34+'Frende Livsforsikring'!C34+'Frende Skadeforsikring'!C34+'Gjensidige Forsikring'!C34+'Gjensidige Pensjon'!C34+'Handelsbanken Liv'!C34+'If Skadeforsikring NUF'!C34+KLP!C34+'KLP Bedriftspensjon AS'!C34+'KLP Skadeforsikring AS'!C34+'Landkreditt Forsikring'!C34+Inrs!C34+'Nordea Liv '!C34+'Oslo Pensjonsforsikring'!C34+'Protector Forsikring'!C34+'SHB Liv'!C34+'Sparebank 1'!C34+'Storebrand Livsforsikring'!C34+'Telenor Forsikring'!C34+'Tryg Forsikring'!C34+'WaterCircles F'!C34</f>
        <v>6440.9629999999997</v>
      </c>
      <c r="D34" s="24">
        <f t="shared" si="5"/>
        <v>7.5</v>
      </c>
      <c r="E34" s="308">
        <f>'Fremtind Livsforsikring'!F34+'Danica Pensjonsforsikring'!F34+'DNB Livsforsikring'!F34+'Eika Forsikring AS'!F34+'Frende Livsforsikring'!F34+'Frende Skadeforsikring'!F34+'Gjensidige Forsikring'!F34+'Gjensidige Pensjon'!F34+'Handelsbanken Liv'!F34+'If Skadeforsikring NUF'!F34+KLP!F34+'KLP Bedriftspensjon AS'!F34+'KLP Skadeforsikring AS'!F34+'Landkreditt Forsikring'!F34+Inrs!F34+'Nordea Liv '!F34+'Oslo Pensjonsforsikring'!F34+'Protector Forsikring'!F34+'SHB Liv'!F34+'Sparebank 1'!F34+'Storebrand Livsforsikring'!F34+'Telenor Forsikring'!F34+'Tryg Forsikring'!F34+'WaterCircles F'!F34</f>
        <v>13409.651279999998</v>
      </c>
      <c r="F34" s="308">
        <f>'Fremtind Livsforsikring'!G34+'Danica Pensjonsforsikring'!G34+'DNB Livsforsikring'!G34+'Eika Forsikring AS'!G34+'Frende Livsforsikring'!G34+'Frende Skadeforsikring'!G34+'Gjensidige Forsikring'!G34+'Gjensidige Pensjon'!G34+'Handelsbanken Liv'!G34+'If Skadeforsikring NUF'!G34+KLP!G34+'KLP Bedriftspensjon AS'!G34+'KLP Skadeforsikring AS'!G34+'Landkreditt Forsikring'!G34+Inrs!G34+'Nordea Liv '!G34+'Oslo Pensjonsforsikring'!G34+'Protector Forsikring'!G34+'SHB Liv'!G34+'Sparebank 1'!G34+'Storebrand Livsforsikring'!G34+'Telenor Forsikring'!G34+'Tryg Forsikring'!G34+'WaterCircles F'!G34</f>
        <v>11228.54977</v>
      </c>
      <c r="G34" s="171">
        <f t="shared" si="6"/>
        <v>-16.3</v>
      </c>
      <c r="H34" s="308">
        <f t="shared" si="9"/>
        <v>19399.901279999998</v>
      </c>
      <c r="I34" s="236">
        <f t="shared" si="7"/>
        <v>17669.512770000001</v>
      </c>
      <c r="J34" s="24">
        <f t="shared" si="8"/>
        <v>-8.9</v>
      </c>
    </row>
    <row r="35" spans="1:10" s="43" customFormat="1" ht="15.75" customHeight="1" x14ac:dyDescent="0.2">
      <c r="A35" s="39" t="s">
        <v>370</v>
      </c>
      <c r="B35" s="236">
        <f>'Fremtind Livsforsikring'!B35+'Danica Pensjonsforsikring'!B35+'DNB Livsforsikring'!B35+'Eika Forsikring AS'!B35+'Frende Livsforsikring'!B35+'Frende Skadeforsikring'!B35+'Gjensidige Forsikring'!B35+'Gjensidige Pensjon'!B35+'Handelsbanken Liv'!B35+'If Skadeforsikring NUF'!B35+KLP!B35+'KLP Bedriftspensjon AS'!B35+'KLP Skadeforsikring AS'!B35+'Landkreditt Forsikring'!B35+Inrs!B35+'Nordea Liv '!B35+'Oslo Pensjonsforsikring'!B35+'Protector Forsikring'!B35+'SHB Liv'!B35+'Sparebank 1'!B35+'Storebrand Livsforsikring'!B35+'Telenor Forsikring'!B35+'Tryg Forsikring'!B35+'WaterCircles F'!B35</f>
        <v>-7524.6640200000002</v>
      </c>
      <c r="C35" s="236">
        <f>'Fremtind Livsforsikring'!C35+'Danica Pensjonsforsikring'!C35+'DNB Livsforsikring'!C35+'Eika Forsikring AS'!C35+'Frende Livsforsikring'!C35+'Frende Skadeforsikring'!C35+'Gjensidige Forsikring'!C35+'Gjensidige Pensjon'!C35+'Handelsbanken Liv'!C35+'If Skadeforsikring NUF'!C35+KLP!C35+'KLP Bedriftspensjon AS'!C35+'KLP Skadeforsikring AS'!C35+'Landkreditt Forsikring'!C35+Inrs!C35+'Nordea Liv '!C35+'Oslo Pensjonsforsikring'!C35+'Protector Forsikring'!C35+'SHB Liv'!C35+'Sparebank 1'!C35+'Storebrand Livsforsikring'!C35+'Telenor Forsikring'!C35+'Tryg Forsikring'!C35+'WaterCircles F'!C35</f>
        <v>-20461.540779999999</v>
      </c>
      <c r="D35" s="24">
        <f t="shared" si="5"/>
        <v>171.9</v>
      </c>
      <c r="E35" s="308">
        <f>'Fremtind Livsforsikring'!F35+'Danica Pensjonsforsikring'!F35+'DNB Livsforsikring'!F35+'Eika Forsikring AS'!F35+'Frende Livsforsikring'!F35+'Frende Skadeforsikring'!F35+'Gjensidige Forsikring'!F35+'Gjensidige Pensjon'!F35+'Handelsbanken Liv'!F35+'If Skadeforsikring NUF'!F35+KLP!F35+'KLP Bedriftspensjon AS'!F35+'KLP Skadeforsikring AS'!F35+'Landkreditt Forsikring'!F35+Inrs!F35+'Nordea Liv '!F35+'Oslo Pensjonsforsikring'!F35+'Protector Forsikring'!F35+'SHB Liv'!F35+'Sparebank 1'!F35+'Storebrand Livsforsikring'!F35+'Telenor Forsikring'!F35+'Tryg Forsikring'!F35+'WaterCircles F'!F35</f>
        <v>22528.448659999998</v>
      </c>
      <c r="F35" s="308">
        <f>'Fremtind Livsforsikring'!G35+'Danica Pensjonsforsikring'!G35+'DNB Livsforsikring'!G35+'Eika Forsikring AS'!G35+'Frende Livsforsikring'!G35+'Frende Skadeforsikring'!G35+'Gjensidige Forsikring'!G35+'Gjensidige Pensjon'!G35+'Handelsbanken Liv'!G35+'If Skadeforsikring NUF'!G35+KLP!G35+'KLP Bedriftspensjon AS'!G35+'KLP Skadeforsikring AS'!G35+'Landkreditt Forsikring'!G35+Inrs!G35+'Nordea Liv '!G35+'Oslo Pensjonsforsikring'!G35+'Protector Forsikring'!G35+'SHB Liv'!G35+'Sparebank 1'!G35+'Storebrand Livsforsikring'!G35+'Telenor Forsikring'!G35+'Tryg Forsikring'!G35+'WaterCircles F'!G35</f>
        <v>45525.392039999999</v>
      </c>
      <c r="G35" s="171">
        <f t="shared" si="6"/>
        <v>102.1</v>
      </c>
      <c r="H35" s="308">
        <f t="shared" si="9"/>
        <v>15003.784639999998</v>
      </c>
      <c r="I35" s="236">
        <f t="shared" si="7"/>
        <v>25063.851259999999</v>
      </c>
      <c r="J35" s="24">
        <f t="shared" si="8"/>
        <v>67.099999999999994</v>
      </c>
    </row>
    <row r="36" spans="1:10" s="43" customFormat="1" ht="15.75" customHeight="1" x14ac:dyDescent="0.2">
      <c r="A36" s="12" t="s">
        <v>287</v>
      </c>
      <c r="B36" s="236">
        <f>'Fremtind Livsforsikring'!B36+'Danica Pensjonsforsikring'!B36+'DNB Livsforsikring'!B36+'Eika Forsikring AS'!B36+'Frende Livsforsikring'!B36+'Frende Skadeforsikring'!B36+'Gjensidige Forsikring'!B36+'Gjensidige Pensjon'!B36+'Handelsbanken Liv'!B36+'If Skadeforsikring NUF'!B36+KLP!B36+'KLP Bedriftspensjon AS'!B36+'KLP Skadeforsikring AS'!B36+'Landkreditt Forsikring'!B36+Inrs!B36+'Nordea Liv '!B36+'Oslo Pensjonsforsikring'!B36+'Protector Forsikring'!B36+'SHB Liv'!B36+'Sparebank 1'!B36+'Storebrand Livsforsikring'!B36+'Telenor Forsikring'!B36+'Tryg Forsikring'!B36+'WaterCircles F'!B36</f>
        <v>1025.748</v>
      </c>
      <c r="C36" s="236">
        <f>'Fremtind Livsforsikring'!C36+'Danica Pensjonsforsikring'!C36+'DNB Livsforsikring'!C36+'Eika Forsikring AS'!C36+'Frende Livsforsikring'!C36+'Frende Skadeforsikring'!C36+'Gjensidige Forsikring'!C36+'Gjensidige Pensjon'!C36+'Handelsbanken Liv'!C36+'If Skadeforsikring NUF'!C36+KLP!C36+'KLP Bedriftspensjon AS'!C36+'KLP Skadeforsikring AS'!C36+'Landkreditt Forsikring'!C36+Inrs!C36+'Nordea Liv '!C36+'Oslo Pensjonsforsikring'!C36+'Protector Forsikring'!C36+'SHB Liv'!C36+'Sparebank 1'!C36+'Storebrand Livsforsikring'!C36+'Telenor Forsikring'!C36+'Tryg Forsikring'!C36+'WaterCircles F'!C36</f>
        <v>686.60799999999995</v>
      </c>
      <c r="D36" s="11">
        <f t="shared" si="5"/>
        <v>-33.1</v>
      </c>
      <c r="E36" s="319"/>
      <c r="F36" s="319"/>
      <c r="G36" s="171"/>
      <c r="H36" s="308">
        <f t="shared" si="9"/>
        <v>1025.748</v>
      </c>
      <c r="I36" s="236">
        <f t="shared" si="7"/>
        <v>686.60799999999995</v>
      </c>
      <c r="J36" s="11">
        <f t="shared" si="8"/>
        <v>-33.1</v>
      </c>
    </row>
    <row r="37" spans="1:10" s="43" customFormat="1" ht="15.75" customHeight="1" x14ac:dyDescent="0.2">
      <c r="A37" s="586" t="s">
        <v>376</v>
      </c>
      <c r="B37" s="236">
        <f>'Fremtind Livsforsikring'!B37+'Danica Pensjonsforsikring'!B37+'DNB Livsforsikring'!B37+'Eika Forsikring AS'!B37+'Frende Livsforsikring'!B37+'Frende Skadeforsikring'!B37+'Gjensidige Forsikring'!B37+'Gjensidige Pensjon'!B37+'Handelsbanken Liv'!B37+'If Skadeforsikring NUF'!B37+KLP!B37+'KLP Bedriftspensjon AS'!B37+'KLP Skadeforsikring AS'!B37+'Landkreditt Forsikring'!B37+Inrs!B37+'Nordea Liv '!B37+'Oslo Pensjonsforsikring'!B37+'Protector Forsikring'!B37+'SHB Liv'!B37+'Sparebank 1'!B37+'Storebrand Livsforsikring'!B37+'Telenor Forsikring'!B37+'Tryg Forsikring'!B37+'WaterCircles F'!B37</f>
        <v>3750213.89</v>
      </c>
      <c r="C37" s="236">
        <f>'Fremtind Livsforsikring'!C37+'Danica Pensjonsforsikring'!C37+'DNB Livsforsikring'!C37+'Eika Forsikring AS'!C37+'Frende Livsforsikring'!C37+'Frende Skadeforsikring'!C37+'Gjensidige Forsikring'!C37+'Gjensidige Pensjon'!C37+'Handelsbanken Liv'!C37+'If Skadeforsikring NUF'!C37+KLP!C37+'KLP Bedriftspensjon AS'!C37+'KLP Skadeforsikring AS'!C37+'Landkreditt Forsikring'!C37+Inrs!C37+'Nordea Liv '!C37+'Oslo Pensjonsforsikring'!C37+'Protector Forsikring'!C37+'SHB Liv'!C37+'Sparebank 1'!C37+'Storebrand Livsforsikring'!C37+'Telenor Forsikring'!C37+'Tryg Forsikring'!C37+'WaterCircles F'!C37</f>
        <v>3566636.5660000001</v>
      </c>
      <c r="D37" s="24">
        <f t="shared" si="5"/>
        <v>-4.9000000000000004</v>
      </c>
      <c r="E37" s="324"/>
      <c r="F37" s="324"/>
      <c r="G37" s="171"/>
      <c r="H37" s="308">
        <f t="shared" si="9"/>
        <v>3750213.89</v>
      </c>
      <c r="I37" s="236">
        <f t="shared" si="7"/>
        <v>3566636.5660000001</v>
      </c>
      <c r="J37" s="24">
        <f t="shared" si="8"/>
        <v>-4.9000000000000004</v>
      </c>
    </row>
    <row r="38" spans="1:10" s="43" customFormat="1" ht="15.75" customHeight="1" x14ac:dyDescent="0.2">
      <c r="A38" s="586" t="s">
        <v>377</v>
      </c>
      <c r="B38" s="236">
        <f>'Fremtind Livsforsikring'!B38+'Danica Pensjonsforsikring'!B38+'DNB Livsforsikring'!B38+'Eika Forsikring AS'!B38+'Frende Livsforsikring'!B38+'Frende Skadeforsikring'!B38+'Gjensidige Forsikring'!B38+'Gjensidige Pensjon'!B38+'Handelsbanken Liv'!B38+'If Skadeforsikring NUF'!B38+KLP!B38+'KLP Bedriftspensjon AS'!B38+'KLP Skadeforsikring AS'!B38+'Landkreditt Forsikring'!B38+Inrs!B38+'Nordea Liv '!B38+'Oslo Pensjonsforsikring'!B38+'Protector Forsikring'!B38+'SHB Liv'!B38+'Sparebank 1'!B38+'Storebrand Livsforsikring'!B38+'Telenor Forsikring'!B38+'Tryg Forsikring'!B38+'WaterCircles F'!B38</f>
        <v>0</v>
      </c>
      <c r="C38" s="236">
        <f>'Fremtind Livsforsikring'!C38+'Danica Pensjonsforsikring'!C38+'DNB Livsforsikring'!C38+'Eika Forsikring AS'!C38+'Frende Livsforsikring'!C38+'Frende Skadeforsikring'!C38+'Gjensidige Forsikring'!C38+'Gjensidige Pensjon'!C38+'Handelsbanken Liv'!C38+'If Skadeforsikring NUF'!C38+KLP!C38+'KLP Bedriftspensjon AS'!C38+'KLP Skadeforsikring AS'!C38+'Landkreditt Forsikring'!C38+Inrs!C38+'Nordea Liv '!C38+'Oslo Pensjonsforsikring'!C38+'Protector Forsikring'!C38+'SHB Liv'!C38+'Sparebank 1'!C38+'Storebrand Livsforsikring'!C38+'Telenor Forsikring'!C38+'Tryg Forsikring'!C38+'WaterCircles F'!C38</f>
        <v>0</v>
      </c>
      <c r="D38" s="24"/>
      <c r="E38" s="319"/>
      <c r="F38" s="325"/>
      <c r="G38" s="171"/>
      <c r="H38" s="308"/>
      <c r="I38" s="236"/>
      <c r="J38" s="24"/>
    </row>
    <row r="39" spans="1:10" s="43" customFormat="1" ht="15.75" customHeight="1" x14ac:dyDescent="0.2">
      <c r="A39" s="587" t="s">
        <v>378</v>
      </c>
      <c r="B39" s="276">
        <f>'Fremtind Livsforsikring'!B39+'Danica Pensjonsforsikring'!B39+'DNB Livsforsikring'!B39+'Eika Forsikring AS'!B39+'Frende Livsforsikring'!B39+'Frende Skadeforsikring'!B39+'Gjensidige Forsikring'!B39+'Gjensidige Pensjon'!B39+'Handelsbanken Liv'!B39+'If Skadeforsikring NUF'!B39+KLP!B39+'KLP Bedriftspensjon AS'!B39+'KLP Skadeforsikring AS'!B39+'Landkreditt Forsikring'!B39+Inrs!B39+'Nordea Liv '!B39+'Oslo Pensjonsforsikring'!B39+'Protector Forsikring'!B39+'SHB Liv'!B39+'Sparebank 1'!B39+'Storebrand Livsforsikring'!B39+'Telenor Forsikring'!B39+'Tryg Forsikring'!B39+'WaterCircles F'!B39</f>
        <v>0</v>
      </c>
      <c r="C39" s="276">
        <f>'Fremtind Livsforsikring'!C39+'Danica Pensjonsforsikring'!C39+'DNB Livsforsikring'!C39+'Eika Forsikring AS'!C39+'Frende Livsforsikring'!C39+'Frende Skadeforsikring'!C39+'Gjensidige Forsikring'!C39+'Gjensidige Pensjon'!C39+'Handelsbanken Liv'!C39+'If Skadeforsikring NUF'!C39+KLP!C39+'KLP Bedriftspensjon AS'!C39+'KLP Skadeforsikring AS'!C39+'Landkreditt Forsikring'!C39+Inrs!C39+'Nordea Liv '!C39+'Oslo Pensjonsforsikring'!C39+'Protector Forsikring'!C39+'SHB Liv'!C39+'Sparebank 1'!C39+'Storebrand Livsforsikring'!C39+'Telenor Forsikring'!C39+'Tryg Forsikring'!C39+'WaterCircles F'!C39</f>
        <v>0</v>
      </c>
      <c r="D39" s="36"/>
      <c r="E39" s="326"/>
      <c r="F39" s="326"/>
      <c r="G39" s="169"/>
      <c r="H39" s="314"/>
      <c r="I39" s="276"/>
      <c r="J39" s="36"/>
    </row>
    <row r="40" spans="1:10" ht="15.75" customHeight="1" x14ac:dyDescent="0.2">
      <c r="A40" s="47"/>
    </row>
    <row r="41" spans="1:10" ht="15.75" customHeight="1" x14ac:dyDescent="0.2">
      <c r="A41" s="155"/>
    </row>
    <row r="42" spans="1:10" ht="15.75" customHeight="1" x14ac:dyDescent="0.25">
      <c r="A42" s="147" t="s">
        <v>276</v>
      </c>
      <c r="B42" s="724"/>
      <c r="C42" s="724"/>
      <c r="D42" s="724"/>
      <c r="E42" s="725"/>
      <c r="F42" s="725"/>
      <c r="G42" s="725"/>
      <c r="H42" s="725"/>
      <c r="I42" s="725"/>
      <c r="J42" s="725"/>
    </row>
    <row r="43" spans="1:10" ht="15.75" customHeight="1" x14ac:dyDescent="0.25">
      <c r="A43" s="163"/>
      <c r="B43" s="435"/>
      <c r="C43" s="435"/>
      <c r="D43" s="435"/>
      <c r="E43" s="298"/>
      <c r="F43" s="298"/>
      <c r="G43" s="298"/>
      <c r="H43" s="298"/>
      <c r="I43" s="298"/>
      <c r="J43" s="298"/>
    </row>
    <row r="44" spans="1:10" s="3" customFormat="1" ht="15.75" customHeight="1" x14ac:dyDescent="0.25">
      <c r="A44" s="247"/>
      <c r="B44" s="327" t="s">
        <v>0</v>
      </c>
      <c r="C44" s="328"/>
      <c r="D44" s="252"/>
      <c r="E44" s="42"/>
      <c r="F44" s="42"/>
      <c r="G44" s="40"/>
      <c r="H44" s="42"/>
      <c r="I44" s="42"/>
      <c r="J44" s="40"/>
    </row>
    <row r="45" spans="1:10" s="3" customFormat="1" ht="15.75" customHeight="1" x14ac:dyDescent="0.2">
      <c r="A45" s="140"/>
      <c r="B45" s="20" t="s">
        <v>423</v>
      </c>
      <c r="C45" s="20" t="s">
        <v>424</v>
      </c>
      <c r="D45" s="250" t="s">
        <v>3</v>
      </c>
      <c r="E45" s="42"/>
      <c r="F45" s="42"/>
      <c r="G45" s="40"/>
      <c r="H45" s="42"/>
      <c r="I45" s="42"/>
      <c r="J45" s="40"/>
    </row>
    <row r="46" spans="1:10" s="3" customFormat="1" ht="15.75" customHeight="1" x14ac:dyDescent="0.2">
      <c r="A46" s="703"/>
      <c r="B46" s="46"/>
      <c r="C46" s="251"/>
      <c r="D46" s="17" t="s">
        <v>4</v>
      </c>
      <c r="E46" s="40"/>
      <c r="F46" s="40"/>
      <c r="G46" s="40"/>
      <c r="H46" s="40"/>
      <c r="I46" s="40"/>
      <c r="J46" s="40"/>
    </row>
    <row r="47" spans="1:10" s="420" customFormat="1" ht="15.75" customHeight="1" x14ac:dyDescent="0.2">
      <c r="A47" s="14" t="s">
        <v>23</v>
      </c>
      <c r="B47" s="236">
        <f>'Fremtind Livsforsikring'!B47+'Danica Pensjonsforsikring'!B47+'DNB Livsforsikring'!B47+'Eika Forsikring AS'!B47+'Frende Livsforsikring'!B47+'Frende Skadeforsikring'!B47+'Gjensidige Forsikring'!B47+'Gjensidige Pensjon'!B47+'Handelsbanken Liv'!B47+'If Skadeforsikring NUF'!B47+KLP!B47+'KLP Bedriftspensjon AS'!B47+'KLP Skadeforsikring AS'!B47+'Landkreditt Forsikring'!B47+Inrs!B47+'Nordea Liv '!B47+'Oslo Pensjonsforsikring'!B47+'Protector Forsikring'!B47+'SHB Liv'!B47+'Sparebank 1'!B47+'Storebrand Livsforsikring'!B47+'Telenor Forsikring'!B47+'Tryg Forsikring'!B47+'WaterCircles F'!B47</f>
        <v>2502402.8992893849</v>
      </c>
      <c r="C47" s="236">
        <f>'Fremtind Livsforsikring'!C47+'Danica Pensjonsforsikring'!C47+'DNB Livsforsikring'!C47+'Eika Forsikring AS'!C47+'Frende Livsforsikring'!C47+'Frende Skadeforsikring'!C47+'Gjensidige Forsikring'!C47+'Gjensidige Pensjon'!C47+'Handelsbanken Liv'!C47+'If Skadeforsikring NUF'!C47+KLP!C47+'KLP Bedriftspensjon AS'!C47+'KLP Skadeforsikring AS'!C47+'Landkreditt Forsikring'!C47+Inrs!C47+'Nordea Liv '!C47+'Oslo Pensjonsforsikring'!C47+'Protector Forsikring'!C47+'SHB Liv'!C47+'Sparebank 1'!C47+'Storebrand Livsforsikring'!C47+'Telenor Forsikring'!C47+'Tryg Forsikring'!C47+'WaterCircles F'!C47</f>
        <v>2885606.4238871019</v>
      </c>
      <c r="D47" s="24">
        <f t="shared" ref="D47:D58" si="24">IF(B47=0, "    ---- ", IF(ABS(ROUND(100/B47*C47-100,1))&lt;999,ROUND(100/B47*C47-100,1),IF(ROUND(100/B47*C47-100,1)&gt;999,999,-999)))</f>
        <v>15.3</v>
      </c>
      <c r="E47" s="421"/>
      <c r="F47" s="422"/>
      <c r="G47" s="32"/>
      <c r="H47" s="423"/>
      <c r="I47" s="423"/>
      <c r="J47" s="32"/>
    </row>
    <row r="48" spans="1:10" s="3" customFormat="1" ht="15.75" customHeight="1" x14ac:dyDescent="0.2">
      <c r="A48" s="38" t="s">
        <v>379</v>
      </c>
      <c r="B48" s="44">
        <f>'Fremtind Livsforsikring'!B48+'Danica Pensjonsforsikring'!B48+'DNB Livsforsikring'!B48+'Eika Forsikring AS'!B48+'Frende Livsforsikring'!B48+'Frende Skadeforsikring'!B48+'Gjensidige Forsikring'!B48+'Gjensidige Pensjon'!B48+'Handelsbanken Liv'!B48+'If Skadeforsikring NUF'!B48+KLP!B48+'KLP Bedriftspensjon AS'!B48+'KLP Skadeforsikring AS'!B48+'Landkreditt Forsikring'!B48+Inrs!B48+'Nordea Liv '!B48+'Oslo Pensjonsforsikring'!B48+'Protector Forsikring'!B48+'SHB Liv'!B48+'Sparebank 1'!B48+'Storebrand Livsforsikring'!B48+'Telenor Forsikring'!B48+'Tryg Forsikring'!B48+'WaterCircles F'!B48</f>
        <v>1338522.478519385</v>
      </c>
      <c r="C48" s="44">
        <f>'Fremtind Livsforsikring'!C48+'Danica Pensjonsforsikring'!C48+'DNB Livsforsikring'!C48+'Eika Forsikring AS'!C48+'Frende Livsforsikring'!C48+'Frende Skadeforsikring'!C48+'Gjensidige Forsikring'!C48+'Gjensidige Pensjon'!C48+'Handelsbanken Liv'!C48+'If Skadeforsikring NUF'!C48+KLP!C48+'KLP Bedriftspensjon AS'!C48+'KLP Skadeforsikring AS'!C48+'Landkreditt Forsikring'!C48+Inrs!C48+'Nordea Liv '!C48+'Oslo Pensjonsforsikring'!C48+'Protector Forsikring'!C48+'SHB Liv'!C48+'Sparebank 1'!C48+'Storebrand Livsforsikring'!C48+'Telenor Forsikring'!C48+'Tryg Forsikring'!C48+'WaterCircles F'!C48</f>
        <v>1568162.0010271021</v>
      </c>
      <c r="D48" s="24">
        <f t="shared" si="24"/>
        <v>17.2</v>
      </c>
      <c r="E48" s="35"/>
      <c r="F48" s="5"/>
      <c r="G48" s="34"/>
      <c r="H48" s="33"/>
      <c r="I48" s="33"/>
      <c r="J48" s="32"/>
    </row>
    <row r="49" spans="1:10" s="3" customFormat="1" ht="15.75" customHeight="1" x14ac:dyDescent="0.2">
      <c r="A49" s="38" t="s">
        <v>380</v>
      </c>
      <c r="B49" s="191">
        <f>'Fremtind Livsforsikring'!B49+'Danica Pensjonsforsikring'!B49+'DNB Livsforsikring'!B49+'Eika Forsikring AS'!B49+'Frende Livsforsikring'!B49+'Frende Skadeforsikring'!B49+'Gjensidige Forsikring'!B49+'Gjensidige Pensjon'!B49+'Handelsbanken Liv'!B49+'If Skadeforsikring NUF'!B49+KLP!B49+'KLP Bedriftspensjon AS'!B49+'KLP Skadeforsikring AS'!B49+'Landkreditt Forsikring'!B49+Inrs!B49+'Nordea Liv '!B49+'Oslo Pensjonsforsikring'!B49+'Protector Forsikring'!B49+'SHB Liv'!B49+'Sparebank 1'!B49+'Storebrand Livsforsikring'!B49+'Telenor Forsikring'!B49+'Tryg Forsikring'!B49+'WaterCircles F'!B49</f>
        <v>1163880.42077</v>
      </c>
      <c r="C49" s="191">
        <f>'Fremtind Livsforsikring'!C49+'Danica Pensjonsforsikring'!C49+'DNB Livsforsikring'!C49+'Eika Forsikring AS'!C49+'Frende Livsforsikring'!C49+'Frende Skadeforsikring'!C49+'Gjensidige Forsikring'!C49+'Gjensidige Pensjon'!C49+'Handelsbanken Liv'!C49+'If Skadeforsikring NUF'!C49+KLP!C49+'KLP Bedriftspensjon AS'!C49+'KLP Skadeforsikring AS'!C49+'Landkreditt Forsikring'!C49+Inrs!C49+'Nordea Liv '!C49+'Oslo Pensjonsforsikring'!C49+'Protector Forsikring'!C49+'SHB Liv'!C49+'Sparebank 1'!C49+'Storebrand Livsforsikring'!C49+'Telenor Forsikring'!C49+'Tryg Forsikring'!C49+'WaterCircles F'!C49</f>
        <v>1317444.4228599998</v>
      </c>
      <c r="D49" s="24">
        <f t="shared" si="24"/>
        <v>13.2</v>
      </c>
      <c r="E49" s="35"/>
      <c r="F49" s="5"/>
      <c r="G49" s="34"/>
      <c r="H49" s="37"/>
      <c r="I49" s="37"/>
      <c r="J49" s="32"/>
    </row>
    <row r="50" spans="1:10" s="3" customFormat="1" ht="15.75" customHeight="1" x14ac:dyDescent="0.2">
      <c r="A50" s="296" t="s">
        <v>6</v>
      </c>
      <c r="B50" s="44"/>
      <c r="C50" s="44"/>
      <c r="D50" s="27"/>
      <c r="E50" s="35"/>
      <c r="F50" s="5"/>
      <c r="G50" s="34"/>
      <c r="H50" s="33"/>
      <c r="I50" s="33"/>
      <c r="J50" s="32"/>
    </row>
    <row r="51" spans="1:10" s="3" customFormat="1" ht="15.75" customHeight="1" x14ac:dyDescent="0.2">
      <c r="A51" s="296" t="s">
        <v>7</v>
      </c>
      <c r="B51" s="44"/>
      <c r="C51" s="44"/>
      <c r="D51" s="27"/>
      <c r="E51" s="35"/>
      <c r="F51" s="5"/>
      <c r="G51" s="34"/>
      <c r="H51" s="33"/>
      <c r="I51" s="33"/>
      <c r="J51" s="32"/>
    </row>
    <row r="52" spans="1:10" s="3" customFormat="1" ht="15.75" customHeight="1" x14ac:dyDescent="0.2">
      <c r="A52" s="296" t="s">
        <v>8</v>
      </c>
      <c r="B52" s="44"/>
      <c r="C52" s="44"/>
      <c r="D52" s="27"/>
      <c r="E52" s="35"/>
      <c r="F52" s="5"/>
      <c r="G52" s="34"/>
      <c r="H52" s="33"/>
      <c r="I52" s="33"/>
      <c r="J52" s="32"/>
    </row>
    <row r="53" spans="1:10" s="420" customFormat="1" ht="15.75" customHeight="1" x14ac:dyDescent="0.2">
      <c r="A53" s="39" t="s">
        <v>381</v>
      </c>
      <c r="B53" s="236">
        <f>'Fremtind Livsforsikring'!B53+'Danica Pensjonsforsikring'!B53+'DNB Livsforsikring'!B53+'Eika Forsikring AS'!B53+'Frende Livsforsikring'!B53+'Frende Skadeforsikring'!B53+'Gjensidige Forsikring'!B53+'Gjensidige Pensjon'!B53+'Handelsbanken Liv'!B53+'If Skadeforsikring NUF'!B53+KLP!B53+'KLP Bedriftspensjon AS'!B53+'KLP Skadeforsikring AS'!B53+'Landkreditt Forsikring'!B53+Inrs!B53+'Nordea Liv '!B53+'Oslo Pensjonsforsikring'!B53+'Protector Forsikring'!B53+'SHB Liv'!B53+'Sparebank 1'!B53+'Storebrand Livsforsikring'!B53+'Telenor Forsikring'!B53+'Tryg Forsikring'!B53+'WaterCircles F'!B53</f>
        <v>149001.03700000001</v>
      </c>
      <c r="C53" s="236">
        <f>'Fremtind Livsforsikring'!C53+'Danica Pensjonsforsikring'!C53+'DNB Livsforsikring'!C53+'Eika Forsikring AS'!C53+'Frende Livsforsikring'!C53+'Frende Skadeforsikring'!C53+'Gjensidige Forsikring'!C53+'Gjensidige Pensjon'!C53+'Handelsbanken Liv'!C53+'If Skadeforsikring NUF'!C53+KLP!C53+'KLP Bedriftspensjon AS'!C53+'KLP Skadeforsikring AS'!C53+'Landkreditt Forsikring'!C53+Inrs!C53+'Nordea Liv '!C53+'Oslo Pensjonsforsikring'!C53+'Protector Forsikring'!C53+'SHB Liv'!C53+'Sparebank 1'!C53+'Storebrand Livsforsikring'!C53+'Telenor Forsikring'!C53+'Tryg Forsikring'!C53+'WaterCircles F'!C53</f>
        <v>102206.51400000001</v>
      </c>
      <c r="D53" s="24">
        <f t="shared" si="24"/>
        <v>-31.4</v>
      </c>
      <c r="E53" s="421"/>
      <c r="F53" s="422"/>
      <c r="G53" s="32"/>
      <c r="H53" s="173"/>
      <c r="I53" s="173"/>
      <c r="J53" s="32"/>
    </row>
    <row r="54" spans="1:10" s="3" customFormat="1" ht="15.75" customHeight="1" x14ac:dyDescent="0.2">
      <c r="A54" s="38" t="s">
        <v>379</v>
      </c>
      <c r="B54" s="44">
        <f>'Fremtind Livsforsikring'!B54+'Danica Pensjonsforsikring'!B54+'DNB Livsforsikring'!B54+'Eika Forsikring AS'!B54+'Frende Livsforsikring'!B54+'Frende Skadeforsikring'!B54+'Gjensidige Forsikring'!B54+'Gjensidige Pensjon'!B54+'Handelsbanken Liv'!B54+'If Skadeforsikring NUF'!B54+KLP!B54+'KLP Bedriftspensjon AS'!B54+'KLP Skadeforsikring AS'!B54+'Landkreditt Forsikring'!B54+Inrs!B54+'Nordea Liv '!B54+'Oslo Pensjonsforsikring'!B54+'Protector Forsikring'!B54+'SHB Liv'!B54+'Sparebank 1'!B54+'Storebrand Livsforsikring'!B54+'Telenor Forsikring'!B54+'Tryg Forsikring'!B54+'WaterCircles F'!B54</f>
        <v>63232.53</v>
      </c>
      <c r="C54" s="44">
        <f>'Fremtind Livsforsikring'!C54+'Danica Pensjonsforsikring'!C54+'DNB Livsforsikring'!C54+'Eika Forsikring AS'!C54+'Frende Livsforsikring'!C54+'Frende Skadeforsikring'!C54+'Gjensidige Forsikring'!C54+'Gjensidige Pensjon'!C54+'Handelsbanken Liv'!C54+'If Skadeforsikring NUF'!C54+KLP!C54+'KLP Bedriftspensjon AS'!C54+'KLP Skadeforsikring AS'!C54+'Landkreditt Forsikring'!C54+Inrs!C54+'Nordea Liv '!C54+'Oslo Pensjonsforsikring'!C54+'Protector Forsikring'!C54+'SHB Liv'!C54+'Sparebank 1'!C54+'Storebrand Livsforsikring'!C54+'Telenor Forsikring'!C54+'Tryg Forsikring'!C54+'WaterCircles F'!C54</f>
        <v>102206.51400000001</v>
      </c>
      <c r="D54" s="24">
        <f t="shared" si="24"/>
        <v>61.6</v>
      </c>
      <c r="E54" s="35"/>
      <c r="F54" s="5"/>
      <c r="G54" s="34"/>
      <c r="H54" s="33"/>
      <c r="I54" s="33"/>
      <c r="J54" s="32"/>
    </row>
    <row r="55" spans="1:10" s="3" customFormat="1" ht="15.75" customHeight="1" x14ac:dyDescent="0.2">
      <c r="A55" s="38" t="s">
        <v>380</v>
      </c>
      <c r="B55" s="44">
        <f>'Fremtind Livsforsikring'!B55+'Danica Pensjonsforsikring'!B55+'DNB Livsforsikring'!B55+'Eika Forsikring AS'!B55+'Frende Livsforsikring'!B55+'Frende Skadeforsikring'!B55+'Gjensidige Forsikring'!B55+'Gjensidige Pensjon'!B55+'Handelsbanken Liv'!B55+'If Skadeforsikring NUF'!B55+KLP!B55+'KLP Bedriftspensjon AS'!B55+'KLP Skadeforsikring AS'!B55+'Landkreditt Forsikring'!B55+Inrs!B55+'Nordea Liv '!B55+'Oslo Pensjonsforsikring'!B55+'Protector Forsikring'!B55+'SHB Liv'!B55+'Sparebank 1'!B55+'Storebrand Livsforsikring'!B55+'Telenor Forsikring'!B55+'Tryg Forsikring'!B55+'WaterCircles F'!B55</f>
        <v>85768.506999999998</v>
      </c>
      <c r="C55" s="44">
        <f>'Fremtind Livsforsikring'!C55+'Danica Pensjonsforsikring'!C55+'DNB Livsforsikring'!C55+'Eika Forsikring AS'!C55+'Frende Livsforsikring'!C55+'Frende Skadeforsikring'!C55+'Gjensidige Forsikring'!C55+'Gjensidige Pensjon'!C55+'Handelsbanken Liv'!C55+'If Skadeforsikring NUF'!C55+KLP!C55+'KLP Bedriftspensjon AS'!C55+'KLP Skadeforsikring AS'!C55+'Landkreditt Forsikring'!C55+Inrs!C55+'Nordea Liv '!C55+'Oslo Pensjonsforsikring'!C55+'Protector Forsikring'!C55+'SHB Liv'!C55+'Sparebank 1'!C55+'Storebrand Livsforsikring'!C55+'Telenor Forsikring'!C55+'Tryg Forsikring'!C55+'WaterCircles F'!C55</f>
        <v>0</v>
      </c>
      <c r="D55" s="24">
        <f t="shared" si="24"/>
        <v>-100</v>
      </c>
      <c r="E55" s="35"/>
      <c r="F55" s="5"/>
      <c r="G55" s="34"/>
      <c r="H55" s="33"/>
      <c r="I55" s="33"/>
      <c r="J55" s="32"/>
    </row>
    <row r="56" spans="1:10" s="420" customFormat="1" ht="15.75" customHeight="1" x14ac:dyDescent="0.2">
      <c r="A56" s="39" t="s">
        <v>382</v>
      </c>
      <c r="B56" s="236">
        <f>'Fremtind Livsforsikring'!B56+'Danica Pensjonsforsikring'!B56+'DNB Livsforsikring'!B56+'Eika Forsikring AS'!B56+'Frende Livsforsikring'!B56+'Frende Skadeforsikring'!B56+'Gjensidige Forsikring'!B56+'Gjensidige Pensjon'!B56+'Handelsbanken Liv'!B56+'If Skadeforsikring NUF'!B56+KLP!B56+'KLP Bedriftspensjon AS'!B56+'KLP Skadeforsikring AS'!B56+'Landkreditt Forsikring'!B56+Inrs!B56+'Nordea Liv '!B56+'Oslo Pensjonsforsikring'!B56+'Protector Forsikring'!B56+'SHB Liv'!B56+'Sparebank 1'!B56+'Storebrand Livsforsikring'!B56+'Telenor Forsikring'!B56+'Tryg Forsikring'!B56+'WaterCircles F'!B56</f>
        <v>121084.31299999999</v>
      </c>
      <c r="C56" s="236">
        <f>'Fremtind Livsforsikring'!C56+'Danica Pensjonsforsikring'!C56+'DNB Livsforsikring'!C56+'Eika Forsikring AS'!C56+'Frende Livsforsikring'!C56+'Frende Skadeforsikring'!C56+'Gjensidige Forsikring'!C56+'Gjensidige Pensjon'!C56+'Handelsbanken Liv'!C56+'If Skadeforsikring NUF'!C56+KLP!C56+'KLP Bedriftspensjon AS'!C56+'KLP Skadeforsikring AS'!C56+'Landkreditt Forsikring'!C56+Inrs!C56+'Nordea Liv '!C56+'Oslo Pensjonsforsikring'!C56+'Protector Forsikring'!C56+'SHB Liv'!C56+'Sparebank 1'!C56+'Storebrand Livsforsikring'!C56+'Telenor Forsikring'!C56+'Tryg Forsikring'!C56+'WaterCircles F'!C56</f>
        <v>94447.146999999997</v>
      </c>
      <c r="D56" s="24">
        <f t="shared" si="24"/>
        <v>-22</v>
      </c>
      <c r="E56" s="421"/>
      <c r="F56" s="422"/>
      <c r="G56" s="32"/>
      <c r="H56" s="173"/>
      <c r="I56" s="173"/>
      <c r="J56" s="32"/>
    </row>
    <row r="57" spans="1:10" s="3" customFormat="1" ht="15.75" customHeight="1" x14ac:dyDescent="0.2">
      <c r="A57" s="38" t="s">
        <v>379</v>
      </c>
      <c r="B57" s="44">
        <f>'Fremtind Livsforsikring'!B57+'Danica Pensjonsforsikring'!B57+'DNB Livsforsikring'!B57+'Eika Forsikring AS'!B57+'Frende Livsforsikring'!B57+'Frende Skadeforsikring'!B57+'Gjensidige Forsikring'!B57+'Gjensidige Pensjon'!B57+'Handelsbanken Liv'!B57+'If Skadeforsikring NUF'!B57+KLP!B57+'KLP Bedriftspensjon AS'!B57+'KLP Skadeforsikring AS'!B57+'Landkreditt Forsikring'!B57+Inrs!B57+'Nordea Liv '!B57+'Oslo Pensjonsforsikring'!B57+'Protector Forsikring'!B57+'SHB Liv'!B57+'Sparebank 1'!B57+'Storebrand Livsforsikring'!B57+'Telenor Forsikring'!B57+'Tryg Forsikring'!B57+'WaterCircles F'!B57</f>
        <v>54498.399999999994</v>
      </c>
      <c r="C57" s="44">
        <f>'Fremtind Livsforsikring'!C57+'Danica Pensjonsforsikring'!C57+'DNB Livsforsikring'!C57+'Eika Forsikring AS'!C57+'Frende Livsforsikring'!C57+'Frende Skadeforsikring'!C57+'Gjensidige Forsikring'!C57+'Gjensidige Pensjon'!C57+'Handelsbanken Liv'!C57+'If Skadeforsikring NUF'!C57+KLP!C57+'KLP Bedriftspensjon AS'!C57+'KLP Skadeforsikring AS'!C57+'Landkreditt Forsikring'!C57+Inrs!C57+'Nordea Liv '!C57+'Oslo Pensjonsforsikring'!C57+'Protector Forsikring'!C57+'SHB Liv'!C57+'Sparebank 1'!C57+'Storebrand Livsforsikring'!C57+'Telenor Forsikring'!C57+'Tryg Forsikring'!C57+'WaterCircles F'!C57</f>
        <v>94447.146999999997</v>
      </c>
      <c r="D57" s="24">
        <f t="shared" si="24"/>
        <v>73.3</v>
      </c>
      <c r="E57" s="35"/>
      <c r="F57" s="5"/>
      <c r="G57" s="34"/>
      <c r="H57" s="33"/>
      <c r="I57" s="33"/>
      <c r="J57" s="32"/>
    </row>
    <row r="58" spans="1:10" s="3" customFormat="1" ht="15.75" customHeight="1" x14ac:dyDescent="0.2">
      <c r="A58" s="38" t="s">
        <v>380</v>
      </c>
      <c r="B58" s="45">
        <f>'Fremtind Livsforsikring'!B58+'Danica Pensjonsforsikring'!B58+'DNB Livsforsikring'!B58+'Eika Forsikring AS'!B58+'Frende Livsforsikring'!B58+'Frende Skadeforsikring'!B58+'Gjensidige Forsikring'!B58+'Gjensidige Pensjon'!B58+'Handelsbanken Liv'!B58+'If Skadeforsikring NUF'!B58+KLP!B58+'KLP Bedriftspensjon AS'!B58+'KLP Skadeforsikring AS'!B58+'Landkreditt Forsikring'!B58+Inrs!B58+'Nordea Liv '!B58+'Oslo Pensjonsforsikring'!B58+'Protector Forsikring'!B58+'SHB Liv'!B58+'Sparebank 1'!B58+'Storebrand Livsforsikring'!B58+'Telenor Forsikring'!B58+'Tryg Forsikring'!B58+'WaterCircles F'!B58</f>
        <v>66585.913</v>
      </c>
      <c r="C58" s="45">
        <f>'Fremtind Livsforsikring'!C58+'Danica Pensjonsforsikring'!C58+'DNB Livsforsikring'!C58+'Eika Forsikring AS'!C58+'Frende Livsforsikring'!C58+'Frende Skadeforsikring'!C58+'Gjensidige Forsikring'!C58+'Gjensidige Pensjon'!C58+'Handelsbanken Liv'!C58+'If Skadeforsikring NUF'!C58+KLP!C58+'KLP Bedriftspensjon AS'!C58+'KLP Skadeforsikring AS'!C58+'Landkreditt Forsikring'!C58+Inrs!C58+'Nordea Liv '!C58+'Oslo Pensjonsforsikring'!C58+'Protector Forsikring'!C58+'SHB Liv'!C58+'Sparebank 1'!C58+'Storebrand Livsforsikring'!C58+'Telenor Forsikring'!C58+'Tryg Forsikring'!C58+'WaterCircles F'!C58</f>
        <v>0</v>
      </c>
      <c r="D58" s="36">
        <f t="shared" si="24"/>
        <v>-100</v>
      </c>
      <c r="E58" s="35"/>
      <c r="F58" s="5"/>
      <c r="G58" s="34"/>
      <c r="H58" s="33"/>
      <c r="I58" s="33"/>
      <c r="J58" s="32"/>
    </row>
    <row r="59" spans="1:10" s="3" customFormat="1" ht="15.75" customHeight="1" x14ac:dyDescent="0.25">
      <c r="A59" s="164"/>
      <c r="B59" s="30"/>
      <c r="C59" s="30"/>
      <c r="D59" s="30"/>
      <c r="E59" s="31"/>
      <c r="F59" s="31"/>
      <c r="G59" s="31"/>
      <c r="H59" s="31"/>
      <c r="I59" s="31"/>
      <c r="J59" s="31"/>
    </row>
    <row r="60" spans="1:10" ht="15.75" customHeight="1" x14ac:dyDescent="0.2">
      <c r="A60" s="155"/>
    </row>
    <row r="61" spans="1:10" ht="15.75" customHeight="1" x14ac:dyDescent="0.25">
      <c r="A61" s="147" t="s">
        <v>277</v>
      </c>
      <c r="C61" s="26"/>
      <c r="D61" s="25"/>
      <c r="E61" s="26"/>
      <c r="F61" s="26"/>
      <c r="G61" s="25"/>
      <c r="H61" s="26"/>
      <c r="I61" s="26"/>
      <c r="J61" s="25"/>
    </row>
    <row r="62" spans="1:10" ht="20.100000000000001" customHeight="1" x14ac:dyDescent="0.25">
      <c r="A62" s="149"/>
      <c r="B62" s="724"/>
      <c r="C62" s="724"/>
      <c r="D62" s="724"/>
      <c r="E62" s="724"/>
      <c r="F62" s="724"/>
      <c r="G62" s="724"/>
      <c r="H62" s="724"/>
      <c r="I62" s="724"/>
      <c r="J62" s="724"/>
    </row>
    <row r="63" spans="1:10" ht="15.75" customHeight="1" x14ac:dyDescent="0.2">
      <c r="A63" s="144"/>
      <c r="B63" s="721" t="s">
        <v>0</v>
      </c>
      <c r="C63" s="722"/>
      <c r="D63" s="722"/>
      <c r="E63" s="721" t="s">
        <v>1</v>
      </c>
      <c r="F63" s="722"/>
      <c r="G63" s="723"/>
      <c r="H63" s="722" t="s">
        <v>2</v>
      </c>
      <c r="I63" s="722"/>
      <c r="J63" s="723"/>
    </row>
    <row r="64" spans="1:10" ht="15.75" customHeight="1" x14ac:dyDescent="0.2">
      <c r="A64" s="140"/>
      <c r="B64" s="20" t="s">
        <v>423</v>
      </c>
      <c r="C64" s="20" t="s">
        <v>424</v>
      </c>
      <c r="D64" s="19" t="s">
        <v>3</v>
      </c>
      <c r="E64" s="20" t="s">
        <v>423</v>
      </c>
      <c r="F64" s="20" t="s">
        <v>424</v>
      </c>
      <c r="G64" s="19" t="s">
        <v>3</v>
      </c>
      <c r="H64" s="20" t="s">
        <v>423</v>
      </c>
      <c r="I64" s="20" t="s">
        <v>424</v>
      </c>
      <c r="J64" s="19" t="s">
        <v>3</v>
      </c>
    </row>
    <row r="65" spans="1:10" ht="15.75" customHeight="1" x14ac:dyDescent="0.2">
      <c r="A65" s="703"/>
      <c r="B65" s="15"/>
      <c r="C65" s="15"/>
      <c r="D65" s="17" t="s">
        <v>4</v>
      </c>
      <c r="E65" s="16"/>
      <c r="F65" s="16"/>
      <c r="G65" s="15" t="s">
        <v>4</v>
      </c>
      <c r="H65" s="16"/>
      <c r="I65" s="16"/>
      <c r="J65" s="15" t="s">
        <v>4</v>
      </c>
    </row>
    <row r="66" spans="1:10" s="43" customFormat="1" ht="15.75" customHeight="1" x14ac:dyDescent="0.2">
      <c r="A66" s="14" t="s">
        <v>23</v>
      </c>
      <c r="B66" s="329">
        <f>'Fremtind Livsforsikring'!B66+'Danica Pensjonsforsikring'!B66+'DNB Livsforsikring'!B66+'Eika Forsikring AS'!B66+'Frende Livsforsikring'!B66+'Frende Skadeforsikring'!B66+'Gjensidige Forsikring'!B66+'Gjensidige Pensjon'!B66+'Handelsbanken Liv'!B66+'If Skadeforsikring NUF'!B66+KLP!B66+'KLP Bedriftspensjon AS'!B66+'KLP Skadeforsikring AS'!B66+'Landkreditt Forsikring'!B66+Inrs!B66+'Nordea Liv '!B66+'Oslo Pensjonsforsikring'!B66+'Protector Forsikring'!B66+'SHB Liv'!B66+'Sparebank 1'!B66+'Storebrand Livsforsikring'!B66+'Telenor Forsikring'!B66+'Tryg Forsikring'!B66+'WaterCircles F'!B66</f>
        <v>3513095.71282</v>
      </c>
      <c r="C66" s="329">
        <f>'Fremtind Livsforsikring'!C66+'Danica Pensjonsforsikring'!C66+'DNB Livsforsikring'!C66+'Eika Forsikring AS'!C66+'Frende Livsforsikring'!C66+'Frende Skadeforsikring'!C66+'Gjensidige Forsikring'!C66+'Gjensidige Pensjon'!C66+'Handelsbanken Liv'!C66+'If Skadeforsikring NUF'!C66+KLP!C66+'KLP Bedriftspensjon AS'!C66+'KLP Skadeforsikring AS'!C66+'Landkreditt Forsikring'!C66+Inrs!C66+'Nordea Liv '!C66+'Oslo Pensjonsforsikring'!C66+'Protector Forsikring'!C66+'SHB Liv'!C66+'Sparebank 1'!C66+'Storebrand Livsforsikring'!C66+'Telenor Forsikring'!C66+'Tryg Forsikring'!C66+'WaterCircles F'!C66</f>
        <v>3486374.05791</v>
      </c>
      <c r="D66" s="24">
        <f t="shared" ref="D66:D111" si="25">IF(B66=0, "    ---- ", IF(ABS(ROUND(100/B66*C66-100,1))&lt;999,ROUND(100/B66*C66-100,1),IF(ROUND(100/B66*C66-100,1)&gt;999,999,-999)))</f>
        <v>-0.8</v>
      </c>
      <c r="E66" s="236">
        <f>'Fremtind Livsforsikring'!F66+'Danica Pensjonsforsikring'!F66+'DNB Livsforsikring'!F66+'Eika Forsikring AS'!F66+'Frende Livsforsikring'!F66+'Frende Skadeforsikring'!F66+'Gjensidige Forsikring'!F66+'Gjensidige Pensjon'!F66+'Handelsbanken Liv'!F66+'If Skadeforsikring NUF'!F66+KLP!F66+'KLP Bedriftspensjon AS'!F66+'KLP Skadeforsikring AS'!F66+'Landkreditt Forsikring'!F66+Inrs!F66+'Nordea Liv '!F66+'Oslo Pensjonsforsikring'!F66+'Protector Forsikring'!F66+'SHB Liv'!F66+'Sparebank 1'!F66+'Storebrand Livsforsikring'!F66+'Telenor Forsikring'!F66+'Tryg Forsikring'!F66+'WaterCircles F'!F66</f>
        <v>7886810.06164</v>
      </c>
      <c r="F66" s="236">
        <f>'Fremtind Livsforsikring'!G66+'Danica Pensjonsforsikring'!G66+'DNB Livsforsikring'!G66+'Eika Forsikring AS'!G66+'Frende Livsforsikring'!G66+'Frende Skadeforsikring'!G66+'Gjensidige Forsikring'!G66+'Gjensidige Pensjon'!G66+'Handelsbanken Liv'!G66+'If Skadeforsikring NUF'!G66+KLP!G66+'KLP Bedriftspensjon AS'!G66+'KLP Skadeforsikring AS'!G66+'Landkreditt Forsikring'!G66+Inrs!G66+'Nordea Liv '!G66+'Oslo Pensjonsforsikring'!G66+'Protector Forsikring'!G66+'SHB Liv'!G66+'Sparebank 1'!G66+'Storebrand Livsforsikring'!G66+'Telenor Forsikring'!G66+'Tryg Forsikring'!G66+'WaterCircles F'!G66</f>
        <v>8793017.8099000007</v>
      </c>
      <c r="G66" s="171">
        <f t="shared" ref="G66:G68" si="26">IF(E66=0, "    ---- ", IF(ABS(ROUND(100/E66*F66-100,1))&lt;999,ROUND(100/E66*F66-100,1),IF(ROUND(100/E66*F66-100,1)&gt;999,999,-999)))</f>
        <v>11.5</v>
      </c>
      <c r="H66" s="329">
        <f t="shared" ref="H66:H86" si="27">SUM(B66,E66)</f>
        <v>11399905.774459999</v>
      </c>
      <c r="I66" s="329">
        <f t="shared" ref="I66:I86" si="28">SUM(C66,F66)</f>
        <v>12279391.86781</v>
      </c>
      <c r="J66" s="24">
        <f t="shared" ref="J66:J111" si="29">IF(H66=0, "    ---- ", IF(ABS(ROUND(100/H66*I66-100,1))&lt;999,ROUND(100/H66*I66-100,1),IF(ROUND(100/H66*I66-100,1)&gt;999,999,-999)))</f>
        <v>7.7</v>
      </c>
    </row>
    <row r="67" spans="1:10" ht="15.75" customHeight="1" x14ac:dyDescent="0.25">
      <c r="A67" s="21" t="s">
        <v>9</v>
      </c>
      <c r="B67" s="234">
        <f>'Fremtind Livsforsikring'!B67+'Danica Pensjonsforsikring'!B67+'DNB Livsforsikring'!B67+'Eika Forsikring AS'!B67+'Frende Livsforsikring'!B67+'Frende Skadeforsikring'!B67+'Gjensidige Forsikring'!B67+'Gjensidige Pensjon'!B67+'Handelsbanken Liv'!B67+'If Skadeforsikring NUF'!B67+KLP!B67+'KLP Bedriftspensjon AS'!B67+'KLP Skadeforsikring AS'!B67+'Landkreditt Forsikring'!B67+Inrs!B67+'Nordea Liv '!B67+'Oslo Pensjonsforsikring'!B67+'Protector Forsikring'!B67+'SHB Liv'!B67+'Sparebank 1'!B67+'Storebrand Livsforsikring'!B67+'Telenor Forsikring'!B67+'Tryg Forsikring'!B67+'WaterCircles F'!B67</f>
        <v>2827902.7933400003</v>
      </c>
      <c r="C67" s="234">
        <f>'Fremtind Livsforsikring'!C67+'Danica Pensjonsforsikring'!C67+'DNB Livsforsikring'!C67+'Eika Forsikring AS'!C67+'Frende Livsforsikring'!C67+'Frende Skadeforsikring'!C67+'Gjensidige Forsikring'!C67+'Gjensidige Pensjon'!C67+'Handelsbanken Liv'!C67+'If Skadeforsikring NUF'!C67+KLP!C67+'KLP Bedriftspensjon AS'!C67+'KLP Skadeforsikring AS'!C67+'Landkreditt Forsikring'!C67+Inrs!C67+'Nordea Liv '!C67+'Oslo Pensjonsforsikring'!C67+'Protector Forsikring'!C67+'SHB Liv'!C67+'Sparebank 1'!C67+'Storebrand Livsforsikring'!C67+'Telenor Forsikring'!C67+'Tryg Forsikring'!C67+'WaterCircles F'!C67</f>
        <v>2756741.0359800002</v>
      </c>
      <c r="D67" s="241">
        <f t="shared" si="25"/>
        <v>-2.5</v>
      </c>
      <c r="E67" s="44">
        <f>'Fremtind Livsforsikring'!F67+'Danica Pensjonsforsikring'!F67+'DNB Livsforsikring'!F67+'Eika Forsikring AS'!F67+'Frende Livsforsikring'!F67+'Frende Skadeforsikring'!F67+'Gjensidige Forsikring'!F67+'Gjensidige Pensjon'!F67+'Handelsbanken Liv'!F67+'If Skadeforsikring NUF'!F67+KLP!F67+'KLP Bedriftspensjon AS'!F67+'KLP Skadeforsikring AS'!F67+'Landkreditt Forsikring'!F67+Inrs!F67+'Nordea Liv '!F67+'Oslo Pensjonsforsikring'!F67+'Protector Forsikring'!F67+'SHB Liv'!F67+'Sparebank 1'!F67+'Storebrand Livsforsikring'!F67+'Telenor Forsikring'!F67+'Tryg Forsikring'!F67+'WaterCircles F'!F67</f>
        <v>0</v>
      </c>
      <c r="F67" s="44">
        <f>'Fremtind Livsforsikring'!G67+'Danica Pensjonsforsikring'!G67+'DNB Livsforsikring'!G67+'Eika Forsikring AS'!G67+'Frende Livsforsikring'!G67+'Frende Skadeforsikring'!G67+'Gjensidige Forsikring'!G67+'Gjensidige Pensjon'!G67+'Handelsbanken Liv'!G67+'If Skadeforsikring NUF'!G67+KLP!G67+'KLP Bedriftspensjon AS'!G67+'KLP Skadeforsikring AS'!G67+'Landkreditt Forsikring'!G67+Inrs!G67+'Nordea Liv '!G67+'Oslo Pensjonsforsikring'!G67+'Protector Forsikring'!G67+'SHB Liv'!G67+'Sparebank 1'!G67+'Storebrand Livsforsikring'!G67+'Telenor Forsikring'!G67+'Tryg Forsikring'!G67+'WaterCircles F'!G67</f>
        <v>0</v>
      </c>
      <c r="G67" s="23"/>
      <c r="H67" s="237">
        <f t="shared" si="27"/>
        <v>2827902.7933400003</v>
      </c>
      <c r="I67" s="237">
        <f t="shared" si="28"/>
        <v>2756741.0359800002</v>
      </c>
      <c r="J67" s="23">
        <f t="shared" si="29"/>
        <v>-2.5</v>
      </c>
    </row>
    <row r="68" spans="1:10" ht="15.75" customHeight="1" x14ac:dyDescent="0.25">
      <c r="A68" s="21" t="s">
        <v>10</v>
      </c>
      <c r="B68" s="234">
        <f>'Fremtind Livsforsikring'!B68+'Danica Pensjonsforsikring'!B68+'DNB Livsforsikring'!B68+'Eika Forsikring AS'!B68+'Frende Livsforsikring'!B68+'Frende Skadeforsikring'!B68+'Gjensidige Forsikring'!B68+'Gjensidige Pensjon'!B68+'Handelsbanken Liv'!B68+'If Skadeforsikring NUF'!B68+KLP!B68+'KLP Bedriftspensjon AS'!B68+'KLP Skadeforsikring AS'!B68+'Landkreditt Forsikring'!B68+Inrs!B68+'Nordea Liv '!B68+'Oslo Pensjonsforsikring'!B68+'Protector Forsikring'!B68+'SHB Liv'!B68+'Sparebank 1'!B68+'Storebrand Livsforsikring'!B68+'Telenor Forsikring'!B68+'Tryg Forsikring'!B68+'WaterCircles F'!B68</f>
        <v>97026.137539999996</v>
      </c>
      <c r="C68" s="234">
        <f>'Fremtind Livsforsikring'!C68+'Danica Pensjonsforsikring'!C68+'DNB Livsforsikring'!C68+'Eika Forsikring AS'!C68+'Frende Livsforsikring'!C68+'Frende Skadeforsikring'!C68+'Gjensidige Forsikring'!C68+'Gjensidige Pensjon'!C68+'Handelsbanken Liv'!C68+'If Skadeforsikring NUF'!C68+KLP!C68+'KLP Bedriftspensjon AS'!C68+'KLP Skadeforsikring AS'!C68+'Landkreditt Forsikring'!C68+Inrs!C68+'Nordea Liv '!C68+'Oslo Pensjonsforsikring'!C68+'Protector Forsikring'!C68+'SHB Liv'!C68+'Sparebank 1'!C68+'Storebrand Livsforsikring'!C68+'Telenor Forsikring'!C68+'Tryg Forsikring'!C68+'WaterCircles F'!C68</f>
        <v>94026.617710000006</v>
      </c>
      <c r="D68" s="241">
        <f t="shared" si="25"/>
        <v>-3.1</v>
      </c>
      <c r="E68" s="44">
        <f>'Fremtind Livsforsikring'!F68+'Danica Pensjonsforsikring'!F68+'DNB Livsforsikring'!F68+'Eika Forsikring AS'!F68+'Frende Livsforsikring'!F68+'Frende Skadeforsikring'!F68+'Gjensidige Forsikring'!F68+'Gjensidige Pensjon'!F68+'Handelsbanken Liv'!F68+'If Skadeforsikring NUF'!F68+KLP!F68+'KLP Bedriftspensjon AS'!F68+'KLP Skadeforsikring AS'!F68+'Landkreditt Forsikring'!F68+Inrs!F68+'Nordea Liv '!F68+'Oslo Pensjonsforsikring'!F68+'Protector Forsikring'!F68+'SHB Liv'!F68+'Sparebank 1'!F68+'Storebrand Livsforsikring'!F68+'Telenor Forsikring'!F68+'Tryg Forsikring'!F68+'WaterCircles F'!F68</f>
        <v>7783934.2037599999</v>
      </c>
      <c r="F68" s="44">
        <f>'Fremtind Livsforsikring'!G68+'Danica Pensjonsforsikring'!G68+'DNB Livsforsikring'!G68+'Eika Forsikring AS'!G68+'Frende Livsforsikring'!G68+'Frende Skadeforsikring'!G68+'Gjensidige Forsikring'!G68+'Gjensidige Pensjon'!G68+'Handelsbanken Liv'!G68+'If Skadeforsikring NUF'!G68+KLP!G68+'KLP Bedriftspensjon AS'!G68+'KLP Skadeforsikring AS'!G68+'Landkreditt Forsikring'!G68+Inrs!G68+'Nordea Liv '!G68+'Oslo Pensjonsforsikring'!G68+'Protector Forsikring'!G68+'SHB Liv'!G68+'Sparebank 1'!G68+'Storebrand Livsforsikring'!G68+'Telenor Forsikring'!G68+'Tryg Forsikring'!G68+'WaterCircles F'!G68</f>
        <v>8456131.5833299998</v>
      </c>
      <c r="G68" s="23">
        <f t="shared" si="26"/>
        <v>8.6</v>
      </c>
      <c r="H68" s="237">
        <f t="shared" si="27"/>
        <v>7880960.3412999995</v>
      </c>
      <c r="I68" s="237">
        <f t="shared" si="28"/>
        <v>8550158.2010399997</v>
      </c>
      <c r="J68" s="23">
        <f t="shared" si="29"/>
        <v>8.5</v>
      </c>
    </row>
    <row r="69" spans="1:10" ht="15.75" customHeight="1" x14ac:dyDescent="0.2">
      <c r="A69" s="296" t="s">
        <v>383</v>
      </c>
      <c r="B69" s="235"/>
      <c r="C69" s="235"/>
      <c r="D69" s="27"/>
      <c r="E69" s="235"/>
      <c r="F69" s="235"/>
      <c r="G69" s="166"/>
      <c r="H69" s="235"/>
      <c r="I69" s="235"/>
      <c r="J69" s="23"/>
    </row>
    <row r="70" spans="1:10" ht="15.75" customHeight="1" x14ac:dyDescent="0.2">
      <c r="A70" s="296" t="s">
        <v>12</v>
      </c>
      <c r="B70" s="235"/>
      <c r="C70" s="235"/>
      <c r="D70" s="27"/>
      <c r="E70" s="235"/>
      <c r="F70" s="235"/>
      <c r="G70" s="166"/>
      <c r="H70" s="235"/>
      <c r="I70" s="235"/>
      <c r="J70" s="23"/>
    </row>
    <row r="71" spans="1:10" ht="15.75" customHeight="1" x14ac:dyDescent="0.2">
      <c r="A71" s="296" t="s">
        <v>13</v>
      </c>
      <c r="B71" s="235"/>
      <c r="C71" s="235"/>
      <c r="D71" s="27"/>
      <c r="E71" s="235"/>
      <c r="F71" s="235"/>
      <c r="G71" s="166"/>
      <c r="H71" s="235"/>
      <c r="I71" s="235"/>
      <c r="J71" s="23"/>
    </row>
    <row r="72" spans="1:10" ht="15.75" customHeight="1" x14ac:dyDescent="0.2">
      <c r="A72" s="296" t="s">
        <v>384</v>
      </c>
      <c r="B72" s="235"/>
      <c r="C72" s="235"/>
      <c r="D72" s="27"/>
      <c r="E72" s="235"/>
      <c r="F72" s="235"/>
      <c r="G72" s="166"/>
      <c r="H72" s="235"/>
      <c r="I72" s="235"/>
      <c r="J72" s="24"/>
    </row>
    <row r="73" spans="1:10" ht="15.75" customHeight="1" x14ac:dyDescent="0.2">
      <c r="A73" s="296" t="s">
        <v>12</v>
      </c>
      <c r="B73" s="235"/>
      <c r="C73" s="235"/>
      <c r="D73" s="27"/>
      <c r="E73" s="235"/>
      <c r="F73" s="235"/>
      <c r="G73" s="166"/>
      <c r="H73" s="235"/>
      <c r="I73" s="235"/>
      <c r="J73" s="23"/>
    </row>
    <row r="74" spans="1:10" s="3" customFormat="1" ht="15.75" customHeight="1" x14ac:dyDescent="0.2">
      <c r="A74" s="296" t="s">
        <v>13</v>
      </c>
      <c r="B74" s="235"/>
      <c r="C74" s="235"/>
      <c r="D74" s="27"/>
      <c r="E74" s="235"/>
      <c r="F74" s="235"/>
      <c r="G74" s="166"/>
      <c r="H74" s="235"/>
      <c r="I74" s="235"/>
      <c r="J74" s="23"/>
    </row>
    <row r="75" spans="1:10" s="3" customFormat="1" ht="15.75" customHeight="1" x14ac:dyDescent="0.2">
      <c r="A75" s="21" t="s">
        <v>353</v>
      </c>
      <c r="B75" s="44">
        <f>'Fremtind Livsforsikring'!B75+'Danica Pensjonsforsikring'!B75+'DNB Livsforsikring'!B75+'Eika Forsikring AS'!B75+'Frende Livsforsikring'!B75+'Frende Skadeforsikring'!B75+'Gjensidige Forsikring'!B75+'Gjensidige Pensjon'!B75+'Handelsbanken Liv'!B75+'If Skadeforsikring NUF'!B75+KLP!B75+'KLP Bedriftspensjon AS'!B75+'KLP Skadeforsikring AS'!B75+'Landkreditt Forsikring'!B75+Inrs!B75+'Nordea Liv '!B75+'Oslo Pensjonsforsikring'!B75+'Protector Forsikring'!B75+'SHB Liv'!B75+'Sparebank 1'!B75+'Storebrand Livsforsikring'!B75+'Telenor Forsikring'!B75+'Tryg Forsikring'!B75+'WaterCircles F'!B75</f>
        <v>114321.28322000001</v>
      </c>
      <c r="C75" s="44">
        <f>'Fremtind Livsforsikring'!C75+'Danica Pensjonsforsikring'!C75+'DNB Livsforsikring'!C75+'Eika Forsikring AS'!C75+'Frende Livsforsikring'!C75+'Frende Skadeforsikring'!C75+'Gjensidige Forsikring'!C75+'Gjensidige Pensjon'!C75+'Handelsbanken Liv'!C75+'If Skadeforsikring NUF'!C75+KLP!C75+'KLP Bedriftspensjon AS'!C75+'KLP Skadeforsikring AS'!C75+'Landkreditt Forsikring'!C75+Inrs!C75+'Nordea Liv '!C75+'Oslo Pensjonsforsikring'!C75+'Protector Forsikring'!C75+'SHB Liv'!C75+'Sparebank 1'!C75+'Storebrand Livsforsikring'!C75+'Telenor Forsikring'!C75+'Tryg Forsikring'!C75+'WaterCircles F'!C75</f>
        <v>129277.69422</v>
      </c>
      <c r="D75" s="23">
        <f t="shared" si="25"/>
        <v>13.1</v>
      </c>
      <c r="E75" s="44">
        <f>'Fremtind Livsforsikring'!F75+'Danica Pensjonsforsikring'!F75+'DNB Livsforsikring'!F75+'Eika Forsikring AS'!F75+'Frende Livsforsikring'!F75+'Frende Skadeforsikring'!F75+'Gjensidige Forsikring'!F75+'Gjensidige Pensjon'!F75+'Handelsbanken Liv'!F75+'If Skadeforsikring NUF'!F75+KLP!F75+'KLP Bedriftspensjon AS'!F75+'KLP Skadeforsikring AS'!F75+'Landkreditt Forsikring'!F75+Inrs!F75+'Nordea Liv '!F75+'Oslo Pensjonsforsikring'!F75+'Protector Forsikring'!F75+'SHB Liv'!F75+'Sparebank 1'!F75+'Storebrand Livsforsikring'!F75+'Telenor Forsikring'!F75+'Tryg Forsikring'!F75+'WaterCircles F'!F75</f>
        <v>102875.85788</v>
      </c>
      <c r="F75" s="44">
        <f>'Fremtind Livsforsikring'!G75+'Danica Pensjonsforsikring'!G75+'DNB Livsforsikring'!G75+'Eika Forsikring AS'!G75+'Frende Livsforsikring'!G75+'Frende Skadeforsikring'!G75+'Gjensidige Forsikring'!G75+'Gjensidige Pensjon'!G75+'Handelsbanken Liv'!G75+'If Skadeforsikring NUF'!G75+KLP!G75+'KLP Bedriftspensjon AS'!G75+'KLP Skadeforsikring AS'!G75+'Landkreditt Forsikring'!G75+Inrs!G75+'Nordea Liv '!G75+'Oslo Pensjonsforsikring'!G75+'Protector Forsikring'!G75+'SHB Liv'!G75+'Sparebank 1'!G75+'Storebrand Livsforsikring'!G75+'Telenor Forsikring'!G75+'Tryg Forsikring'!G75+'WaterCircles F'!G75</f>
        <v>336886.22657000006</v>
      </c>
      <c r="G75" s="23">
        <f t="shared" ref="G75:G79" si="30">IF(E75=0, "    ---- ", IF(ABS(ROUND(100/E75*F75-100,1))&lt;999,ROUND(100/E75*F75-100,1),IF(ROUND(100/E75*F75-100,1)&gt;999,999,-999)))</f>
        <v>227.5</v>
      </c>
      <c r="H75" s="237">
        <f t="shared" si="27"/>
        <v>217197.14110000001</v>
      </c>
      <c r="I75" s="237">
        <f t="shared" si="28"/>
        <v>466163.92079000006</v>
      </c>
      <c r="J75" s="23">
        <f t="shared" si="29"/>
        <v>114.6</v>
      </c>
    </row>
    <row r="76" spans="1:10" s="3" customFormat="1" ht="15.75" customHeight="1" x14ac:dyDescent="0.2">
      <c r="A76" s="21" t="s">
        <v>352</v>
      </c>
      <c r="B76" s="44">
        <f>'Fremtind Livsforsikring'!B76+'Danica Pensjonsforsikring'!B76+'DNB Livsforsikring'!B76+'Eika Forsikring AS'!B76+'Frende Livsforsikring'!B76+'Frende Skadeforsikring'!B76+'Gjensidige Forsikring'!B76+'Gjensidige Pensjon'!B76+'Handelsbanken Liv'!B76+'If Skadeforsikring NUF'!B76+KLP!B76+'KLP Bedriftspensjon AS'!B76+'KLP Skadeforsikring AS'!B76+'Landkreditt Forsikring'!B76+Inrs!B76+'Nordea Liv '!B76+'Oslo Pensjonsforsikring'!B76+'Protector Forsikring'!B76+'SHB Liv'!B76+'Sparebank 1'!B76+'Storebrand Livsforsikring'!B76+'Telenor Forsikring'!B76+'Tryg Forsikring'!B76+'WaterCircles F'!B76</f>
        <v>473845.49871999997</v>
      </c>
      <c r="C76" s="44">
        <f>'Fremtind Livsforsikring'!C76+'Danica Pensjonsforsikring'!C76+'DNB Livsforsikring'!C76+'Eika Forsikring AS'!C76+'Frende Livsforsikring'!C76+'Frende Skadeforsikring'!C76+'Gjensidige Forsikring'!C76+'Gjensidige Pensjon'!C76+'Handelsbanken Liv'!C76+'If Skadeforsikring NUF'!C76+KLP!C76+'KLP Bedriftspensjon AS'!C76+'KLP Skadeforsikring AS'!C76+'Landkreditt Forsikring'!C76+Inrs!C76+'Nordea Liv '!C76+'Oslo Pensjonsforsikring'!C76+'Protector Forsikring'!C76+'SHB Liv'!C76+'Sparebank 1'!C76+'Storebrand Livsforsikring'!C76+'Telenor Forsikring'!C76+'Tryg Forsikring'!C76+'WaterCircles F'!C76</f>
        <v>506328.70999999996</v>
      </c>
      <c r="D76" s="23">
        <f t="shared" ref="D76" si="31">IF(B76=0, "    ---- ", IF(ABS(ROUND(100/B76*C76-100,1))&lt;999,ROUND(100/B76*C76-100,1),IF(ROUND(100/B76*C76-100,1)&gt;999,999,-999)))</f>
        <v>6.9</v>
      </c>
      <c r="E76" s="44">
        <f>'Fremtind Livsforsikring'!F76+'Danica Pensjonsforsikring'!F76+'DNB Livsforsikring'!F76+'Eika Forsikring AS'!F76+'Frende Livsforsikring'!F76+'Frende Skadeforsikring'!F76+'Gjensidige Forsikring'!F76+'Gjensidige Pensjon'!F76+'Handelsbanken Liv'!F76+'If Skadeforsikring NUF'!F76+KLP!F76+'KLP Bedriftspensjon AS'!F76+'KLP Skadeforsikring AS'!F76+'Landkreditt Forsikring'!F76+Inrs!F76+'Nordea Liv '!F76+'Oslo Pensjonsforsikring'!F76+'Protector Forsikring'!F76+'SHB Liv'!F76+'Sparebank 1'!F76+'Storebrand Livsforsikring'!F76+'Telenor Forsikring'!F76+'Tryg Forsikring'!F76+'WaterCircles F'!F76</f>
        <v>0</v>
      </c>
      <c r="F76" s="44">
        <f>'Fremtind Livsforsikring'!G76+'Danica Pensjonsforsikring'!G76+'DNB Livsforsikring'!G76+'Eika Forsikring AS'!G76+'Frende Livsforsikring'!G76+'Frende Skadeforsikring'!G76+'Gjensidige Forsikring'!G76+'Gjensidige Pensjon'!G76+'Handelsbanken Liv'!G76+'If Skadeforsikring NUF'!G76+KLP!G76+'KLP Bedriftspensjon AS'!G76+'KLP Skadeforsikring AS'!G76+'Landkreditt Forsikring'!G76+Inrs!G76+'Nordea Liv '!G76+'Oslo Pensjonsforsikring'!G76+'Protector Forsikring'!G76+'SHB Liv'!G76+'Sparebank 1'!G76+'Storebrand Livsforsikring'!G76+'Telenor Forsikring'!G76+'Tryg Forsikring'!G76+'WaterCircles F'!G76</f>
        <v>0</v>
      </c>
      <c r="G76" s="23"/>
      <c r="H76" s="237">
        <f t="shared" ref="H76" si="32">SUM(B76,E76)</f>
        <v>473845.49871999997</v>
      </c>
      <c r="I76" s="237">
        <f t="shared" ref="I76" si="33">SUM(C76,F76)</f>
        <v>506328.70999999996</v>
      </c>
      <c r="J76" s="23">
        <f t="shared" ref="J76" si="34">IF(H76=0, "    ---- ", IF(ABS(ROUND(100/H76*I76-100,1))&lt;999,ROUND(100/H76*I76-100,1),IF(ROUND(100/H76*I76-100,1)&gt;999,999,-999)))</f>
        <v>6.9</v>
      </c>
    </row>
    <row r="77" spans="1:10" ht="15.75" customHeight="1" x14ac:dyDescent="0.2">
      <c r="A77" s="21" t="s">
        <v>385</v>
      </c>
      <c r="B77" s="44">
        <f>'Fremtind Livsforsikring'!B77+'Danica Pensjonsforsikring'!B77+'DNB Livsforsikring'!B77+'Eika Forsikring AS'!B77+'Frende Livsforsikring'!B77+'Frende Skadeforsikring'!B77+'Gjensidige Forsikring'!B77+'Gjensidige Pensjon'!B77+'Handelsbanken Liv'!B77+'If Skadeforsikring NUF'!B77+KLP!B77+'KLP Bedriftspensjon AS'!B77+'KLP Skadeforsikring AS'!B77+'Landkreditt Forsikring'!B77+Inrs!B77+'Nordea Liv '!B77+'Oslo Pensjonsforsikring'!B77+'Protector Forsikring'!B77+'SHB Liv'!B77+'Sparebank 1'!B77+'Storebrand Livsforsikring'!B77+'Telenor Forsikring'!B77+'Tryg Forsikring'!B77+'WaterCircles F'!B77</f>
        <v>2825163.7618800001</v>
      </c>
      <c r="C77" s="234">
        <f>'Fremtind Livsforsikring'!C77+'Danica Pensjonsforsikring'!C77+'DNB Livsforsikring'!C77+'Eika Forsikring AS'!C77+'Frende Livsforsikring'!C77+'Frende Skadeforsikring'!C77+'Gjensidige Forsikring'!C77+'Gjensidige Pensjon'!C77+'Handelsbanken Liv'!C77+'If Skadeforsikring NUF'!C77+KLP!C77+'KLP Bedriftspensjon AS'!C77+'KLP Skadeforsikring AS'!C77+'Landkreditt Forsikring'!C77+Inrs!C77+'Nordea Liv '!C77+'Oslo Pensjonsforsikring'!C77+'Protector Forsikring'!C77+'SHB Liv'!C77+'Sparebank 1'!C77+'Storebrand Livsforsikring'!C77+'Telenor Forsikring'!C77+'Tryg Forsikring'!C77+'WaterCircles F'!C77</f>
        <v>2740712.8656899999</v>
      </c>
      <c r="D77" s="23">
        <f t="shared" si="25"/>
        <v>-3</v>
      </c>
      <c r="E77" s="44">
        <f>'Fremtind Livsforsikring'!F77+'Danica Pensjonsforsikring'!F77+'DNB Livsforsikring'!F77+'Eika Forsikring AS'!F77+'Frende Livsforsikring'!F77+'Frende Skadeforsikring'!F77+'Gjensidige Forsikring'!F77+'Gjensidige Pensjon'!F77+'Handelsbanken Liv'!F77+'If Skadeforsikring NUF'!F77+KLP!F77+'KLP Bedriftspensjon AS'!F77+'KLP Skadeforsikring AS'!F77+'Landkreditt Forsikring'!F77+Inrs!F77+'Nordea Liv '!F77+'Oslo Pensjonsforsikring'!F77+'Protector Forsikring'!F77+'SHB Liv'!F77+'Sparebank 1'!F77+'Storebrand Livsforsikring'!F77+'Telenor Forsikring'!F77+'Tryg Forsikring'!F77+'WaterCircles F'!F77</f>
        <v>7780455.4108000007</v>
      </c>
      <c r="F77" s="44">
        <f>'Fremtind Livsforsikring'!G77+'Danica Pensjonsforsikring'!G77+'DNB Livsforsikring'!G77+'Eika Forsikring AS'!G77+'Frende Livsforsikring'!G77+'Frende Skadeforsikring'!G77+'Gjensidige Forsikring'!G77+'Gjensidige Pensjon'!G77+'Handelsbanken Liv'!G77+'If Skadeforsikring NUF'!G77+KLP!G77+'KLP Bedriftspensjon AS'!G77+'KLP Skadeforsikring AS'!G77+'Landkreditt Forsikring'!G77+Inrs!G77+'Nordea Liv '!G77+'Oslo Pensjonsforsikring'!G77+'Protector Forsikring'!G77+'SHB Liv'!G77+'Sparebank 1'!G77+'Storebrand Livsforsikring'!G77+'Telenor Forsikring'!G77+'Tryg Forsikring'!G77+'WaterCircles F'!G77</f>
        <v>8451095.6853500009</v>
      </c>
      <c r="G77" s="23">
        <f t="shared" si="30"/>
        <v>8.6</v>
      </c>
      <c r="H77" s="237">
        <f t="shared" si="27"/>
        <v>10605619.172680002</v>
      </c>
      <c r="I77" s="237">
        <f t="shared" si="28"/>
        <v>11191808.551040001</v>
      </c>
      <c r="J77" s="23">
        <f t="shared" si="29"/>
        <v>5.5</v>
      </c>
    </row>
    <row r="78" spans="1:10" ht="15.75" customHeight="1" x14ac:dyDescent="0.2">
      <c r="A78" s="21" t="s">
        <v>9</v>
      </c>
      <c r="B78" s="44">
        <f>'Fremtind Livsforsikring'!B78+'Danica Pensjonsforsikring'!B78+'DNB Livsforsikring'!B78+'Eika Forsikring AS'!B78+'Frende Livsforsikring'!B78+'Frende Skadeforsikring'!B78+'Gjensidige Forsikring'!B78+'Gjensidige Pensjon'!B78+'Handelsbanken Liv'!B78+'If Skadeforsikring NUF'!B78+KLP!B78+'KLP Bedriftspensjon AS'!B78+'KLP Skadeforsikring AS'!B78+'Landkreditt Forsikring'!B78+Inrs!B78+'Nordea Liv '!B78+'Oslo Pensjonsforsikring'!B78+'Protector Forsikring'!B78+'SHB Liv'!B78+'Sparebank 1'!B78+'Storebrand Livsforsikring'!B78+'Telenor Forsikring'!B78+'Tryg Forsikring'!B78+'WaterCircles F'!B78</f>
        <v>2729430.5833399999</v>
      </c>
      <c r="C78" s="234">
        <f>'Fremtind Livsforsikring'!C78+'Danica Pensjonsforsikring'!C78+'DNB Livsforsikring'!C78+'Eika Forsikring AS'!C78+'Frende Livsforsikring'!C78+'Frende Skadeforsikring'!C78+'Gjensidige Forsikring'!C78+'Gjensidige Pensjon'!C78+'Handelsbanken Liv'!C78+'If Skadeforsikring NUF'!C78+KLP!C78+'KLP Bedriftspensjon AS'!C78+'KLP Skadeforsikring AS'!C78+'Landkreditt Forsikring'!C78+Inrs!C78+'Nordea Liv '!C78+'Oslo Pensjonsforsikring'!C78+'Protector Forsikring'!C78+'SHB Liv'!C78+'Sparebank 1'!C78+'Storebrand Livsforsikring'!C78+'Telenor Forsikring'!C78+'Tryg Forsikring'!C78+'WaterCircles F'!C78</f>
        <v>2647603.24798</v>
      </c>
      <c r="D78" s="23">
        <f t="shared" si="25"/>
        <v>-3</v>
      </c>
      <c r="E78" s="44">
        <f>'Fremtind Livsforsikring'!F78+'Danica Pensjonsforsikring'!F78+'DNB Livsforsikring'!F78+'Eika Forsikring AS'!F78+'Frende Livsforsikring'!F78+'Frende Skadeforsikring'!F78+'Gjensidige Forsikring'!F78+'Gjensidige Pensjon'!F78+'Handelsbanken Liv'!F78+'If Skadeforsikring NUF'!F78+KLP!F78+'KLP Bedriftspensjon AS'!F78+'KLP Skadeforsikring AS'!F78+'Landkreditt Forsikring'!F78+Inrs!F78+'Nordea Liv '!F78+'Oslo Pensjonsforsikring'!F78+'Protector Forsikring'!F78+'SHB Liv'!F78+'Sparebank 1'!F78+'Storebrand Livsforsikring'!F78+'Telenor Forsikring'!F78+'Tryg Forsikring'!F78+'WaterCircles F'!F78</f>
        <v>0</v>
      </c>
      <c r="F78" s="44">
        <f>'Fremtind Livsforsikring'!G78+'Danica Pensjonsforsikring'!G78+'DNB Livsforsikring'!G78+'Eika Forsikring AS'!G78+'Frende Livsforsikring'!G78+'Frende Skadeforsikring'!G78+'Gjensidige Forsikring'!G78+'Gjensidige Pensjon'!G78+'Handelsbanken Liv'!G78+'If Skadeforsikring NUF'!G78+KLP!G78+'KLP Bedriftspensjon AS'!G78+'KLP Skadeforsikring AS'!G78+'Landkreditt Forsikring'!G78+Inrs!G78+'Nordea Liv '!G78+'Oslo Pensjonsforsikring'!G78+'Protector Forsikring'!G78+'SHB Liv'!G78+'Sparebank 1'!G78+'Storebrand Livsforsikring'!G78+'Telenor Forsikring'!G78+'Tryg Forsikring'!G78+'WaterCircles F'!G78</f>
        <v>0</v>
      </c>
      <c r="G78" s="23"/>
      <c r="H78" s="237">
        <f t="shared" si="27"/>
        <v>2729430.5833399999</v>
      </c>
      <c r="I78" s="237">
        <f t="shared" si="28"/>
        <v>2647603.24798</v>
      </c>
      <c r="J78" s="23">
        <f t="shared" si="29"/>
        <v>-3</v>
      </c>
    </row>
    <row r="79" spans="1:10" ht="15.75" customHeight="1" x14ac:dyDescent="0.2">
      <c r="A79" s="21" t="s">
        <v>10</v>
      </c>
      <c r="B79" s="44">
        <f>'Fremtind Livsforsikring'!B79+'Danica Pensjonsforsikring'!B79+'DNB Livsforsikring'!B79+'Eika Forsikring AS'!B79+'Frende Livsforsikring'!B79+'Frende Skadeforsikring'!B79+'Gjensidige Forsikring'!B79+'Gjensidige Pensjon'!B79+'Handelsbanken Liv'!B79+'If Skadeforsikring NUF'!B79+KLP!B79+'KLP Bedriftspensjon AS'!B79+'KLP Skadeforsikring AS'!B79+'Landkreditt Forsikring'!B79+Inrs!B79+'Nordea Liv '!B79+'Oslo Pensjonsforsikring'!B79+'Protector Forsikring'!B79+'SHB Liv'!B79+'Sparebank 1'!B79+'Storebrand Livsforsikring'!B79+'Telenor Forsikring'!B79+'Tryg Forsikring'!B79+'WaterCircles F'!B79</f>
        <v>95733.178539999994</v>
      </c>
      <c r="C79" s="145">
        <f>'Fremtind Livsforsikring'!C79+'Danica Pensjonsforsikring'!C79+'DNB Livsforsikring'!C79+'Eika Forsikring AS'!C79+'Frende Livsforsikring'!C79+'Frende Skadeforsikring'!C79+'Gjensidige Forsikring'!C79+'Gjensidige Pensjon'!C79+'Handelsbanken Liv'!C79+'If Skadeforsikring NUF'!C79+KLP!C79+'KLP Bedriftspensjon AS'!C79+'KLP Skadeforsikring AS'!C79+'Landkreditt Forsikring'!C79+Inrs!C79+'Nordea Liv '!C79+'Oslo Pensjonsforsikring'!C79+'Protector Forsikring'!C79+'SHB Liv'!C79+'Sparebank 1'!C79+'Storebrand Livsforsikring'!C79+'Telenor Forsikring'!C79+'Tryg Forsikring'!C79+'WaterCircles F'!C79</f>
        <v>93109.617710000006</v>
      </c>
      <c r="D79" s="23">
        <f t="shared" si="25"/>
        <v>-2.7</v>
      </c>
      <c r="E79" s="44">
        <f>'Fremtind Livsforsikring'!F79+'Danica Pensjonsforsikring'!F79+'DNB Livsforsikring'!F79+'Eika Forsikring AS'!F79+'Frende Livsforsikring'!F79+'Frende Skadeforsikring'!F79+'Gjensidige Forsikring'!F79+'Gjensidige Pensjon'!F79+'Handelsbanken Liv'!F79+'If Skadeforsikring NUF'!F79+KLP!F79+'KLP Bedriftspensjon AS'!F79+'KLP Skadeforsikring AS'!F79+'Landkreditt Forsikring'!F79+Inrs!F79+'Nordea Liv '!F79+'Oslo Pensjonsforsikring'!F79+'Protector Forsikring'!F79+'SHB Liv'!F79+'Sparebank 1'!F79+'Storebrand Livsforsikring'!F79+'Telenor Forsikring'!F79+'Tryg Forsikring'!F79+'WaterCircles F'!F79</f>
        <v>7780455.4108000007</v>
      </c>
      <c r="F79" s="44">
        <f>'Fremtind Livsforsikring'!G79+'Danica Pensjonsforsikring'!G79+'DNB Livsforsikring'!G79+'Eika Forsikring AS'!G79+'Frende Livsforsikring'!G79+'Frende Skadeforsikring'!G79+'Gjensidige Forsikring'!G79+'Gjensidige Pensjon'!G79+'Handelsbanken Liv'!G79+'If Skadeforsikring NUF'!G79+KLP!G79+'KLP Bedriftspensjon AS'!G79+'KLP Skadeforsikring AS'!G79+'Landkreditt Forsikring'!G79+Inrs!G79+'Nordea Liv '!G79+'Oslo Pensjonsforsikring'!G79+'Protector Forsikring'!G79+'SHB Liv'!G79+'Sparebank 1'!G79+'Storebrand Livsforsikring'!G79+'Telenor Forsikring'!G79+'Tryg Forsikring'!G79+'WaterCircles F'!G79</f>
        <v>8451095.6853500009</v>
      </c>
      <c r="G79" s="23">
        <f t="shared" si="30"/>
        <v>8.6</v>
      </c>
      <c r="H79" s="237">
        <f t="shared" si="27"/>
        <v>7876188.5893400004</v>
      </c>
      <c r="I79" s="237">
        <f t="shared" si="28"/>
        <v>8544205.3030600008</v>
      </c>
      <c r="J79" s="23">
        <f t="shared" si="29"/>
        <v>8.5</v>
      </c>
    </row>
    <row r="80" spans="1:10" ht="15.75" customHeight="1" x14ac:dyDescent="0.2">
      <c r="A80" s="296" t="s">
        <v>383</v>
      </c>
      <c r="B80" s="235"/>
      <c r="C80" s="235"/>
      <c r="D80" s="27"/>
      <c r="E80" s="235"/>
      <c r="F80" s="235"/>
      <c r="G80" s="166"/>
      <c r="H80" s="235"/>
      <c r="I80" s="235"/>
      <c r="J80" s="23"/>
    </row>
    <row r="81" spans="1:11" ht="15.75" customHeight="1" x14ac:dyDescent="0.2">
      <c r="A81" s="296" t="s">
        <v>12</v>
      </c>
      <c r="B81" s="235"/>
      <c r="C81" s="235"/>
      <c r="D81" s="27"/>
      <c r="E81" s="235"/>
      <c r="F81" s="235"/>
      <c r="G81" s="166"/>
      <c r="H81" s="235"/>
      <c r="I81" s="235"/>
      <c r="J81" s="23"/>
    </row>
    <row r="82" spans="1:11" ht="15.75" customHeight="1" x14ac:dyDescent="0.2">
      <c r="A82" s="296" t="s">
        <v>13</v>
      </c>
      <c r="B82" s="235"/>
      <c r="C82" s="235"/>
      <c r="D82" s="27"/>
      <c r="E82" s="235"/>
      <c r="F82" s="235"/>
      <c r="G82" s="166"/>
      <c r="H82" s="235"/>
      <c r="I82" s="235"/>
      <c r="J82" s="23"/>
    </row>
    <row r="83" spans="1:11" ht="15.75" customHeight="1" x14ac:dyDescent="0.2">
      <c r="A83" s="296" t="s">
        <v>384</v>
      </c>
      <c r="B83" s="235"/>
      <c r="C83" s="235"/>
      <c r="D83" s="27"/>
      <c r="E83" s="235"/>
      <c r="F83" s="235"/>
      <c r="G83" s="166"/>
      <c r="H83" s="235"/>
      <c r="I83" s="235"/>
      <c r="J83" s="24"/>
    </row>
    <row r="84" spans="1:11" ht="15.75" customHeight="1" x14ac:dyDescent="0.2">
      <c r="A84" s="296" t="s">
        <v>12</v>
      </c>
      <c r="B84" s="235"/>
      <c r="C84" s="235"/>
      <c r="D84" s="27"/>
      <c r="E84" s="235"/>
      <c r="F84" s="235"/>
      <c r="G84" s="166"/>
      <c r="H84" s="235"/>
      <c r="I84" s="235"/>
      <c r="J84" s="23"/>
    </row>
    <row r="85" spans="1:11" ht="15.75" customHeight="1" x14ac:dyDescent="0.2">
      <c r="A85" s="296" t="s">
        <v>13</v>
      </c>
      <c r="B85" s="235"/>
      <c r="C85" s="235"/>
      <c r="D85" s="27"/>
      <c r="E85" s="235"/>
      <c r="F85" s="235"/>
      <c r="G85" s="166"/>
      <c r="H85" s="235"/>
      <c r="I85" s="235"/>
      <c r="J85" s="23"/>
    </row>
    <row r="86" spans="1:11" ht="15.75" customHeight="1" x14ac:dyDescent="0.2">
      <c r="A86" s="21" t="s">
        <v>386</v>
      </c>
      <c r="B86" s="234">
        <f>'Fremtind Livsforsikring'!B86+'Danica Pensjonsforsikring'!B86+'DNB Livsforsikring'!B86+'Eika Forsikring AS'!B86+'Frende Livsforsikring'!B86+'Frende Skadeforsikring'!B86+'Gjensidige Forsikring'!B86+'Gjensidige Pensjon'!B86+'Handelsbanken Liv'!B86+'If Skadeforsikring NUF'!B86+KLP!B86+'KLP Bedriftspensjon AS'!B86+'KLP Skadeforsikring AS'!B86+'Landkreditt Forsikring'!B86+Inrs!B86+'Nordea Liv '!B86+'Oslo Pensjonsforsikring'!B86+'Protector Forsikring'!B86+'SHB Liv'!B86+'Sparebank 1'!B86+'Storebrand Livsforsikring'!B86+'Telenor Forsikring'!B86+'Tryg Forsikring'!B86+'WaterCircles F'!B86</f>
        <v>99765.27900000001</v>
      </c>
      <c r="C86" s="234">
        <f>'Fremtind Livsforsikring'!C86+'Danica Pensjonsforsikring'!C86+'DNB Livsforsikring'!C86+'Eika Forsikring AS'!C86+'Frende Livsforsikring'!C86+'Frende Skadeforsikring'!C86+'Gjensidige Forsikring'!C86+'Gjensidige Pensjon'!C86+'Handelsbanken Liv'!C86+'If Skadeforsikring NUF'!C86+KLP!C86+'KLP Bedriftspensjon AS'!C86+'KLP Skadeforsikring AS'!C86+'Landkreditt Forsikring'!C86+Inrs!C86+'Nordea Liv '!C86+'Oslo Pensjonsforsikring'!C86+'Protector Forsikring'!C86+'SHB Liv'!C86+'Sparebank 1'!C86+'Storebrand Livsforsikring'!C86+'Telenor Forsikring'!C86+'Tryg Forsikring'!C86+'WaterCircles F'!C86</f>
        <v>110054.788</v>
      </c>
      <c r="D86" s="23">
        <f t="shared" si="25"/>
        <v>10.3</v>
      </c>
      <c r="E86" s="44">
        <f>'Fremtind Livsforsikring'!F86+'Danica Pensjonsforsikring'!F86+'DNB Livsforsikring'!F86+'Eika Forsikring AS'!F86+'Frende Livsforsikring'!F86+'Frende Skadeforsikring'!F86+'Gjensidige Forsikring'!F86+'Gjensidige Pensjon'!F86+'Handelsbanken Liv'!F86+'If Skadeforsikring NUF'!F86+KLP!F86+'KLP Bedriftspensjon AS'!F86+'KLP Skadeforsikring AS'!F86+'Landkreditt Forsikring'!F86+Inrs!F86+'Nordea Liv '!F86+'Oslo Pensjonsforsikring'!F86+'Protector Forsikring'!F86+'SHB Liv'!F86+'Sparebank 1'!F86+'Storebrand Livsforsikring'!F86+'Telenor Forsikring'!F86+'Tryg Forsikring'!F86+'WaterCircles F'!F86</f>
        <v>3478.7929600000002</v>
      </c>
      <c r="F86" s="44">
        <f>'Fremtind Livsforsikring'!G86+'Danica Pensjonsforsikring'!G86+'DNB Livsforsikring'!G86+'Eika Forsikring AS'!G86+'Frende Livsforsikring'!G86+'Frende Skadeforsikring'!G86+'Gjensidige Forsikring'!G86+'Gjensidige Pensjon'!G86+'Handelsbanken Liv'!G86+'If Skadeforsikring NUF'!G86+KLP!G86+'KLP Bedriftspensjon AS'!G86+'KLP Skadeforsikring AS'!G86+'Landkreditt Forsikring'!G86+Inrs!G86+'Nordea Liv '!G86+'Oslo Pensjonsforsikring'!G86+'Protector Forsikring'!G86+'SHB Liv'!G86+'Sparebank 1'!G86+'Storebrand Livsforsikring'!G86+'Telenor Forsikring'!G86+'Tryg Forsikring'!G86+'WaterCircles F'!G86</f>
        <v>5035.8979799999997</v>
      </c>
      <c r="G86" s="23">
        <f t="shared" ref="G86:G89" si="35">IF(E86=0, "    ---- ", IF(ABS(ROUND(100/E86*F86-100,1))&lt;999,ROUND(100/E86*F86-100,1),IF(ROUND(100/E86*F86-100,1)&gt;999,999,-999)))</f>
        <v>44.8</v>
      </c>
      <c r="H86" s="237">
        <f t="shared" si="27"/>
        <v>103244.07196000002</v>
      </c>
      <c r="I86" s="237">
        <f t="shared" si="28"/>
        <v>115090.68597999999</v>
      </c>
      <c r="J86" s="23">
        <f t="shared" si="29"/>
        <v>11.5</v>
      </c>
    </row>
    <row r="87" spans="1:11" s="43" customFormat="1" ht="15.75" customHeight="1" x14ac:dyDescent="0.2">
      <c r="A87" s="13" t="s">
        <v>368</v>
      </c>
      <c r="B87" s="308">
        <f>'Fremtind Livsforsikring'!B87+'Danica Pensjonsforsikring'!B87+'DNB Livsforsikring'!B87+'Eika Forsikring AS'!B87+'Frende Livsforsikring'!B87+'Frende Skadeforsikring'!B87+'Gjensidige Forsikring'!B87+'Gjensidige Pensjon'!B87+'Handelsbanken Liv'!B87+'If Skadeforsikring NUF'!B87+KLP!B87+'KLP Bedriftspensjon AS'!B87+'KLP Skadeforsikring AS'!B87+'Landkreditt Forsikring'!B87+Inrs!B87+'Nordea Liv '!B87+'Oslo Pensjonsforsikring'!B87+'Protector Forsikring'!B87+'SHB Liv'!B87+'Sparebank 1'!B87+'Storebrand Livsforsikring'!B87+'Telenor Forsikring'!B87+'Tryg Forsikring'!B87+'WaterCircles F'!B87</f>
        <v>388485133.7042675</v>
      </c>
      <c r="C87" s="308">
        <f>'Fremtind Livsforsikring'!C87+'Danica Pensjonsforsikring'!C87+'DNB Livsforsikring'!C87+'Eika Forsikring AS'!C87+'Frende Livsforsikring'!C87+'Frende Skadeforsikring'!C87+'Gjensidige Forsikring'!C87+'Gjensidige Pensjon'!C87+'Handelsbanken Liv'!C87+'If Skadeforsikring NUF'!C87+KLP!C87+'KLP Bedriftspensjon AS'!C87+'KLP Skadeforsikring AS'!C87+'Landkreditt Forsikring'!C87+Inrs!C87+'Nordea Liv '!C87+'Oslo Pensjonsforsikring'!C87+'Protector Forsikring'!C87+'SHB Liv'!C87+'Sparebank 1'!C87+'Storebrand Livsforsikring'!C87+'Telenor Forsikring'!C87+'Tryg Forsikring'!C87+'WaterCircles F'!C87</f>
        <v>392654284.49770975</v>
      </c>
      <c r="D87" s="24">
        <f t="shared" si="25"/>
        <v>1.1000000000000001</v>
      </c>
      <c r="E87" s="236">
        <f>'Fremtind Livsforsikring'!F87+'Danica Pensjonsforsikring'!F87+'DNB Livsforsikring'!F87+'Eika Forsikring AS'!F87+'Frende Livsforsikring'!F87+'Frende Skadeforsikring'!F87+'Gjensidige Forsikring'!F87+'Gjensidige Pensjon'!F87+'Handelsbanken Liv'!F87+'If Skadeforsikring NUF'!F87+KLP!F87+'KLP Bedriftspensjon AS'!F87+'KLP Skadeforsikring AS'!F87+'Landkreditt Forsikring'!F87+Inrs!F87+'Nordea Liv '!F87+'Oslo Pensjonsforsikring'!F87+'Protector Forsikring'!F87+'SHB Liv'!F87+'Sparebank 1'!F87+'Storebrand Livsforsikring'!F87+'Telenor Forsikring'!F87+'Tryg Forsikring'!F87+'WaterCircles F'!F87</f>
        <v>270631435.74916047</v>
      </c>
      <c r="F87" s="236">
        <f>'Fremtind Livsforsikring'!G87+'Danica Pensjonsforsikring'!G87+'DNB Livsforsikring'!G87+'Eika Forsikring AS'!G87+'Frende Livsforsikring'!G87+'Frende Skadeforsikring'!G87+'Gjensidige Forsikring'!G87+'Gjensidige Pensjon'!G87+'Handelsbanken Liv'!G87+'If Skadeforsikring NUF'!G87+KLP!G87+'KLP Bedriftspensjon AS'!G87+'KLP Skadeforsikring AS'!G87+'Landkreditt Forsikring'!G87+Inrs!G87+'Nordea Liv '!G87+'Oslo Pensjonsforsikring'!G87+'Protector Forsikring'!G87+'SHB Liv'!G87+'Sparebank 1'!G87+'Storebrand Livsforsikring'!G87+'Telenor Forsikring'!G87+'Tryg Forsikring'!G87+'WaterCircles F'!G87</f>
        <v>280259031.39462996</v>
      </c>
      <c r="G87" s="23">
        <f t="shared" si="35"/>
        <v>3.6</v>
      </c>
      <c r="H87" s="329">
        <f t="shared" ref="H87:H111" si="36">SUM(B87,E87)</f>
        <v>659116569.45342803</v>
      </c>
      <c r="I87" s="329">
        <f t="shared" ref="I87:I111" si="37">SUM(C87,F87)</f>
        <v>672913315.89233971</v>
      </c>
      <c r="J87" s="24">
        <f t="shared" si="29"/>
        <v>2.1</v>
      </c>
    </row>
    <row r="88" spans="1:11" ht="15.75" customHeight="1" x14ac:dyDescent="0.2">
      <c r="A88" s="21" t="s">
        <v>9</v>
      </c>
      <c r="B88" s="234">
        <f>'Fremtind Livsforsikring'!B88+'Danica Pensjonsforsikring'!B88+'DNB Livsforsikring'!B88+'Eika Forsikring AS'!B88+'Frende Livsforsikring'!B88+'Frende Skadeforsikring'!B88+'Gjensidige Forsikring'!B88+'Gjensidige Pensjon'!B88+'Handelsbanken Liv'!B88+'If Skadeforsikring NUF'!B88+KLP!B88+'KLP Bedriftspensjon AS'!B88+'KLP Skadeforsikring AS'!B88+'Landkreditt Forsikring'!B88+Inrs!B88+'Nordea Liv '!B88+'Oslo Pensjonsforsikring'!B88+'Protector Forsikring'!B88+'SHB Liv'!B88+'Sparebank 1'!B88+'Storebrand Livsforsikring'!B88+'Telenor Forsikring'!B88+'Tryg Forsikring'!B88+'WaterCircles F'!B88</f>
        <v>379856774.41902757</v>
      </c>
      <c r="C88" s="234">
        <f>'Fremtind Livsforsikring'!C88+'Danica Pensjonsforsikring'!C88+'DNB Livsforsikring'!C88+'Eika Forsikring AS'!C88+'Frende Livsforsikring'!C88+'Frende Skadeforsikring'!C88+'Gjensidige Forsikring'!C88+'Gjensidige Pensjon'!C88+'Handelsbanken Liv'!C88+'If Skadeforsikring NUF'!C88+KLP!C88+'KLP Bedriftspensjon AS'!C88+'KLP Skadeforsikring AS'!C88+'Landkreditt Forsikring'!C88+Inrs!C88+'Nordea Liv '!C88+'Oslo Pensjonsforsikring'!C88+'Protector Forsikring'!C88+'SHB Liv'!C88+'Sparebank 1'!C88+'Storebrand Livsforsikring'!C88+'Telenor Forsikring'!C88+'Tryg Forsikring'!C88+'WaterCircles F'!C88</f>
        <v>381785208.86112708</v>
      </c>
      <c r="D88" s="23">
        <f t="shared" si="25"/>
        <v>0.5</v>
      </c>
      <c r="E88" s="44">
        <f>'Fremtind Livsforsikring'!F88+'Danica Pensjonsforsikring'!F88+'DNB Livsforsikring'!F88+'Eika Forsikring AS'!F88+'Frende Livsforsikring'!F88+'Frende Skadeforsikring'!F88+'Gjensidige Forsikring'!F88+'Gjensidige Pensjon'!F88+'Handelsbanken Liv'!F88+'If Skadeforsikring NUF'!F88+KLP!F88+'KLP Bedriftspensjon AS'!F88+'KLP Skadeforsikring AS'!F88+'Landkreditt Forsikring'!F88+Inrs!F88+'Nordea Liv '!F88+'Oslo Pensjonsforsikring'!F88+'Protector Forsikring'!F88+'SHB Liv'!F88+'Sparebank 1'!F88+'Storebrand Livsforsikring'!F88+'Telenor Forsikring'!F88+'Tryg Forsikring'!F88+'WaterCircles F'!F88</f>
        <v>0</v>
      </c>
      <c r="F88" s="44">
        <f>'Fremtind Livsforsikring'!G88+'Danica Pensjonsforsikring'!G88+'DNB Livsforsikring'!G88+'Eika Forsikring AS'!G88+'Frende Livsforsikring'!G88+'Frende Skadeforsikring'!G88+'Gjensidige Forsikring'!G88+'Gjensidige Pensjon'!G88+'Handelsbanken Liv'!G88+'If Skadeforsikring NUF'!G88+KLP!G88+'KLP Bedriftspensjon AS'!G88+'KLP Skadeforsikring AS'!G88+'Landkreditt Forsikring'!G88+Inrs!G88+'Nordea Liv '!G88+'Oslo Pensjonsforsikring'!G88+'Protector Forsikring'!G88+'SHB Liv'!G88+'Sparebank 1'!G88+'Storebrand Livsforsikring'!G88+'Telenor Forsikring'!G88+'Tryg Forsikring'!G88+'WaterCircles F'!G88</f>
        <v>0</v>
      </c>
      <c r="G88" s="23"/>
      <c r="H88" s="237">
        <f t="shared" si="36"/>
        <v>379856774.41902757</v>
      </c>
      <c r="I88" s="237">
        <f t="shared" si="37"/>
        <v>381785208.86112708</v>
      </c>
      <c r="J88" s="23">
        <f t="shared" si="29"/>
        <v>0.5</v>
      </c>
      <c r="K88" s="149"/>
    </row>
    <row r="89" spans="1:11" ht="15.75" customHeight="1" x14ac:dyDescent="0.2">
      <c r="A89" s="21" t="s">
        <v>10</v>
      </c>
      <c r="B89" s="234">
        <f>'Fremtind Livsforsikring'!B89+'Danica Pensjonsforsikring'!B89+'DNB Livsforsikring'!B89+'Eika Forsikring AS'!B89+'Frende Livsforsikring'!B89+'Frende Skadeforsikring'!B89+'Gjensidige Forsikring'!B89+'Gjensidige Pensjon'!B89+'Handelsbanken Liv'!B89+'If Skadeforsikring NUF'!B89+KLP!B89+'KLP Bedriftspensjon AS'!B89+'KLP Skadeforsikring AS'!B89+'Landkreditt Forsikring'!B89+Inrs!B89+'Nordea Liv '!B89+'Oslo Pensjonsforsikring'!B89+'Protector Forsikring'!B89+'SHB Liv'!B89+'Sparebank 1'!B89+'Storebrand Livsforsikring'!B89+'Telenor Forsikring'!B89+'Tryg Forsikring'!B89+'WaterCircles F'!B89</f>
        <v>2791553.3224900002</v>
      </c>
      <c r="C89" s="234">
        <f>'Fremtind Livsforsikring'!C89+'Danica Pensjonsforsikring'!C89+'DNB Livsforsikring'!C89+'Eika Forsikring AS'!C89+'Frende Livsforsikring'!C89+'Frende Skadeforsikring'!C89+'Gjensidige Forsikring'!C89+'Gjensidige Pensjon'!C89+'Handelsbanken Liv'!C89+'If Skadeforsikring NUF'!C89+KLP!C89+'KLP Bedriftspensjon AS'!C89+'KLP Skadeforsikring AS'!C89+'Landkreditt Forsikring'!C89+Inrs!C89+'Nordea Liv '!C89+'Oslo Pensjonsforsikring'!C89+'Protector Forsikring'!C89+'SHB Liv'!C89+'Sparebank 1'!C89+'Storebrand Livsforsikring'!C89+'Telenor Forsikring'!C89+'Tryg Forsikring'!C89+'WaterCircles F'!C89</f>
        <v>3100365.2542926096</v>
      </c>
      <c r="D89" s="23">
        <f t="shared" si="25"/>
        <v>11.1</v>
      </c>
      <c r="E89" s="44">
        <f>'Fremtind Livsforsikring'!F89+'Danica Pensjonsforsikring'!F89+'DNB Livsforsikring'!F89+'Eika Forsikring AS'!F89+'Frende Livsforsikring'!F89+'Frende Skadeforsikring'!F89+'Gjensidige Forsikring'!F89+'Gjensidige Pensjon'!F89+'Handelsbanken Liv'!F89+'If Skadeforsikring NUF'!F89+KLP!F89+'KLP Bedriftspensjon AS'!F89+'KLP Skadeforsikring AS'!F89+'Landkreditt Forsikring'!F89+Inrs!F89+'Nordea Liv '!F89+'Oslo Pensjonsforsikring'!F89+'Protector Forsikring'!F89+'SHB Liv'!F89+'Sparebank 1'!F89+'Storebrand Livsforsikring'!F89+'Telenor Forsikring'!F89+'Tryg Forsikring'!F89+'WaterCircles F'!F89</f>
        <v>269440960.45366049</v>
      </c>
      <c r="F89" s="44">
        <f>'Fremtind Livsforsikring'!G89+'Danica Pensjonsforsikring'!G89+'DNB Livsforsikring'!G89+'Eika Forsikring AS'!G89+'Frende Livsforsikring'!G89+'Frende Skadeforsikring'!G89+'Gjensidige Forsikring'!G89+'Gjensidige Pensjon'!G89+'Handelsbanken Liv'!G89+'If Skadeforsikring NUF'!G89+KLP!G89+'KLP Bedriftspensjon AS'!G89+'KLP Skadeforsikring AS'!G89+'Landkreditt Forsikring'!G89+Inrs!G89+'Nordea Liv '!G89+'Oslo Pensjonsforsikring'!G89+'Protector Forsikring'!G89+'SHB Liv'!G89+'Sparebank 1'!G89+'Storebrand Livsforsikring'!G89+'Telenor Forsikring'!G89+'Tryg Forsikring'!G89+'WaterCircles F'!G89</f>
        <v>278596711.99615997</v>
      </c>
      <c r="G89" s="23">
        <f t="shared" si="35"/>
        <v>3.4</v>
      </c>
      <c r="H89" s="237">
        <f t="shared" si="36"/>
        <v>272232513.77615047</v>
      </c>
      <c r="I89" s="237">
        <f t="shared" si="37"/>
        <v>281697077.25045258</v>
      </c>
      <c r="J89" s="23">
        <f t="shared" si="29"/>
        <v>3.5</v>
      </c>
      <c r="K89" s="149"/>
    </row>
    <row r="90" spans="1:11" ht="15.75" customHeight="1" x14ac:dyDescent="0.2">
      <c r="A90" s="296" t="s">
        <v>383</v>
      </c>
      <c r="B90" s="235"/>
      <c r="C90" s="235"/>
      <c r="D90" s="27"/>
      <c r="E90" s="235"/>
      <c r="F90" s="235"/>
      <c r="G90" s="166"/>
      <c r="H90" s="235"/>
      <c r="I90" s="235"/>
      <c r="J90" s="23"/>
    </row>
    <row r="91" spans="1:11" ht="15.75" customHeight="1" x14ac:dyDescent="0.2">
      <c r="A91" s="296" t="s">
        <v>12</v>
      </c>
      <c r="B91" s="235"/>
      <c r="C91" s="235"/>
      <c r="D91" s="27"/>
      <c r="E91" s="235"/>
      <c r="F91" s="235"/>
      <c r="G91" s="166"/>
      <c r="H91" s="235"/>
      <c r="I91" s="235"/>
      <c r="J91" s="23"/>
    </row>
    <row r="92" spans="1:11" ht="15.75" customHeight="1" x14ac:dyDescent="0.2">
      <c r="A92" s="296" t="s">
        <v>13</v>
      </c>
      <c r="B92" s="235"/>
      <c r="C92" s="235"/>
      <c r="D92" s="27"/>
      <c r="E92" s="235"/>
      <c r="F92" s="235"/>
      <c r="G92" s="166"/>
      <c r="H92" s="235"/>
      <c r="I92" s="235"/>
      <c r="J92" s="23"/>
    </row>
    <row r="93" spans="1:11" ht="15.75" customHeight="1" x14ac:dyDescent="0.2">
      <c r="A93" s="296" t="s">
        <v>384</v>
      </c>
      <c r="B93" s="235"/>
      <c r="C93" s="235"/>
      <c r="D93" s="27"/>
      <c r="E93" s="235"/>
      <c r="F93" s="235"/>
      <c r="G93" s="166"/>
      <c r="H93" s="235"/>
      <c r="I93" s="235"/>
      <c r="J93" s="23"/>
    </row>
    <row r="94" spans="1:11" ht="15.75" customHeight="1" x14ac:dyDescent="0.2">
      <c r="A94" s="296" t="s">
        <v>12</v>
      </c>
      <c r="B94" s="235"/>
      <c r="C94" s="235"/>
      <c r="D94" s="27"/>
      <c r="E94" s="235"/>
      <c r="F94" s="235"/>
      <c r="G94" s="166"/>
      <c r="H94" s="235"/>
      <c r="I94" s="235"/>
      <c r="J94" s="23"/>
    </row>
    <row r="95" spans="1:11" ht="15.75" customHeight="1" x14ac:dyDescent="0.2">
      <c r="A95" s="296" t="s">
        <v>13</v>
      </c>
      <c r="B95" s="235"/>
      <c r="C95" s="235"/>
      <c r="D95" s="27"/>
      <c r="E95" s="235"/>
      <c r="F95" s="235"/>
      <c r="G95" s="166"/>
      <c r="H95" s="235"/>
      <c r="I95" s="235"/>
      <c r="J95" s="23"/>
    </row>
    <row r="96" spans="1:11" ht="15.75" customHeight="1" x14ac:dyDescent="0.2">
      <c r="A96" s="21" t="s">
        <v>353</v>
      </c>
      <c r="B96" s="234">
        <f>'Fremtind Livsforsikring'!B96+'Danica Pensjonsforsikring'!B96+'DNB Livsforsikring'!B96+'Eika Forsikring AS'!B96+'Frende Livsforsikring'!B96+'Frende Skadeforsikring'!B96+'Gjensidige Forsikring'!B96+'Gjensidige Pensjon'!B96+'Handelsbanken Liv'!B96+'If Skadeforsikring NUF'!B96+KLP!B96+'KLP Bedriftspensjon AS'!B96+'KLP Skadeforsikring AS'!B96+'Landkreditt Forsikring'!B96+Inrs!B96+'Nordea Liv '!B96+'Oslo Pensjonsforsikring'!B96+'Protector Forsikring'!B96+'SHB Liv'!B96+'Sparebank 1'!B96+'Storebrand Livsforsikring'!B96+'Telenor Forsikring'!B96+'Tryg Forsikring'!B96+'WaterCircles F'!B96</f>
        <v>979107.02083000005</v>
      </c>
      <c r="C96" s="234">
        <f>'Fremtind Livsforsikring'!C96+'Danica Pensjonsforsikring'!C96+'DNB Livsforsikring'!C96+'Eika Forsikring AS'!C96+'Frende Livsforsikring'!C96+'Frende Skadeforsikring'!C96+'Gjensidige Forsikring'!C96+'Gjensidige Pensjon'!C96+'Handelsbanken Liv'!C96+'If Skadeforsikring NUF'!C96+KLP!C96+'KLP Bedriftspensjon AS'!C96+'KLP Skadeforsikring AS'!C96+'Landkreditt Forsikring'!C96+Inrs!C96+'Nordea Liv '!C96+'Oslo Pensjonsforsikring'!C96+'Protector Forsikring'!C96+'SHB Liv'!C96+'Sparebank 1'!C96+'Storebrand Livsforsikring'!C96+'Telenor Forsikring'!C96+'Tryg Forsikring'!C96+'WaterCircles F'!C96</f>
        <v>1547559.5576300002</v>
      </c>
      <c r="D96" s="23">
        <f t="shared" si="25"/>
        <v>58.1</v>
      </c>
      <c r="E96" s="44">
        <f>'Fremtind Livsforsikring'!F96+'Danica Pensjonsforsikring'!F96+'DNB Livsforsikring'!F96+'Eika Forsikring AS'!F96+'Frende Livsforsikring'!F96+'Frende Skadeforsikring'!F96+'Gjensidige Forsikring'!F96+'Gjensidige Pensjon'!F96+'Handelsbanken Liv'!F96+'If Skadeforsikring NUF'!F96+KLP!F96+'KLP Bedriftspensjon AS'!F96+'KLP Skadeforsikring AS'!F96+'Landkreditt Forsikring'!F96+Inrs!F96+'Nordea Liv '!F96+'Oslo Pensjonsforsikring'!F96+'Protector Forsikring'!F96+'SHB Liv'!F96+'Sparebank 1'!F96+'Storebrand Livsforsikring'!F96+'Telenor Forsikring'!F96+'Tryg Forsikring'!F96+'WaterCircles F'!F96</f>
        <v>1190475.2955</v>
      </c>
      <c r="F96" s="44">
        <f>'Fremtind Livsforsikring'!G96+'Danica Pensjonsforsikring'!G96+'DNB Livsforsikring'!G96+'Eika Forsikring AS'!G96+'Frende Livsforsikring'!G96+'Frende Skadeforsikring'!G96+'Gjensidige Forsikring'!G96+'Gjensidige Pensjon'!G96+'Handelsbanken Liv'!G96+'If Skadeforsikring NUF'!G96+KLP!G96+'KLP Bedriftspensjon AS'!G96+'KLP Skadeforsikring AS'!G96+'Landkreditt Forsikring'!G96+Inrs!G96+'Nordea Liv '!G96+'Oslo Pensjonsforsikring'!G96+'Protector Forsikring'!G96+'SHB Liv'!G96+'Sparebank 1'!G96+'Storebrand Livsforsikring'!G96+'Telenor Forsikring'!G96+'Tryg Forsikring'!G96+'WaterCircles F'!G96</f>
        <v>1662319.3984699999</v>
      </c>
      <c r="G96" s="23">
        <f t="shared" ref="G96:G100" si="38">IF(E96=0, "    ---- ", IF(ABS(ROUND(100/E96*F96-100,1))&lt;999,ROUND(100/E96*F96-100,1),IF(ROUND(100/E96*F96-100,1)&gt;999,999,-999)))</f>
        <v>39.6</v>
      </c>
      <c r="H96" s="237">
        <f t="shared" si="36"/>
        <v>2169582.3163299998</v>
      </c>
      <c r="I96" s="237">
        <f t="shared" si="37"/>
        <v>3209878.9561000001</v>
      </c>
      <c r="J96" s="23">
        <f t="shared" si="29"/>
        <v>47.9</v>
      </c>
    </row>
    <row r="97" spans="1:10" ht="15.75" customHeight="1" x14ac:dyDescent="0.2">
      <c r="A97" s="21" t="s">
        <v>352</v>
      </c>
      <c r="B97" s="234">
        <f>'Fremtind Livsforsikring'!B97+'Danica Pensjonsforsikring'!B97+'DNB Livsforsikring'!B97+'Eika Forsikring AS'!B97+'Frende Livsforsikring'!B97+'Frende Skadeforsikring'!B97+'Gjensidige Forsikring'!B97+'Gjensidige Pensjon'!B97+'Handelsbanken Liv'!B97+'If Skadeforsikring NUF'!B97+KLP!B97+'KLP Bedriftspensjon AS'!B97+'KLP Skadeforsikring AS'!B97+'Landkreditt Forsikring'!B97+Inrs!B97+'Nordea Liv '!B97+'Oslo Pensjonsforsikring'!B97+'Protector Forsikring'!B97+'SHB Liv'!B97+'Sparebank 1'!B97+'Storebrand Livsforsikring'!B97+'Telenor Forsikring'!B97+'Tryg Forsikring'!B97+'WaterCircles F'!B97</f>
        <v>4857698.9419200001</v>
      </c>
      <c r="C97" s="234">
        <f>'Fremtind Livsforsikring'!C97+'Danica Pensjonsforsikring'!C97+'DNB Livsforsikring'!C97+'Eika Forsikring AS'!C97+'Frende Livsforsikring'!C97+'Frende Skadeforsikring'!C97+'Gjensidige Forsikring'!C97+'Gjensidige Pensjon'!C97+'Handelsbanken Liv'!C97+'If Skadeforsikring NUF'!C97+KLP!C97+'KLP Bedriftspensjon AS'!C97+'KLP Skadeforsikring AS'!C97+'Landkreditt Forsikring'!C97+Inrs!C97+'Nordea Liv '!C97+'Oslo Pensjonsforsikring'!C97+'Protector Forsikring'!C97+'SHB Liv'!C97+'Sparebank 1'!C97+'Storebrand Livsforsikring'!C97+'Telenor Forsikring'!C97+'Tryg Forsikring'!C97+'WaterCircles F'!C97</f>
        <v>6221150.8246600004</v>
      </c>
      <c r="D97" s="23">
        <f t="shared" ref="D97" si="39">IF(B97=0, "    ---- ", IF(ABS(ROUND(100/B97*C97-100,1))&lt;999,ROUND(100/B97*C97-100,1),IF(ROUND(100/B97*C97-100,1)&gt;999,999,-999)))</f>
        <v>28.1</v>
      </c>
      <c r="E97" s="44">
        <f>'Fremtind Livsforsikring'!F97+'Danica Pensjonsforsikring'!F97+'DNB Livsforsikring'!F97+'Eika Forsikring AS'!F97+'Frende Livsforsikring'!F97+'Frende Skadeforsikring'!F97+'Gjensidige Forsikring'!F97+'Gjensidige Pensjon'!F97+'Handelsbanken Liv'!F97+'If Skadeforsikring NUF'!F97+KLP!F97+'KLP Bedriftspensjon AS'!F97+'KLP Skadeforsikring AS'!F97+'Landkreditt Forsikring'!F97+Inrs!F97+'Nordea Liv '!F97+'Oslo Pensjonsforsikring'!F97+'Protector Forsikring'!F97+'SHB Liv'!F97+'Sparebank 1'!F97+'Storebrand Livsforsikring'!F97+'Telenor Forsikring'!F97+'Tryg Forsikring'!F97+'WaterCircles F'!F97</f>
        <v>0</v>
      </c>
      <c r="F97" s="44">
        <f>'Fremtind Livsforsikring'!G97+'Danica Pensjonsforsikring'!G97+'DNB Livsforsikring'!G97+'Eika Forsikring AS'!G97+'Frende Livsforsikring'!G97+'Frende Skadeforsikring'!G97+'Gjensidige Forsikring'!G97+'Gjensidige Pensjon'!G97+'Handelsbanken Liv'!G97+'If Skadeforsikring NUF'!G97+KLP!G97+'KLP Bedriftspensjon AS'!G97+'KLP Skadeforsikring AS'!G97+'Landkreditt Forsikring'!G97+Inrs!G97+'Nordea Liv '!G97+'Oslo Pensjonsforsikring'!G97+'Protector Forsikring'!G97+'SHB Liv'!G97+'Sparebank 1'!G97+'Storebrand Livsforsikring'!G97+'Telenor Forsikring'!G97+'Tryg Forsikring'!G97+'WaterCircles F'!G97</f>
        <v>0</v>
      </c>
      <c r="G97" s="23"/>
      <c r="H97" s="237">
        <f t="shared" ref="H97" si="40">SUM(B97,E97)</f>
        <v>4857698.9419200001</v>
      </c>
      <c r="I97" s="237">
        <f t="shared" ref="I97" si="41">SUM(C97,F97)</f>
        <v>6221150.8246600004</v>
      </c>
      <c r="J97" s="23">
        <f t="shared" ref="J97" si="42">IF(H97=0, "    ---- ", IF(ABS(ROUND(100/H97*I97-100,1))&lt;999,ROUND(100/H97*I97-100,1),IF(ROUND(100/H97*I97-100,1)&gt;999,999,-999)))</f>
        <v>28.1</v>
      </c>
    </row>
    <row r="98" spans="1:10" ht="15.75" customHeight="1" x14ac:dyDescent="0.2">
      <c r="A98" s="21" t="s">
        <v>385</v>
      </c>
      <c r="B98" s="234">
        <f>'Fremtind Livsforsikring'!B98+'Danica Pensjonsforsikring'!B98+'DNB Livsforsikring'!B98+'Eika Forsikring AS'!B98+'Frende Livsforsikring'!B98+'Frende Skadeforsikring'!B98+'Gjensidige Forsikring'!B98+'Gjensidige Pensjon'!B98+'Handelsbanken Liv'!B98+'If Skadeforsikring NUF'!B98+KLP!B98+'KLP Bedriftspensjon AS'!B98+'KLP Skadeforsikring AS'!B98+'Landkreditt Forsikring'!B98+Inrs!B98+'Nordea Liv '!B98+'Oslo Pensjonsforsikring'!B98+'Protector Forsikring'!B98+'SHB Liv'!B98+'Sparebank 1'!B98+'Storebrand Livsforsikring'!B98+'Telenor Forsikring'!B98+'Tryg Forsikring'!B98+'WaterCircles F'!B98</f>
        <v>377882789.05728227</v>
      </c>
      <c r="C98" s="234">
        <f>'Fremtind Livsforsikring'!C98+'Danica Pensjonsforsikring'!C98+'DNB Livsforsikring'!C98+'Eika Forsikring AS'!C98+'Frende Livsforsikring'!C98+'Frende Skadeforsikring'!C98+'Gjensidige Forsikring'!C98+'Gjensidige Pensjon'!C98+'Handelsbanken Liv'!C98+'If Skadeforsikring NUF'!C98+KLP!C98+'KLP Bedriftspensjon AS'!C98+'KLP Skadeforsikring AS'!C98+'Landkreditt Forsikring'!C98+Inrs!C98+'Nordea Liv '!C98+'Oslo Pensjonsforsikring'!C98+'Protector Forsikring'!C98+'SHB Liv'!C98+'Sparebank 1'!C98+'Storebrand Livsforsikring'!C98+'Telenor Forsikring'!C98+'Tryg Forsikring'!C98+'WaterCircles F'!C98</f>
        <v>380294395.29141974</v>
      </c>
      <c r="D98" s="23">
        <f t="shared" si="25"/>
        <v>0.6</v>
      </c>
      <c r="E98" s="44">
        <f>'Fremtind Livsforsikring'!F98+'Danica Pensjonsforsikring'!F98+'DNB Livsforsikring'!F98+'Eika Forsikring AS'!F98+'Frende Livsforsikring'!F98+'Frende Skadeforsikring'!F98+'Gjensidige Forsikring'!F98+'Gjensidige Pensjon'!F98+'Handelsbanken Liv'!F98+'If Skadeforsikring NUF'!F98+KLP!F98+'KLP Bedriftspensjon AS'!F98+'KLP Skadeforsikring AS'!F98+'Landkreditt Forsikring'!F98+Inrs!F98+'Nordea Liv '!F98+'Oslo Pensjonsforsikring'!F98+'Protector Forsikring'!F98+'SHB Liv'!F98+'Sparebank 1'!F98+'Storebrand Livsforsikring'!F98+'Telenor Forsikring'!F98+'Tryg Forsikring'!F98+'WaterCircles F'!F98</f>
        <v>268694785.92492062</v>
      </c>
      <c r="F98" s="44">
        <f>'Fremtind Livsforsikring'!G98+'Danica Pensjonsforsikring'!G98+'DNB Livsforsikring'!G98+'Eika Forsikring AS'!G98+'Frende Livsforsikring'!G98+'Frende Skadeforsikring'!G98+'Gjensidige Forsikring'!G98+'Gjensidige Pensjon'!G98+'Handelsbanken Liv'!G98+'If Skadeforsikring NUF'!G98+KLP!G98+'KLP Bedriftspensjon AS'!G98+'KLP Skadeforsikring AS'!G98+'Landkreditt Forsikring'!G98+Inrs!G98+'Nordea Liv '!G98+'Oslo Pensjonsforsikring'!G98+'Protector Forsikring'!G98+'SHB Liv'!G98+'Sparebank 1'!G98+'Storebrand Livsforsikring'!G98+'Telenor Forsikring'!G98+'Tryg Forsikring'!G98+'WaterCircles F'!G98</f>
        <v>277814537.07894003</v>
      </c>
      <c r="G98" s="23">
        <f t="shared" si="38"/>
        <v>3.4</v>
      </c>
      <c r="H98" s="237">
        <f t="shared" si="36"/>
        <v>646577574.98220289</v>
      </c>
      <c r="I98" s="237">
        <f t="shared" si="37"/>
        <v>658108932.37035978</v>
      </c>
      <c r="J98" s="23">
        <f t="shared" si="29"/>
        <v>1.8</v>
      </c>
    </row>
    <row r="99" spans="1:10" ht="15.75" customHeight="1" x14ac:dyDescent="0.2">
      <c r="A99" s="21" t="s">
        <v>9</v>
      </c>
      <c r="B99" s="234">
        <f>'Fremtind Livsforsikring'!B99+'Danica Pensjonsforsikring'!B99+'DNB Livsforsikring'!B99+'Eika Forsikring AS'!B99+'Frende Livsforsikring'!B99+'Frende Skadeforsikring'!B99+'Gjensidige Forsikring'!B99+'Gjensidige Pensjon'!B99+'Handelsbanken Liv'!B99+'If Skadeforsikring NUF'!B99+KLP!B99+'KLP Bedriftspensjon AS'!B99+'KLP Skadeforsikring AS'!B99+'Landkreditt Forsikring'!B99+Inrs!B99+'Nordea Liv '!B99+'Oslo Pensjonsforsikring'!B99+'Protector Forsikring'!B99+'SHB Liv'!B99+'Sparebank 1'!B99+'Storebrand Livsforsikring'!B99+'Telenor Forsikring'!B99+'Tryg Forsikring'!B99+'WaterCircles F'!B99</f>
        <v>375091235.7340275</v>
      </c>
      <c r="C99" s="234">
        <f>'Fremtind Livsforsikring'!C99+'Danica Pensjonsforsikring'!C99+'DNB Livsforsikring'!C99+'Eika Forsikring AS'!C99+'Frende Livsforsikring'!C99+'Frende Skadeforsikring'!C99+'Gjensidige Forsikring'!C99+'Gjensidige Pensjon'!C99+'Handelsbanken Liv'!C99+'If Skadeforsikring NUF'!C99+KLP!C99+'KLP Bedriftspensjon AS'!C99+'KLP Skadeforsikring AS'!C99+'Landkreditt Forsikring'!C99+Inrs!C99+'Nordea Liv '!C99+'Oslo Pensjonsforsikring'!C99+'Protector Forsikring'!C99+'SHB Liv'!C99+'Sparebank 1'!C99+'Storebrand Livsforsikring'!C99+'Telenor Forsikring'!C99+'Tryg Forsikring'!C99+'WaterCircles F'!C99</f>
        <v>377194030.03712714</v>
      </c>
      <c r="D99" s="23">
        <f t="shared" si="25"/>
        <v>0.6</v>
      </c>
      <c r="E99" s="44">
        <f>'Fremtind Livsforsikring'!F99+'Danica Pensjonsforsikring'!F99+'DNB Livsforsikring'!F99+'Eika Forsikring AS'!F99+'Frende Livsforsikring'!F99+'Frende Skadeforsikring'!F99+'Gjensidige Forsikring'!F99+'Gjensidige Pensjon'!F99+'Handelsbanken Liv'!F99+'If Skadeforsikring NUF'!F99+KLP!F99+'KLP Bedriftspensjon AS'!F99+'KLP Skadeforsikring AS'!F99+'Landkreditt Forsikring'!F99+Inrs!F99+'Nordea Liv '!F99+'Oslo Pensjonsforsikring'!F99+'Protector Forsikring'!F99+'SHB Liv'!F99+'Sparebank 1'!F99+'Storebrand Livsforsikring'!F99+'Telenor Forsikring'!F99+'Tryg Forsikring'!F99+'WaterCircles F'!F99</f>
        <v>0</v>
      </c>
      <c r="F99" s="44">
        <f>'Fremtind Livsforsikring'!G99+'Danica Pensjonsforsikring'!G99+'DNB Livsforsikring'!G99+'Eika Forsikring AS'!G99+'Frende Livsforsikring'!G99+'Frende Skadeforsikring'!G99+'Gjensidige Forsikring'!G99+'Gjensidige Pensjon'!G99+'Handelsbanken Liv'!G99+'If Skadeforsikring NUF'!G99+KLP!G99+'KLP Bedriftspensjon AS'!G99+'KLP Skadeforsikring AS'!G99+'Landkreditt Forsikring'!G99+Inrs!G99+'Nordea Liv '!G99+'Oslo Pensjonsforsikring'!G99+'Protector Forsikring'!G99+'SHB Liv'!G99+'Sparebank 1'!G99+'Storebrand Livsforsikring'!G99+'Telenor Forsikring'!G99+'Tryg Forsikring'!G99+'WaterCircles F'!G99</f>
        <v>0</v>
      </c>
      <c r="G99" s="23"/>
      <c r="H99" s="237">
        <f t="shared" si="36"/>
        <v>375091235.7340275</v>
      </c>
      <c r="I99" s="237">
        <f t="shared" si="37"/>
        <v>377194030.03712714</v>
      </c>
      <c r="J99" s="23">
        <f t="shared" si="29"/>
        <v>0.6</v>
      </c>
    </row>
    <row r="100" spans="1:10" ht="15.75" customHeight="1" x14ac:dyDescent="0.2">
      <c r="A100" s="21" t="s">
        <v>10</v>
      </c>
      <c r="B100" s="234">
        <f>'Fremtind Livsforsikring'!B100+'Danica Pensjonsforsikring'!B100+'DNB Livsforsikring'!B100+'Eika Forsikring AS'!B100+'Frende Livsforsikring'!B100+'Frende Skadeforsikring'!B100+'Gjensidige Forsikring'!B100+'Gjensidige Pensjon'!B100+'Handelsbanken Liv'!B100+'If Skadeforsikring NUF'!B100+KLP!B100+'KLP Bedriftspensjon AS'!B100+'KLP Skadeforsikring AS'!B100+'Landkreditt Forsikring'!B100+Inrs!B100+'Nordea Liv '!B100+'Oslo Pensjonsforsikring'!B100+'Protector Forsikring'!B100+'SHB Liv'!B100+'Sparebank 1'!B100+'Storebrand Livsforsikring'!B100+'Telenor Forsikring'!B100+'Tryg Forsikring'!B100+'WaterCircles F'!B100</f>
        <v>2791553.3232547599</v>
      </c>
      <c r="C100" s="234">
        <f>'Fremtind Livsforsikring'!C100+'Danica Pensjonsforsikring'!C100+'DNB Livsforsikring'!C100+'Eika Forsikring AS'!C100+'Frende Livsforsikring'!C100+'Frende Skadeforsikring'!C100+'Gjensidige Forsikring'!C100+'Gjensidige Pensjon'!C100+'Handelsbanken Liv'!C100+'If Skadeforsikring NUF'!C100+KLP!C100+'KLP Bedriftspensjon AS'!C100+'KLP Skadeforsikring AS'!C100+'Landkreditt Forsikring'!C100+Inrs!C100+'Nordea Liv '!C100+'Oslo Pensjonsforsikring'!C100+'Protector Forsikring'!C100+'SHB Liv'!C100+'Sparebank 1'!C100+'Storebrand Livsforsikring'!C100+'Telenor Forsikring'!C100+'Tryg Forsikring'!C100+'WaterCircles F'!C100</f>
        <v>3100365.2542926096</v>
      </c>
      <c r="D100" s="23">
        <f t="shared" si="25"/>
        <v>11.1</v>
      </c>
      <c r="E100" s="44">
        <f>'Fremtind Livsforsikring'!F100+'Danica Pensjonsforsikring'!F100+'DNB Livsforsikring'!F100+'Eika Forsikring AS'!F100+'Frende Livsforsikring'!F100+'Frende Skadeforsikring'!F100+'Gjensidige Forsikring'!F100+'Gjensidige Pensjon'!F100+'Handelsbanken Liv'!F100+'If Skadeforsikring NUF'!F100+KLP!F100+'KLP Bedriftspensjon AS'!F100+'KLP Skadeforsikring AS'!F100+'Landkreditt Forsikring'!F100+Inrs!F100+'Nordea Liv '!F100+'Oslo Pensjonsforsikring'!F100+'Protector Forsikring'!F100+'SHB Liv'!F100+'Sparebank 1'!F100+'Storebrand Livsforsikring'!F100+'Telenor Forsikring'!F100+'Tryg Forsikring'!F100+'WaterCircles F'!F100</f>
        <v>268694785.92492062</v>
      </c>
      <c r="F100" s="44">
        <f>'Fremtind Livsforsikring'!G100+'Danica Pensjonsforsikring'!G100+'DNB Livsforsikring'!G100+'Eika Forsikring AS'!G100+'Frende Livsforsikring'!G100+'Frende Skadeforsikring'!G100+'Gjensidige Forsikring'!G100+'Gjensidige Pensjon'!G100+'Handelsbanken Liv'!G100+'If Skadeforsikring NUF'!G100+KLP!G100+'KLP Bedriftspensjon AS'!G100+'KLP Skadeforsikring AS'!G100+'Landkreditt Forsikring'!G100+Inrs!G100+'Nordea Liv '!G100+'Oslo Pensjonsforsikring'!G100+'Protector Forsikring'!G100+'SHB Liv'!G100+'Sparebank 1'!G100+'Storebrand Livsforsikring'!G100+'Telenor Forsikring'!G100+'Tryg Forsikring'!G100+'WaterCircles F'!G100</f>
        <v>277814537.07894003</v>
      </c>
      <c r="G100" s="23">
        <f t="shared" si="38"/>
        <v>3.4</v>
      </c>
      <c r="H100" s="237">
        <f t="shared" si="36"/>
        <v>271486339.24817538</v>
      </c>
      <c r="I100" s="237">
        <f t="shared" si="37"/>
        <v>280914902.33323264</v>
      </c>
      <c r="J100" s="23">
        <f t="shared" si="29"/>
        <v>3.5</v>
      </c>
    </row>
    <row r="101" spans="1:10" ht="15.75" customHeight="1" x14ac:dyDescent="0.2">
      <c r="A101" s="296" t="s">
        <v>383</v>
      </c>
      <c r="B101" s="235"/>
      <c r="C101" s="235"/>
      <c r="D101" s="27"/>
      <c r="E101" s="235"/>
      <c r="F101" s="235"/>
      <c r="G101" s="166"/>
      <c r="H101" s="235"/>
      <c r="I101" s="235"/>
      <c r="J101" s="23"/>
    </row>
    <row r="102" spans="1:10" ht="15.75" customHeight="1" x14ac:dyDescent="0.2">
      <c r="A102" s="296" t="s">
        <v>12</v>
      </c>
      <c r="B102" s="235"/>
      <c r="C102" s="235"/>
      <c r="D102" s="27"/>
      <c r="E102" s="235"/>
      <c r="F102" s="235"/>
      <c r="G102" s="166"/>
      <c r="H102" s="235"/>
      <c r="I102" s="235"/>
      <c r="J102" s="23"/>
    </row>
    <row r="103" spans="1:10" ht="15.75" customHeight="1" x14ac:dyDescent="0.2">
      <c r="A103" s="296" t="s">
        <v>13</v>
      </c>
      <c r="B103" s="235"/>
      <c r="C103" s="235"/>
      <c r="D103" s="27"/>
      <c r="E103" s="235"/>
      <c r="F103" s="235"/>
      <c r="G103" s="166"/>
      <c r="H103" s="235"/>
      <c r="I103" s="235"/>
      <c r="J103" s="23"/>
    </row>
    <row r="104" spans="1:10" ht="15.75" customHeight="1" x14ac:dyDescent="0.2">
      <c r="A104" s="296" t="s">
        <v>384</v>
      </c>
      <c r="B104" s="235"/>
      <c r="C104" s="235"/>
      <c r="D104" s="27"/>
      <c r="E104" s="235"/>
      <c r="F104" s="235"/>
      <c r="G104" s="166"/>
      <c r="H104" s="235"/>
      <c r="I104" s="235"/>
      <c r="J104" s="23"/>
    </row>
    <row r="105" spans="1:10" ht="15.75" customHeight="1" x14ac:dyDescent="0.2">
      <c r="A105" s="296" t="s">
        <v>12</v>
      </c>
      <c r="B105" s="235"/>
      <c r="C105" s="235"/>
      <c r="D105" s="27"/>
      <c r="E105" s="235"/>
      <c r="F105" s="235"/>
      <c r="G105" s="166"/>
      <c r="H105" s="235"/>
      <c r="I105" s="235"/>
      <c r="J105" s="23"/>
    </row>
    <row r="106" spans="1:10" ht="15.75" customHeight="1" x14ac:dyDescent="0.2">
      <c r="A106" s="296" t="s">
        <v>13</v>
      </c>
      <c r="B106" s="235"/>
      <c r="C106" s="235"/>
      <c r="D106" s="27"/>
      <c r="E106" s="235"/>
      <c r="F106" s="235"/>
      <c r="G106" s="166"/>
      <c r="H106" s="235"/>
      <c r="I106" s="235"/>
      <c r="J106" s="23"/>
    </row>
    <row r="107" spans="1:10" ht="15.75" customHeight="1" x14ac:dyDescent="0.2">
      <c r="A107" s="21" t="s">
        <v>386</v>
      </c>
      <c r="B107" s="234">
        <f>'Fremtind Livsforsikring'!B107+'Danica Pensjonsforsikring'!B107+'DNB Livsforsikring'!B107+'Eika Forsikring AS'!B107+'Frende Livsforsikring'!B107+'Frende Skadeforsikring'!B107+'Gjensidige Forsikring'!B107+'Gjensidige Pensjon'!B107+'Handelsbanken Liv'!B107+'If Skadeforsikring NUF'!B107+KLP!B107+'KLP Bedriftspensjon AS'!B107+'KLP Skadeforsikring AS'!B107+'Landkreditt Forsikring'!B107+Inrs!B107+'Nordea Liv '!B107+'Oslo Pensjonsforsikring'!B107+'Protector Forsikring'!B107+'SHB Liv'!B107+'Sparebank 1'!B107+'Storebrand Livsforsikring'!B107+'Telenor Forsikring'!B107+'Tryg Forsikring'!B107+'WaterCircles F'!B107</f>
        <v>4765538.3210000005</v>
      </c>
      <c r="C107" s="234">
        <f>'Fremtind Livsforsikring'!C107+'Danica Pensjonsforsikring'!C107+'DNB Livsforsikring'!C107+'Eika Forsikring AS'!C107+'Frende Livsforsikring'!C107+'Frende Skadeforsikring'!C107+'Gjensidige Forsikring'!C107+'Gjensidige Pensjon'!C107+'Handelsbanken Liv'!C107+'If Skadeforsikring NUF'!C107+KLP!C107+'KLP Bedriftspensjon AS'!C107+'KLP Skadeforsikring AS'!C107+'Landkreditt Forsikring'!C107+Inrs!C107+'Nordea Liv '!C107+'Oslo Pensjonsforsikring'!C107+'Protector Forsikring'!C107+'SHB Liv'!C107+'Sparebank 1'!C107+'Storebrand Livsforsikring'!C107+'Telenor Forsikring'!C107+'Tryg Forsikring'!C107+'WaterCircles F'!C107</f>
        <v>4591178.824</v>
      </c>
      <c r="D107" s="23">
        <f t="shared" si="25"/>
        <v>-3.7</v>
      </c>
      <c r="E107" s="44">
        <f>'Fremtind Livsforsikring'!F107+'Danica Pensjonsforsikring'!F107+'DNB Livsforsikring'!F107+'Eika Forsikring AS'!F107+'Frende Livsforsikring'!F107+'Frende Skadeforsikring'!F107+'Gjensidige Forsikring'!F107+'Gjensidige Pensjon'!F107+'Handelsbanken Liv'!F107+'If Skadeforsikring NUF'!F107+KLP!F107+'KLP Bedriftspensjon AS'!F107+'KLP Skadeforsikring AS'!F107+'Landkreditt Forsikring'!F107+Inrs!F107+'Nordea Liv '!F107+'Oslo Pensjonsforsikring'!F107+'Protector Forsikring'!F107+'SHB Liv'!F107+'Sparebank 1'!F107+'Storebrand Livsforsikring'!F107+'Telenor Forsikring'!F107+'Tryg Forsikring'!F107+'WaterCircles F'!F107</f>
        <v>746174.52873999986</v>
      </c>
      <c r="F107" s="44">
        <f>'Fremtind Livsforsikring'!G107+'Danica Pensjonsforsikring'!G107+'DNB Livsforsikring'!G107+'Eika Forsikring AS'!G107+'Frende Livsforsikring'!G107+'Frende Skadeforsikring'!G107+'Gjensidige Forsikring'!G107+'Gjensidige Pensjon'!G107+'Handelsbanken Liv'!G107+'If Skadeforsikring NUF'!G107+KLP!G107+'KLP Bedriftspensjon AS'!G107+'KLP Skadeforsikring AS'!G107+'Landkreditt Forsikring'!G107+Inrs!G107+'Nordea Liv '!G107+'Oslo Pensjonsforsikring'!G107+'Protector Forsikring'!G107+'SHB Liv'!G107+'Sparebank 1'!G107+'Storebrand Livsforsikring'!G107+'Telenor Forsikring'!G107+'Tryg Forsikring'!G107+'WaterCircles F'!G107</f>
        <v>782174.91721999994</v>
      </c>
      <c r="G107" s="23">
        <f t="shared" ref="G107:G114" si="43">IF(E107=0, "    ---- ", IF(ABS(ROUND(100/E107*F107-100,1))&lt;999,ROUND(100/E107*F107-100,1),IF(ROUND(100/E107*F107-100,1)&gt;999,999,-999)))</f>
        <v>4.8</v>
      </c>
      <c r="H107" s="237">
        <f t="shared" si="36"/>
        <v>5511712.8497400004</v>
      </c>
      <c r="I107" s="237">
        <f t="shared" si="37"/>
        <v>5373353.7412200002</v>
      </c>
      <c r="J107" s="23">
        <f t="shared" si="29"/>
        <v>-2.5</v>
      </c>
    </row>
    <row r="108" spans="1:10" ht="15.75" customHeight="1" x14ac:dyDescent="0.2">
      <c r="A108" s="21" t="s">
        <v>387</v>
      </c>
      <c r="B108" s="234">
        <f>'Fremtind Livsforsikring'!B108+'Danica Pensjonsforsikring'!B108+'DNB Livsforsikring'!B108+'Eika Forsikring AS'!B108+'Frende Livsforsikring'!B108+'Frende Skadeforsikring'!B108+'Gjensidige Forsikring'!B108+'Gjensidige Pensjon'!B108+'Handelsbanken Liv'!B108+'If Skadeforsikring NUF'!B108+KLP!B108+'KLP Bedriftspensjon AS'!B108+'KLP Skadeforsikring AS'!B108+'Landkreditt Forsikring'!B108+Inrs!B108+'Nordea Liv '!B108+'Oslo Pensjonsforsikring'!B108+'Protector Forsikring'!B108+'SHB Liv'!B108+'Sparebank 1'!B108+'Storebrand Livsforsikring'!B108+'Telenor Forsikring'!B108+'Tryg Forsikring'!B108+'WaterCircles F'!B108</f>
        <v>314576071.06332111</v>
      </c>
      <c r="C108" s="234">
        <f>'Fremtind Livsforsikring'!C108+'Danica Pensjonsforsikring'!C108+'DNB Livsforsikring'!C108+'Eika Forsikring AS'!C108+'Frende Livsforsikring'!C108+'Frende Skadeforsikring'!C108+'Gjensidige Forsikring'!C108+'Gjensidige Pensjon'!C108+'Handelsbanken Liv'!C108+'If Skadeforsikring NUF'!C108+KLP!C108+'KLP Bedriftspensjon AS'!C108+'KLP Skadeforsikring AS'!C108+'Landkreditt Forsikring'!C108+Inrs!C108+'Nordea Liv '!C108+'Oslo Pensjonsforsikring'!C108+'Protector Forsikring'!C108+'SHB Liv'!C108+'Sparebank 1'!C108+'Storebrand Livsforsikring'!C108+'Telenor Forsikring'!C108+'Tryg Forsikring'!C108+'WaterCircles F'!C108</f>
        <v>322365923.58637214</v>
      </c>
      <c r="D108" s="23">
        <f t="shared" si="25"/>
        <v>2.5</v>
      </c>
      <c r="E108" s="44">
        <f>'Fremtind Livsforsikring'!F108+'Danica Pensjonsforsikring'!F108+'DNB Livsforsikring'!F108+'Eika Forsikring AS'!F108+'Frende Livsforsikring'!F108+'Frende Skadeforsikring'!F108+'Gjensidige Forsikring'!F108+'Gjensidige Pensjon'!F108+'Handelsbanken Liv'!F108+'If Skadeforsikring NUF'!F108+KLP!F108+'KLP Bedriftspensjon AS'!F108+'KLP Skadeforsikring AS'!F108+'Landkreditt Forsikring'!F108+Inrs!F108+'Nordea Liv '!F108+'Oslo Pensjonsforsikring'!F108+'Protector Forsikring'!F108+'SHB Liv'!F108+'Sparebank 1'!F108+'Storebrand Livsforsikring'!F108+'Telenor Forsikring'!F108+'Tryg Forsikring'!F108+'WaterCircles F'!F108</f>
        <v>16049977.419</v>
      </c>
      <c r="F108" s="44">
        <f>'Fremtind Livsforsikring'!G108+'Danica Pensjonsforsikring'!G108+'DNB Livsforsikring'!G108+'Eika Forsikring AS'!G108+'Frende Livsforsikring'!G108+'Frende Skadeforsikring'!G108+'Gjensidige Forsikring'!G108+'Gjensidige Pensjon'!G108+'Handelsbanken Liv'!G108+'If Skadeforsikring NUF'!G108+KLP!G108+'KLP Bedriftspensjon AS'!G108+'KLP Skadeforsikring AS'!G108+'Landkreditt Forsikring'!G108+Inrs!G108+'Nordea Liv '!G108+'Oslo Pensjonsforsikring'!G108+'Protector Forsikring'!G108+'SHB Liv'!G108+'Sparebank 1'!G108+'Storebrand Livsforsikring'!G108+'Telenor Forsikring'!G108+'Tryg Forsikring'!G108+'WaterCircles F'!G108</f>
        <v>15133595.991</v>
      </c>
      <c r="G108" s="23">
        <f t="shared" si="43"/>
        <v>-5.7</v>
      </c>
      <c r="H108" s="237">
        <f t="shared" si="36"/>
        <v>330626048.48232114</v>
      </c>
      <c r="I108" s="237">
        <f t="shared" si="37"/>
        <v>337499519.57737213</v>
      </c>
      <c r="J108" s="23">
        <f t="shared" si="29"/>
        <v>2.1</v>
      </c>
    </row>
    <row r="109" spans="1:10" ht="15.75" customHeight="1" x14ac:dyDescent="0.2">
      <c r="A109" s="21" t="s">
        <v>388</v>
      </c>
      <c r="B109" s="234">
        <f>'Fremtind Livsforsikring'!B109+'Danica Pensjonsforsikring'!B109+'DNB Livsforsikring'!B109+'Eika Forsikring AS'!B109+'Frende Livsforsikring'!B109+'Frende Skadeforsikring'!B109+'Gjensidige Forsikring'!B109+'Gjensidige Pensjon'!B109+'Handelsbanken Liv'!B109+'If Skadeforsikring NUF'!B109+KLP!B109+'KLP Bedriftspensjon AS'!B109+'KLP Skadeforsikring AS'!B109+'Landkreditt Forsikring'!B109+Inrs!B109+'Nordea Liv '!B109+'Oslo Pensjonsforsikring'!B109+'Protector Forsikring'!B109+'SHB Liv'!B109+'Sparebank 1'!B109+'Storebrand Livsforsikring'!B109+'Telenor Forsikring'!B109+'Tryg Forsikring'!B109+'WaterCircles F'!B109</f>
        <v>1033994.493707518</v>
      </c>
      <c r="C109" s="234">
        <f>'Fremtind Livsforsikring'!C109+'Danica Pensjonsforsikring'!C109+'DNB Livsforsikring'!C109+'Eika Forsikring AS'!C109+'Frende Livsforsikring'!C109+'Frende Skadeforsikring'!C109+'Gjensidige Forsikring'!C109+'Gjensidige Pensjon'!C109+'Handelsbanken Liv'!C109+'If Skadeforsikring NUF'!C109+KLP!C109+'KLP Bedriftspensjon AS'!C109+'KLP Skadeforsikring AS'!C109+'Landkreditt Forsikring'!C109+Inrs!C109+'Nordea Liv '!C109+'Oslo Pensjonsforsikring'!C109+'Protector Forsikring'!C109+'SHB Liv'!C109+'Sparebank 1'!C109+'Storebrand Livsforsikring'!C109+'Telenor Forsikring'!C109+'Tryg Forsikring'!C109+'WaterCircles F'!C109</f>
        <v>1086602.8128549319</v>
      </c>
      <c r="D109" s="23">
        <f t="shared" si="25"/>
        <v>5.0999999999999996</v>
      </c>
      <c r="E109" s="44">
        <f>'Fremtind Livsforsikring'!F109+'Danica Pensjonsforsikring'!F109+'DNB Livsforsikring'!F109+'Eika Forsikring AS'!F109+'Frende Livsforsikring'!F109+'Frende Skadeforsikring'!F109+'Gjensidige Forsikring'!F109+'Gjensidige Pensjon'!F109+'Handelsbanken Liv'!F109+'If Skadeforsikring NUF'!F109+KLP!F109+'KLP Bedriftspensjon AS'!F109+'KLP Skadeforsikring AS'!F109+'Landkreditt Forsikring'!F109+Inrs!F109+'Nordea Liv '!F109+'Oslo Pensjonsforsikring'!F109+'Protector Forsikring'!F109+'SHB Liv'!F109+'Sparebank 1'!F109+'Storebrand Livsforsikring'!F109+'Telenor Forsikring'!F109+'Tryg Forsikring'!F109+'WaterCircles F'!F109</f>
        <v>89134523.850137293</v>
      </c>
      <c r="F109" s="44">
        <f>'Fremtind Livsforsikring'!G109+'Danica Pensjonsforsikring'!G109+'DNB Livsforsikring'!G109+'Eika Forsikring AS'!G109+'Frende Livsforsikring'!G109+'Frende Skadeforsikring'!G109+'Gjensidige Forsikring'!G109+'Gjensidige Pensjon'!G109+'Handelsbanken Liv'!G109+'If Skadeforsikring NUF'!G109+KLP!G109+'KLP Bedriftspensjon AS'!G109+'KLP Skadeforsikring AS'!G109+'Landkreditt Forsikring'!G109+Inrs!G109+'Nordea Liv '!G109+'Oslo Pensjonsforsikring'!G109+'Protector Forsikring'!G109+'SHB Liv'!G109+'Sparebank 1'!G109+'Storebrand Livsforsikring'!G109+'Telenor Forsikring'!G109+'Tryg Forsikring'!G109+'WaterCircles F'!G109</f>
        <v>97245147.984395996</v>
      </c>
      <c r="G109" s="23">
        <f t="shared" si="43"/>
        <v>9.1</v>
      </c>
      <c r="H109" s="237">
        <f t="shared" si="36"/>
        <v>90168518.343844816</v>
      </c>
      <c r="I109" s="237">
        <f t="shared" si="37"/>
        <v>98331750.797250926</v>
      </c>
      <c r="J109" s="23">
        <f t="shared" si="29"/>
        <v>9.1</v>
      </c>
    </row>
    <row r="110" spans="1:10" ht="15.75" customHeight="1" x14ac:dyDescent="0.2">
      <c r="A110" s="21" t="s">
        <v>389</v>
      </c>
      <c r="B110" s="234">
        <f>'Fremtind Livsforsikring'!B110+'Danica Pensjonsforsikring'!B110+'DNB Livsforsikring'!B110+'Eika Forsikring AS'!B110+'Frende Livsforsikring'!B110+'Frende Skadeforsikring'!B110+'Gjensidige Forsikring'!B110+'Gjensidige Pensjon'!B110+'Handelsbanken Liv'!B110+'If Skadeforsikring NUF'!B110+KLP!B110+'KLP Bedriftspensjon AS'!B110+'KLP Skadeforsikring AS'!B110+'Landkreditt Forsikring'!B110+Inrs!B110+'Nordea Liv '!B110+'Oslo Pensjonsforsikring'!B110+'Protector Forsikring'!B110+'SHB Liv'!B110+'Sparebank 1'!B110+'Storebrand Livsforsikring'!B110+'Telenor Forsikring'!B110+'Tryg Forsikring'!B110+'WaterCircles F'!B110</f>
        <v>184192.36441000001</v>
      </c>
      <c r="C110" s="234">
        <f>'Fremtind Livsforsikring'!C110+'Danica Pensjonsforsikring'!C110+'DNB Livsforsikring'!C110+'Eika Forsikring AS'!C110+'Frende Livsforsikring'!C110+'Frende Skadeforsikring'!C110+'Gjensidige Forsikring'!C110+'Gjensidige Pensjon'!C110+'Handelsbanken Liv'!C110+'If Skadeforsikring NUF'!C110+KLP!C110+'KLP Bedriftspensjon AS'!C110+'KLP Skadeforsikring AS'!C110+'Landkreditt Forsikring'!C110+Inrs!C110+'Nordea Liv '!C110+'Oslo Pensjonsforsikring'!C110+'Protector Forsikring'!C110+'SHB Liv'!C110+'Sparebank 1'!C110+'Storebrand Livsforsikring'!C110+'Telenor Forsikring'!C110+'Tryg Forsikring'!C110+'WaterCircles F'!C110</f>
        <v>334600.05567999999</v>
      </c>
      <c r="D110" s="23">
        <f t="shared" si="25"/>
        <v>81.7</v>
      </c>
      <c r="E110" s="44">
        <f>'Fremtind Livsforsikring'!F110+'Danica Pensjonsforsikring'!F110+'DNB Livsforsikring'!F110+'Eika Forsikring AS'!F110+'Frende Livsforsikring'!F110+'Frende Skadeforsikring'!F110+'Gjensidige Forsikring'!F110+'Gjensidige Pensjon'!F110+'Handelsbanken Liv'!F110+'If Skadeforsikring NUF'!F110+KLP!F110+'KLP Bedriftspensjon AS'!F110+'KLP Skadeforsikring AS'!F110+'Landkreditt Forsikring'!F110+Inrs!F110+'Nordea Liv '!F110+'Oslo Pensjonsforsikring'!F110+'Protector Forsikring'!F110+'SHB Liv'!F110+'Sparebank 1'!F110+'Storebrand Livsforsikring'!F110+'Telenor Forsikring'!F110+'Tryg Forsikring'!F110+'WaterCircles F'!F110</f>
        <v>0</v>
      </c>
      <c r="F110" s="44">
        <f>'Fremtind Livsforsikring'!G110+'Danica Pensjonsforsikring'!G110+'DNB Livsforsikring'!G110+'Eika Forsikring AS'!G110+'Frende Livsforsikring'!G110+'Frende Skadeforsikring'!G110+'Gjensidige Forsikring'!G110+'Gjensidige Pensjon'!G110+'Handelsbanken Liv'!G110+'If Skadeforsikring NUF'!G110+KLP!G110+'KLP Bedriftspensjon AS'!G110+'KLP Skadeforsikring AS'!G110+'Landkreditt Forsikring'!G110+Inrs!G110+'Nordea Liv '!G110+'Oslo Pensjonsforsikring'!G110+'Protector Forsikring'!G110+'SHB Liv'!G110+'Sparebank 1'!G110+'Storebrand Livsforsikring'!G110+'Telenor Forsikring'!G110+'Tryg Forsikring'!G110+'WaterCircles F'!G110</f>
        <v>0</v>
      </c>
      <c r="G110" s="23"/>
      <c r="H110" s="237">
        <f t="shared" si="36"/>
        <v>184192.36441000001</v>
      </c>
      <c r="I110" s="237">
        <f t="shared" si="37"/>
        <v>334600.05567999999</v>
      </c>
      <c r="J110" s="23">
        <f t="shared" si="29"/>
        <v>81.7</v>
      </c>
    </row>
    <row r="111" spans="1:10" s="43" customFormat="1" ht="15.75" customHeight="1" x14ac:dyDescent="0.2">
      <c r="A111" s="13" t="s">
        <v>369</v>
      </c>
      <c r="B111" s="308">
        <f>'Fremtind Livsforsikring'!B111+'Danica Pensjonsforsikring'!B111+'DNB Livsforsikring'!B111+'Eika Forsikring AS'!B111+'Frende Livsforsikring'!B111+'Frende Skadeforsikring'!B111+'Gjensidige Forsikring'!B111+'Gjensidige Pensjon'!B111+'Handelsbanken Liv'!B111+'If Skadeforsikring NUF'!B111+KLP!B111+'KLP Bedriftspensjon AS'!B111+'KLP Skadeforsikring AS'!B111+'Landkreditt Forsikring'!B111+Inrs!B111+'Nordea Liv '!B111+'Oslo Pensjonsforsikring'!B111+'Protector Forsikring'!B111+'SHB Liv'!B111+'Sparebank 1'!B111+'Storebrand Livsforsikring'!B111+'Telenor Forsikring'!B111+'Tryg Forsikring'!B111+'WaterCircles F'!B111</f>
        <v>227801.04758999997</v>
      </c>
      <c r="C111" s="308">
        <f>'Fremtind Livsforsikring'!C111+'Danica Pensjonsforsikring'!C111+'DNB Livsforsikring'!C111+'Eika Forsikring AS'!C111+'Frende Livsforsikring'!C111+'Frende Skadeforsikring'!C111+'Gjensidige Forsikring'!C111+'Gjensidige Pensjon'!C111+'Handelsbanken Liv'!C111+'If Skadeforsikring NUF'!C111+KLP!C111+'KLP Bedriftspensjon AS'!C111+'KLP Skadeforsikring AS'!C111+'Landkreditt Forsikring'!C111+Inrs!C111+'Nordea Liv '!C111+'Oslo Pensjonsforsikring'!C111+'Protector Forsikring'!C111+'SHB Liv'!C111+'Sparebank 1'!C111+'Storebrand Livsforsikring'!C111+'Telenor Forsikring'!C111+'Tryg Forsikring'!C111+'WaterCircles F'!C111</f>
        <v>394830.12543000001</v>
      </c>
      <c r="D111" s="24">
        <f t="shared" si="25"/>
        <v>73.3</v>
      </c>
      <c r="E111" s="236">
        <f>'Fremtind Livsforsikring'!F111+'Danica Pensjonsforsikring'!F111+'DNB Livsforsikring'!F111+'Eika Forsikring AS'!F111+'Frende Livsforsikring'!F111+'Frende Skadeforsikring'!F111+'Gjensidige Forsikring'!F111+'Gjensidige Pensjon'!F111+'Handelsbanken Liv'!F111+'If Skadeforsikring NUF'!F111+KLP!F111+'KLP Bedriftspensjon AS'!F111+'KLP Skadeforsikring AS'!F111+'Landkreditt Forsikring'!F111+Inrs!F111+'Nordea Liv '!F111+'Oslo Pensjonsforsikring'!F111+'Protector Forsikring'!F111+'SHB Liv'!F111+'Sparebank 1'!F111+'Storebrand Livsforsikring'!F111+'Telenor Forsikring'!F111+'Tryg Forsikring'!F111+'WaterCircles F'!F111</f>
        <v>4274858.4827999994</v>
      </c>
      <c r="F111" s="236">
        <f>'Fremtind Livsforsikring'!G111+'Danica Pensjonsforsikring'!G111+'DNB Livsforsikring'!G111+'Eika Forsikring AS'!G111+'Frende Livsforsikring'!G111+'Frende Skadeforsikring'!G111+'Gjensidige Forsikring'!G111+'Gjensidige Pensjon'!G111+'Handelsbanken Liv'!G111+'If Skadeforsikring NUF'!G111+KLP!G111+'KLP Bedriftspensjon AS'!G111+'KLP Skadeforsikring AS'!G111+'Landkreditt Forsikring'!G111+Inrs!G111+'Nordea Liv '!G111+'Oslo Pensjonsforsikring'!G111+'Protector Forsikring'!G111+'SHB Liv'!G111+'Sparebank 1'!G111+'Storebrand Livsforsikring'!G111+'Telenor Forsikring'!G111+'Tryg Forsikring'!G111+'WaterCircles F'!G111</f>
        <v>8919283.9669199996</v>
      </c>
      <c r="G111" s="23">
        <f t="shared" si="43"/>
        <v>108.6</v>
      </c>
      <c r="H111" s="329">
        <f t="shared" si="36"/>
        <v>4502659.530389999</v>
      </c>
      <c r="I111" s="329">
        <f t="shared" si="37"/>
        <v>9314114.0923499987</v>
      </c>
      <c r="J111" s="24">
        <f t="shared" si="29"/>
        <v>106.9</v>
      </c>
    </row>
    <row r="112" spans="1:10" ht="15.75" customHeight="1" x14ac:dyDescent="0.2">
      <c r="A112" s="21" t="s">
        <v>9</v>
      </c>
      <c r="B112" s="234">
        <f>'Fremtind Livsforsikring'!B112+'Danica Pensjonsforsikring'!B112+'DNB Livsforsikring'!B112+'Eika Forsikring AS'!B112+'Frende Livsforsikring'!B112+'Frende Skadeforsikring'!B112+'Gjensidige Forsikring'!B112+'Gjensidige Pensjon'!B112+'Handelsbanken Liv'!B112+'If Skadeforsikring NUF'!B112+KLP!B112+'KLP Bedriftspensjon AS'!B112+'KLP Skadeforsikring AS'!B112+'Landkreditt Forsikring'!B112+Inrs!B112+'Nordea Liv '!B112+'Oslo Pensjonsforsikring'!B112+'Protector Forsikring'!B112+'SHB Liv'!B112+'Sparebank 1'!B112+'Storebrand Livsforsikring'!B112+'Telenor Forsikring'!B112+'Tryg Forsikring'!B112+'WaterCircles F'!B112</f>
        <v>205703.88852000001</v>
      </c>
      <c r="C112" s="234">
        <f>'Fremtind Livsforsikring'!C112+'Danica Pensjonsforsikring'!C112+'DNB Livsforsikring'!C112+'Eika Forsikring AS'!C112+'Frende Livsforsikring'!C112+'Frende Skadeforsikring'!C112+'Gjensidige Forsikring'!C112+'Gjensidige Pensjon'!C112+'Handelsbanken Liv'!C112+'If Skadeforsikring NUF'!C112+KLP!C112+'KLP Bedriftspensjon AS'!C112+'KLP Skadeforsikring AS'!C112+'Landkreditt Forsikring'!C112+Inrs!C112+'Nordea Liv '!C112+'Oslo Pensjonsforsikring'!C112+'Protector Forsikring'!C112+'SHB Liv'!C112+'Sparebank 1'!C112+'Storebrand Livsforsikring'!C112+'Telenor Forsikring'!C112+'Tryg Forsikring'!C112+'WaterCircles F'!C112</f>
        <v>71157.658800000005</v>
      </c>
      <c r="D112" s="23">
        <f t="shared" ref="D112:D126" si="44">IF(B112=0, "    ---- ", IF(ABS(ROUND(100/B112*C112-100,1))&lt;999,ROUND(100/B112*C112-100,1),IF(ROUND(100/B112*C112-100,1)&gt;999,999,-999)))</f>
        <v>-65.400000000000006</v>
      </c>
      <c r="E112" s="44">
        <f>'Fremtind Livsforsikring'!F112+'Danica Pensjonsforsikring'!F112+'DNB Livsforsikring'!F112+'Eika Forsikring AS'!F112+'Frende Livsforsikring'!F112+'Frende Skadeforsikring'!F112+'Gjensidige Forsikring'!F112+'Gjensidige Pensjon'!F112+'Handelsbanken Liv'!F112+'If Skadeforsikring NUF'!F112+KLP!F112+'KLP Bedriftspensjon AS'!F112+'KLP Skadeforsikring AS'!F112+'Landkreditt Forsikring'!F112+Inrs!F112+'Nordea Liv '!F112+'Oslo Pensjonsforsikring'!F112+'Protector Forsikring'!F112+'SHB Liv'!F112+'Sparebank 1'!F112+'Storebrand Livsforsikring'!F112+'Telenor Forsikring'!F112+'Tryg Forsikring'!F112+'WaterCircles F'!F112</f>
        <v>933.62400000000002</v>
      </c>
      <c r="F112" s="44">
        <f>'Fremtind Livsforsikring'!G112+'Danica Pensjonsforsikring'!G112+'DNB Livsforsikring'!G112+'Eika Forsikring AS'!G112+'Frende Livsforsikring'!G112+'Frende Skadeforsikring'!G112+'Gjensidige Forsikring'!G112+'Gjensidige Pensjon'!G112+'Handelsbanken Liv'!G112+'If Skadeforsikring NUF'!G112+KLP!G112+'KLP Bedriftspensjon AS'!G112+'KLP Skadeforsikring AS'!G112+'Landkreditt Forsikring'!G112+Inrs!G112+'Nordea Liv '!G112+'Oslo Pensjonsforsikring'!G112+'Protector Forsikring'!G112+'SHB Liv'!G112+'Sparebank 1'!G112+'Storebrand Livsforsikring'!G112+'Telenor Forsikring'!G112+'Tryg Forsikring'!G112+'WaterCircles F'!G112</f>
        <v>3509.7950000000001</v>
      </c>
      <c r="G112" s="23">
        <f t="shared" si="43"/>
        <v>275.89999999999998</v>
      </c>
      <c r="H112" s="237">
        <f t="shared" ref="H112:H126" si="45">SUM(B112,E112)</f>
        <v>206637.51252000002</v>
      </c>
      <c r="I112" s="237">
        <f t="shared" ref="I112:I126" si="46">SUM(C112,F112)</f>
        <v>74667.453800000003</v>
      </c>
      <c r="J112" s="23">
        <f t="shared" ref="J112:J126" si="47">IF(H112=0, "    ---- ", IF(ABS(ROUND(100/H112*I112-100,1))&lt;999,ROUND(100/H112*I112-100,1),IF(ROUND(100/H112*I112-100,1)&gt;999,999,-999)))</f>
        <v>-63.9</v>
      </c>
    </row>
    <row r="113" spans="1:10" ht="15.75" customHeight="1" x14ac:dyDescent="0.2">
      <c r="A113" s="21" t="s">
        <v>10</v>
      </c>
      <c r="B113" s="234">
        <f>'Fremtind Livsforsikring'!B113+'Danica Pensjonsforsikring'!B113+'DNB Livsforsikring'!B113+'Eika Forsikring AS'!B113+'Frende Livsforsikring'!B113+'Frende Skadeforsikring'!B113+'Gjensidige Forsikring'!B113+'Gjensidige Pensjon'!B113+'Handelsbanken Liv'!B113+'If Skadeforsikring NUF'!B113+KLP!B113+'KLP Bedriftspensjon AS'!B113+'KLP Skadeforsikring AS'!B113+'Landkreditt Forsikring'!B113+Inrs!B113+'Nordea Liv '!B113+'Oslo Pensjonsforsikring'!B113+'Protector Forsikring'!B113+'SHB Liv'!B113+'Sparebank 1'!B113+'Storebrand Livsforsikring'!B113+'Telenor Forsikring'!B113+'Tryg Forsikring'!B113+'WaterCircles F'!B113</f>
        <v>267.77300000000002</v>
      </c>
      <c r="C113" s="234">
        <f>'Fremtind Livsforsikring'!C113+'Danica Pensjonsforsikring'!C113+'DNB Livsforsikring'!C113+'Eika Forsikring AS'!C113+'Frende Livsforsikring'!C113+'Frende Skadeforsikring'!C113+'Gjensidige Forsikring'!C113+'Gjensidige Pensjon'!C113+'Handelsbanken Liv'!C113+'If Skadeforsikring NUF'!C113+KLP!C113+'KLP Bedriftspensjon AS'!C113+'KLP Skadeforsikring AS'!C113+'Landkreditt Forsikring'!C113+Inrs!C113+'Nordea Liv '!C113+'Oslo Pensjonsforsikring'!C113+'Protector Forsikring'!C113+'SHB Liv'!C113+'Sparebank 1'!C113+'Storebrand Livsforsikring'!C113+'Telenor Forsikring'!C113+'Tryg Forsikring'!C113+'WaterCircles F'!C113</f>
        <v>4178.6072700000004</v>
      </c>
      <c r="D113" s="23">
        <f t="shared" si="44"/>
        <v>999</v>
      </c>
      <c r="E113" s="44">
        <f>'Fremtind Livsforsikring'!F113+'Danica Pensjonsforsikring'!F113+'DNB Livsforsikring'!F113+'Eika Forsikring AS'!F113+'Frende Livsforsikring'!F113+'Frende Skadeforsikring'!F113+'Gjensidige Forsikring'!F113+'Gjensidige Pensjon'!F113+'Handelsbanken Liv'!F113+'If Skadeforsikring NUF'!F113+KLP!F113+'KLP Bedriftspensjon AS'!F113+'KLP Skadeforsikring AS'!F113+'Landkreditt Forsikring'!F113+Inrs!F113+'Nordea Liv '!F113+'Oslo Pensjonsforsikring'!F113+'Protector Forsikring'!F113+'SHB Liv'!F113+'Sparebank 1'!F113+'Storebrand Livsforsikring'!F113+'Telenor Forsikring'!F113+'Tryg Forsikring'!F113+'WaterCircles F'!F113</f>
        <v>4246900.4005300002</v>
      </c>
      <c r="F113" s="44">
        <f>'Fremtind Livsforsikring'!G113+'Danica Pensjonsforsikring'!G113+'DNB Livsforsikring'!G113+'Eika Forsikring AS'!G113+'Frende Livsforsikring'!G113+'Frende Skadeforsikring'!G113+'Gjensidige Forsikring'!G113+'Gjensidige Pensjon'!G113+'Handelsbanken Liv'!G113+'If Skadeforsikring NUF'!G113+KLP!G113+'KLP Bedriftspensjon AS'!G113+'KLP Skadeforsikring AS'!G113+'Landkreditt Forsikring'!G113+Inrs!G113+'Nordea Liv '!G113+'Oslo Pensjonsforsikring'!G113+'Protector Forsikring'!G113+'SHB Liv'!G113+'Sparebank 1'!G113+'Storebrand Livsforsikring'!G113+'Telenor Forsikring'!G113+'Tryg Forsikring'!G113+'WaterCircles F'!G113</f>
        <v>8847593.5349199995</v>
      </c>
      <c r="G113" s="23">
        <f t="shared" si="43"/>
        <v>108.3</v>
      </c>
      <c r="H113" s="237">
        <f t="shared" si="45"/>
        <v>4247168.1735300003</v>
      </c>
      <c r="I113" s="237">
        <f t="shared" si="46"/>
        <v>8851772.14219</v>
      </c>
      <c r="J113" s="23">
        <f t="shared" si="47"/>
        <v>108.4</v>
      </c>
    </row>
    <row r="114" spans="1:10" ht="15.75" customHeight="1" x14ac:dyDescent="0.2">
      <c r="A114" s="21" t="s">
        <v>26</v>
      </c>
      <c r="B114" s="234">
        <f>'Fremtind Livsforsikring'!B114+'Danica Pensjonsforsikring'!B114+'DNB Livsforsikring'!B114+'Eika Forsikring AS'!B114+'Frende Livsforsikring'!B114+'Frende Skadeforsikring'!B114+'Gjensidige Forsikring'!B114+'Gjensidige Pensjon'!B114+'Handelsbanken Liv'!B114+'If Skadeforsikring NUF'!B114+KLP!B114+'KLP Bedriftspensjon AS'!B114+'KLP Skadeforsikring AS'!B114+'Landkreditt Forsikring'!B114+Inrs!B114+'Nordea Liv '!B114+'Oslo Pensjonsforsikring'!B114+'Protector Forsikring'!B114+'SHB Liv'!B114+'Sparebank 1'!B114+'Storebrand Livsforsikring'!B114+'Telenor Forsikring'!B114+'Tryg Forsikring'!B114+'WaterCircles F'!B114</f>
        <v>21829.38607</v>
      </c>
      <c r="C114" s="234">
        <f>'Fremtind Livsforsikring'!C114+'Danica Pensjonsforsikring'!C114+'DNB Livsforsikring'!C114+'Eika Forsikring AS'!C114+'Frende Livsforsikring'!C114+'Frende Skadeforsikring'!C114+'Gjensidige Forsikring'!C114+'Gjensidige Pensjon'!C114+'Handelsbanken Liv'!C114+'If Skadeforsikring NUF'!C114+KLP!C114+'KLP Bedriftspensjon AS'!C114+'KLP Skadeforsikring AS'!C114+'Landkreditt Forsikring'!C114+Inrs!C114+'Nordea Liv '!C114+'Oslo Pensjonsforsikring'!C114+'Protector Forsikring'!C114+'SHB Liv'!C114+'Sparebank 1'!C114+'Storebrand Livsforsikring'!C114+'Telenor Forsikring'!C114+'Tryg Forsikring'!C114+'WaterCircles F'!C114</f>
        <v>319493.85936</v>
      </c>
      <c r="D114" s="23">
        <f t="shared" si="44"/>
        <v>999</v>
      </c>
      <c r="E114" s="44">
        <f>'Fremtind Livsforsikring'!F114+'Danica Pensjonsforsikring'!F114+'DNB Livsforsikring'!F114+'Eika Forsikring AS'!F114+'Frende Livsforsikring'!F114+'Frende Skadeforsikring'!F114+'Gjensidige Forsikring'!F114+'Gjensidige Pensjon'!F114+'Handelsbanken Liv'!F114+'If Skadeforsikring NUF'!F114+KLP!F114+'KLP Bedriftspensjon AS'!F114+'KLP Skadeforsikring AS'!F114+'Landkreditt Forsikring'!F114+Inrs!F114+'Nordea Liv '!F114+'Oslo Pensjonsforsikring'!F114+'Protector Forsikring'!F114+'SHB Liv'!F114+'Sparebank 1'!F114+'Storebrand Livsforsikring'!F114+'Telenor Forsikring'!F114+'Tryg Forsikring'!F114+'WaterCircles F'!F114</f>
        <v>27024.458269999999</v>
      </c>
      <c r="F114" s="44">
        <f>'Fremtind Livsforsikring'!G114+'Danica Pensjonsforsikring'!G114+'DNB Livsforsikring'!G114+'Eika Forsikring AS'!G114+'Frende Livsforsikring'!G114+'Frende Skadeforsikring'!G114+'Gjensidige Forsikring'!G114+'Gjensidige Pensjon'!G114+'Handelsbanken Liv'!G114+'If Skadeforsikring NUF'!G114+KLP!G114+'KLP Bedriftspensjon AS'!G114+'KLP Skadeforsikring AS'!G114+'Landkreditt Forsikring'!G114+Inrs!G114+'Nordea Liv '!G114+'Oslo Pensjonsforsikring'!G114+'Protector Forsikring'!G114+'SHB Liv'!G114+'Sparebank 1'!G114+'Storebrand Livsforsikring'!G114+'Telenor Forsikring'!G114+'Tryg Forsikring'!G114+'WaterCircles F'!G114</f>
        <v>68180.637000000002</v>
      </c>
      <c r="G114" s="23">
        <f t="shared" si="43"/>
        <v>152.30000000000001</v>
      </c>
      <c r="H114" s="237">
        <f t="shared" si="45"/>
        <v>48853.844339999996</v>
      </c>
      <c r="I114" s="237">
        <f t="shared" si="46"/>
        <v>387674.49635999999</v>
      </c>
      <c r="J114" s="23">
        <f t="shared" si="47"/>
        <v>693.5</v>
      </c>
    </row>
    <row r="115" spans="1:10" ht="15.75" customHeight="1" x14ac:dyDescent="0.2">
      <c r="A115" s="296" t="s">
        <v>15</v>
      </c>
      <c r="B115" s="44"/>
      <c r="C115" s="44"/>
      <c r="D115" s="27"/>
      <c r="E115" s="44"/>
      <c r="F115" s="44"/>
      <c r="G115" s="166"/>
      <c r="H115" s="237"/>
      <c r="I115" s="237"/>
      <c r="J115" s="23"/>
    </row>
    <row r="116" spans="1:10" ht="15.75" customHeight="1" x14ac:dyDescent="0.2">
      <c r="A116" s="21" t="s">
        <v>390</v>
      </c>
      <c r="B116" s="234">
        <f>'Fremtind Livsforsikring'!B116+'Danica Pensjonsforsikring'!B116+'DNB Livsforsikring'!B116+'Eika Forsikring AS'!B116+'Frende Livsforsikring'!B116+'Frende Skadeforsikring'!B116+'Gjensidige Forsikring'!B116+'Gjensidige Pensjon'!B116+'Handelsbanken Liv'!B116+'If Skadeforsikring NUF'!B116+KLP!B116+'KLP Bedriftspensjon AS'!B116+'KLP Skadeforsikring AS'!B116+'Landkreditt Forsikring'!B116+Inrs!B116+'Nordea Liv '!B116+'Oslo Pensjonsforsikring'!B116+'Protector Forsikring'!B116+'SHB Liv'!B116+'Sparebank 1'!B116+'Storebrand Livsforsikring'!B116+'Telenor Forsikring'!B116+'Tryg Forsikring'!B116+'WaterCircles F'!B116</f>
        <v>33584.701249999998</v>
      </c>
      <c r="C116" s="234">
        <f>'Fremtind Livsforsikring'!C116+'Danica Pensjonsforsikring'!C116+'DNB Livsforsikring'!C116+'Eika Forsikring AS'!C116+'Frende Livsforsikring'!C116+'Frende Skadeforsikring'!C116+'Gjensidige Forsikring'!C116+'Gjensidige Pensjon'!C116+'Handelsbanken Liv'!C116+'If Skadeforsikring NUF'!C116+KLP!C116+'KLP Bedriftspensjon AS'!C116+'KLP Skadeforsikring AS'!C116+'Landkreditt Forsikring'!C116+Inrs!C116+'Nordea Liv '!C116+'Oslo Pensjonsforsikring'!C116+'Protector Forsikring'!C116+'SHB Liv'!C116+'Sparebank 1'!C116+'Storebrand Livsforsikring'!C116+'Telenor Forsikring'!C116+'Tryg Forsikring'!C116+'WaterCircles F'!C116</f>
        <v>22119.327000000001</v>
      </c>
      <c r="D116" s="23">
        <f t="shared" si="44"/>
        <v>-34.1</v>
      </c>
      <c r="E116" s="44">
        <f>'Fremtind Livsforsikring'!F116+'Danica Pensjonsforsikring'!F116+'DNB Livsforsikring'!F116+'Eika Forsikring AS'!F116+'Frende Livsforsikring'!F116+'Frende Skadeforsikring'!F116+'Gjensidige Forsikring'!F116+'Gjensidige Pensjon'!F116+'Handelsbanken Liv'!F116+'If Skadeforsikring NUF'!F116+KLP!F116+'KLP Bedriftspensjon AS'!F116+'KLP Skadeforsikring AS'!F116+'Landkreditt Forsikring'!F116+Inrs!F116+'Nordea Liv '!F116+'Oslo Pensjonsforsikring'!F116+'Protector Forsikring'!F116+'SHB Liv'!F116+'Sparebank 1'!F116+'Storebrand Livsforsikring'!F116+'Telenor Forsikring'!F116+'Tryg Forsikring'!F116+'WaterCircles F'!F116</f>
        <v>933.62400000000002</v>
      </c>
      <c r="F116" s="44">
        <f>'Fremtind Livsforsikring'!G116+'Danica Pensjonsforsikring'!G116+'DNB Livsforsikring'!G116+'Eika Forsikring AS'!G116+'Frende Livsforsikring'!G116+'Frende Skadeforsikring'!G116+'Gjensidige Forsikring'!G116+'Gjensidige Pensjon'!G116+'Handelsbanken Liv'!G116+'If Skadeforsikring NUF'!G116+KLP!G116+'KLP Bedriftspensjon AS'!G116+'KLP Skadeforsikring AS'!G116+'Landkreditt Forsikring'!G116+Inrs!G116+'Nordea Liv '!G116+'Oslo Pensjonsforsikring'!G116+'Protector Forsikring'!G116+'SHB Liv'!G116+'Sparebank 1'!G116+'Storebrand Livsforsikring'!G116+'Telenor Forsikring'!G116+'Tryg Forsikring'!G116+'WaterCircles F'!G116</f>
        <v>3509.7950000000001</v>
      </c>
      <c r="G116" s="23">
        <f t="shared" ref="G116:G121" si="48">IF(E116=0, "    ---- ", IF(ABS(ROUND(100/E116*F116-100,1))&lt;999,ROUND(100/E116*F116-100,1),IF(ROUND(100/E116*F116-100,1)&gt;999,999,-999)))</f>
        <v>275.89999999999998</v>
      </c>
      <c r="H116" s="237">
        <f t="shared" si="45"/>
        <v>34518.325250000002</v>
      </c>
      <c r="I116" s="237">
        <f t="shared" si="46"/>
        <v>25629.122000000003</v>
      </c>
      <c r="J116" s="23">
        <f t="shared" si="47"/>
        <v>-25.8</v>
      </c>
    </row>
    <row r="117" spans="1:10" ht="15.75" customHeight="1" x14ac:dyDescent="0.2">
      <c r="A117" s="21" t="s">
        <v>391</v>
      </c>
      <c r="B117" s="234">
        <f>'Fremtind Livsforsikring'!B117+'Danica Pensjonsforsikring'!B117+'DNB Livsforsikring'!B117+'Eika Forsikring AS'!B117+'Frende Livsforsikring'!B117+'Frende Skadeforsikring'!B117+'Gjensidige Forsikring'!B117+'Gjensidige Pensjon'!B117+'Handelsbanken Liv'!B117+'If Skadeforsikring NUF'!B117+KLP!B117+'KLP Bedriftspensjon AS'!B117+'KLP Skadeforsikring AS'!B117+'Landkreditt Forsikring'!B117+Inrs!B117+'Nordea Liv '!B117+'Oslo Pensjonsforsikring'!B117+'Protector Forsikring'!B117+'SHB Liv'!B117+'Sparebank 1'!B117+'Storebrand Livsforsikring'!B117+'Telenor Forsikring'!B117+'Tryg Forsikring'!B117+'WaterCircles F'!B117</f>
        <v>0</v>
      </c>
      <c r="C117" s="234">
        <f>'Fremtind Livsforsikring'!C117+'Danica Pensjonsforsikring'!C117+'DNB Livsforsikring'!C117+'Eika Forsikring AS'!C117+'Frende Livsforsikring'!C117+'Frende Skadeforsikring'!C117+'Gjensidige Forsikring'!C117+'Gjensidige Pensjon'!C117+'Handelsbanken Liv'!C117+'If Skadeforsikring NUF'!C117+KLP!C117+'KLP Bedriftspensjon AS'!C117+'KLP Skadeforsikring AS'!C117+'Landkreditt Forsikring'!C117+Inrs!C117+'Nordea Liv '!C117+'Oslo Pensjonsforsikring'!C117+'Protector Forsikring'!C117+'SHB Liv'!C117+'Sparebank 1'!C117+'Storebrand Livsforsikring'!C117+'Telenor Forsikring'!C117+'Tryg Forsikring'!C117+'WaterCircles F'!C117</f>
        <v>0</v>
      </c>
      <c r="D117" s="23"/>
      <c r="E117" s="44">
        <f>'Fremtind Livsforsikring'!F117+'Danica Pensjonsforsikring'!F117+'DNB Livsforsikring'!F117+'Eika Forsikring AS'!F117+'Frende Livsforsikring'!F117+'Frende Skadeforsikring'!F117+'Gjensidige Forsikring'!F117+'Gjensidige Pensjon'!F117+'Handelsbanken Liv'!F117+'If Skadeforsikring NUF'!F117+KLP!F117+'KLP Bedriftspensjon AS'!F117+'KLP Skadeforsikring AS'!F117+'Landkreditt Forsikring'!F117+Inrs!F117+'Nordea Liv '!F117+'Oslo Pensjonsforsikring'!F117+'Protector Forsikring'!F117+'SHB Liv'!F117+'Sparebank 1'!F117+'Storebrand Livsforsikring'!F117+'Telenor Forsikring'!F117+'Tryg Forsikring'!F117+'WaterCircles F'!F117</f>
        <v>544434.71598999994</v>
      </c>
      <c r="F117" s="44">
        <f>'Fremtind Livsforsikring'!G117+'Danica Pensjonsforsikring'!G117+'DNB Livsforsikring'!G117+'Eika Forsikring AS'!G117+'Frende Livsforsikring'!G117+'Frende Skadeforsikring'!G117+'Gjensidige Forsikring'!G117+'Gjensidige Pensjon'!G117+'Handelsbanken Liv'!G117+'If Skadeforsikring NUF'!G117+KLP!G117+'KLP Bedriftspensjon AS'!G117+'KLP Skadeforsikring AS'!G117+'Landkreditt Forsikring'!G117+Inrs!G117+'Nordea Liv '!G117+'Oslo Pensjonsforsikring'!G117+'Protector Forsikring'!G117+'SHB Liv'!G117+'Sparebank 1'!G117+'Storebrand Livsforsikring'!G117+'Telenor Forsikring'!G117+'Tryg Forsikring'!G117+'WaterCircles F'!G117</f>
        <v>820942.49580999999</v>
      </c>
      <c r="G117" s="23">
        <f t="shared" si="48"/>
        <v>50.8</v>
      </c>
      <c r="H117" s="237">
        <f t="shared" si="45"/>
        <v>544434.71598999994</v>
      </c>
      <c r="I117" s="237">
        <f t="shared" si="46"/>
        <v>820942.49580999999</v>
      </c>
      <c r="J117" s="23">
        <f t="shared" si="47"/>
        <v>50.8</v>
      </c>
    </row>
    <row r="118" spans="1:10" ht="15.75" customHeight="1" x14ac:dyDescent="0.2">
      <c r="A118" s="21" t="s">
        <v>389</v>
      </c>
      <c r="B118" s="234">
        <f>'Fremtind Livsforsikring'!B118+'Danica Pensjonsforsikring'!B118+'DNB Livsforsikring'!B118+'Eika Forsikring AS'!B118+'Frende Livsforsikring'!B118+'Frende Skadeforsikring'!B118+'Gjensidige Forsikring'!B118+'Gjensidige Pensjon'!B118+'Handelsbanken Liv'!B118+'If Skadeforsikring NUF'!B118+KLP!B118+'KLP Bedriftspensjon AS'!B118+'KLP Skadeforsikring AS'!B118+'Landkreditt Forsikring'!B118+Inrs!B118+'Nordea Liv '!B118+'Oslo Pensjonsforsikring'!B118+'Protector Forsikring'!B118+'SHB Liv'!B118+'Sparebank 1'!B118+'Storebrand Livsforsikring'!B118+'Telenor Forsikring'!B118+'Tryg Forsikring'!B118+'WaterCircles F'!B118</f>
        <v>0</v>
      </c>
      <c r="C118" s="234">
        <f>'Fremtind Livsforsikring'!C118+'Danica Pensjonsforsikring'!C118+'DNB Livsforsikring'!C118+'Eika Forsikring AS'!C118+'Frende Livsforsikring'!C118+'Frende Skadeforsikring'!C118+'Gjensidige Forsikring'!C118+'Gjensidige Pensjon'!C118+'Handelsbanken Liv'!C118+'If Skadeforsikring NUF'!C118+KLP!C118+'KLP Bedriftspensjon AS'!C118+'KLP Skadeforsikring AS'!C118+'Landkreditt Forsikring'!C118+Inrs!C118+'Nordea Liv '!C118+'Oslo Pensjonsforsikring'!C118+'Protector Forsikring'!C118+'SHB Liv'!C118+'Sparebank 1'!C118+'Storebrand Livsforsikring'!C118+'Telenor Forsikring'!C118+'Tryg Forsikring'!C118+'WaterCircles F'!C118</f>
        <v>0</v>
      </c>
      <c r="D118" s="23"/>
      <c r="E118" s="44">
        <f>'Fremtind Livsforsikring'!F118+'Danica Pensjonsforsikring'!F118+'DNB Livsforsikring'!F118+'Eika Forsikring AS'!F118+'Frende Livsforsikring'!F118+'Frende Skadeforsikring'!F118+'Gjensidige Forsikring'!F118+'Gjensidige Pensjon'!F118+'Handelsbanken Liv'!F118+'If Skadeforsikring NUF'!F118+KLP!F118+'KLP Bedriftspensjon AS'!F118+'KLP Skadeforsikring AS'!F118+'Landkreditt Forsikring'!F118+Inrs!F118+'Nordea Liv '!F118+'Oslo Pensjonsforsikring'!F118+'Protector Forsikring'!F118+'SHB Liv'!F118+'Sparebank 1'!F118+'Storebrand Livsforsikring'!F118+'Telenor Forsikring'!F118+'Tryg Forsikring'!F118+'WaterCircles F'!F118</f>
        <v>0</v>
      </c>
      <c r="F118" s="44">
        <f>'Fremtind Livsforsikring'!G118+'Danica Pensjonsforsikring'!G118+'DNB Livsforsikring'!G118+'Eika Forsikring AS'!G118+'Frende Livsforsikring'!G118+'Frende Skadeforsikring'!G118+'Gjensidige Forsikring'!G118+'Gjensidige Pensjon'!G118+'Handelsbanken Liv'!G118+'If Skadeforsikring NUF'!G118+KLP!G118+'KLP Bedriftspensjon AS'!G118+'KLP Skadeforsikring AS'!G118+'Landkreditt Forsikring'!G118+Inrs!G118+'Nordea Liv '!G118+'Oslo Pensjonsforsikring'!G118+'Protector Forsikring'!G118+'SHB Liv'!G118+'Sparebank 1'!G118+'Storebrand Livsforsikring'!G118+'Telenor Forsikring'!G118+'Tryg Forsikring'!G118+'WaterCircles F'!G118</f>
        <v>0</v>
      </c>
      <c r="G118" s="23"/>
      <c r="H118" s="237">
        <f t="shared" si="45"/>
        <v>0</v>
      </c>
      <c r="I118" s="237">
        <f t="shared" si="46"/>
        <v>0</v>
      </c>
      <c r="J118" s="23"/>
    </row>
    <row r="119" spans="1:10" s="43" customFormat="1" ht="15.75" customHeight="1" x14ac:dyDescent="0.2">
      <c r="A119" s="13" t="s">
        <v>370</v>
      </c>
      <c r="B119" s="329">
        <f>'Fremtind Livsforsikring'!B119+'Danica Pensjonsforsikring'!B119+'DNB Livsforsikring'!B119+'Eika Forsikring AS'!B119+'Frende Livsforsikring'!B119+'Frende Skadeforsikring'!B119+'Gjensidige Forsikring'!B119+'Gjensidige Pensjon'!B119+'Handelsbanken Liv'!B119+'If Skadeforsikring NUF'!B119+KLP!B119+'KLP Bedriftspensjon AS'!B119+'KLP Skadeforsikring AS'!B119+'Landkreditt Forsikring'!B119+Inrs!B119+'Nordea Liv '!B119+'Oslo Pensjonsforsikring'!B119+'Protector Forsikring'!B119+'SHB Liv'!B119+'Sparebank 1'!B119+'Storebrand Livsforsikring'!B119+'Telenor Forsikring'!B119+'Tryg Forsikring'!B119+'WaterCircles F'!B119</f>
        <v>186074.15502999991</v>
      </c>
      <c r="C119" s="329">
        <f>'Fremtind Livsforsikring'!C119+'Danica Pensjonsforsikring'!C119+'DNB Livsforsikring'!C119+'Eika Forsikring AS'!C119+'Frende Livsforsikring'!C119+'Frende Skadeforsikring'!C119+'Gjensidige Forsikring'!C119+'Gjensidige Pensjon'!C119+'Handelsbanken Liv'!C119+'If Skadeforsikring NUF'!C119+KLP!C119+'KLP Bedriftspensjon AS'!C119+'KLP Skadeforsikring AS'!C119+'Landkreditt Forsikring'!C119+Inrs!C119+'Nordea Liv '!C119+'Oslo Pensjonsforsikring'!C119+'Protector Forsikring'!C119+'SHB Liv'!C119+'Sparebank 1'!C119+'Storebrand Livsforsikring'!C119+'Telenor Forsikring'!C119+'Tryg Forsikring'!C119+'WaterCircles F'!C119</f>
        <v>490320.78743000003</v>
      </c>
      <c r="D119" s="24">
        <f t="shared" si="44"/>
        <v>163.5</v>
      </c>
      <c r="E119" s="236">
        <f>'Fremtind Livsforsikring'!F119+'Danica Pensjonsforsikring'!F119+'DNB Livsforsikring'!F119+'Eika Forsikring AS'!F119+'Frende Livsforsikring'!F119+'Frende Skadeforsikring'!F119+'Gjensidige Forsikring'!F119+'Gjensidige Pensjon'!F119+'Handelsbanken Liv'!F119+'If Skadeforsikring NUF'!F119+KLP!F119+'KLP Bedriftspensjon AS'!F119+'KLP Skadeforsikring AS'!F119+'Landkreditt Forsikring'!F119+Inrs!F119+'Nordea Liv '!F119+'Oslo Pensjonsforsikring'!F119+'Protector Forsikring'!F119+'SHB Liv'!F119+'Sparebank 1'!F119+'Storebrand Livsforsikring'!F119+'Telenor Forsikring'!F119+'Tryg Forsikring'!F119+'WaterCircles F'!F119</f>
        <v>4369085.9826800004</v>
      </c>
      <c r="F119" s="236">
        <f>'Fremtind Livsforsikring'!G119+'Danica Pensjonsforsikring'!G119+'DNB Livsforsikring'!G119+'Eika Forsikring AS'!G119+'Frende Livsforsikring'!G119+'Frende Skadeforsikring'!G119+'Gjensidige Forsikring'!G119+'Gjensidige Pensjon'!G119+'Handelsbanken Liv'!G119+'If Skadeforsikring NUF'!G119+KLP!G119+'KLP Bedriftspensjon AS'!G119+'KLP Skadeforsikring AS'!G119+'Landkreditt Forsikring'!G119+Inrs!G119+'Nordea Liv '!G119+'Oslo Pensjonsforsikring'!G119+'Protector Forsikring'!G119+'SHB Liv'!G119+'Sparebank 1'!G119+'Storebrand Livsforsikring'!G119+'Telenor Forsikring'!G119+'Tryg Forsikring'!G119+'WaterCircles F'!G119</f>
        <v>8634899.7007600013</v>
      </c>
      <c r="G119" s="23">
        <f t="shared" si="48"/>
        <v>97.6</v>
      </c>
      <c r="H119" s="329">
        <f t="shared" si="45"/>
        <v>4555160.1377100004</v>
      </c>
      <c r="I119" s="329">
        <f t="shared" si="46"/>
        <v>9125220.4881900009</v>
      </c>
      <c r="J119" s="24">
        <f t="shared" si="47"/>
        <v>100.3</v>
      </c>
    </row>
    <row r="120" spans="1:10" ht="15.75" customHeight="1" x14ac:dyDescent="0.2">
      <c r="A120" s="21" t="s">
        <v>9</v>
      </c>
      <c r="B120" s="237">
        <f>'Fremtind Livsforsikring'!B120+'Danica Pensjonsforsikring'!B120+'DNB Livsforsikring'!B120+'Eika Forsikring AS'!B120+'Frende Livsforsikring'!B120+'Frende Skadeforsikring'!B120+'Gjensidige Forsikring'!B120+'Gjensidige Pensjon'!B120+'Handelsbanken Liv'!B120+'If Skadeforsikring NUF'!B120+KLP!B120+'KLP Bedriftspensjon AS'!B120+'KLP Skadeforsikring AS'!B120+'Landkreditt Forsikring'!B120+Inrs!B120+'Nordea Liv '!B120+'Oslo Pensjonsforsikring'!B120+'Protector Forsikring'!B120+'SHB Liv'!B120+'Sparebank 1'!B120+'Storebrand Livsforsikring'!B120+'Telenor Forsikring'!B120+'Tryg Forsikring'!B120+'WaterCircles F'!B120</f>
        <v>110884.5804799999</v>
      </c>
      <c r="C120" s="237">
        <f>'Fremtind Livsforsikring'!C120+'Danica Pensjonsforsikring'!C120+'DNB Livsforsikring'!C120+'Eika Forsikring AS'!C120+'Frende Livsforsikring'!C120+'Frende Skadeforsikring'!C120+'Gjensidige Forsikring'!C120+'Gjensidige Pensjon'!C120+'Handelsbanken Liv'!C120+'If Skadeforsikring NUF'!C120+KLP!C120+'KLP Bedriftspensjon AS'!C120+'KLP Skadeforsikring AS'!C120+'Landkreditt Forsikring'!C120+Inrs!C120+'Nordea Liv '!C120+'Oslo Pensjonsforsikring'!C120+'Protector Forsikring'!C120+'SHB Liv'!C120+'Sparebank 1'!C120+'Storebrand Livsforsikring'!C120+'Telenor Forsikring'!C120+'Tryg Forsikring'!C120+'WaterCircles F'!C120</f>
        <v>436275.88500000001</v>
      </c>
      <c r="D120" s="23">
        <f t="shared" si="44"/>
        <v>293.5</v>
      </c>
      <c r="E120" s="44">
        <f>'Fremtind Livsforsikring'!F120+'Danica Pensjonsforsikring'!F120+'DNB Livsforsikring'!F120+'Eika Forsikring AS'!F120+'Frende Livsforsikring'!F120+'Frende Skadeforsikring'!F120+'Gjensidige Forsikring'!F120+'Gjensidige Pensjon'!F120+'Handelsbanken Liv'!F120+'If Skadeforsikring NUF'!F120+KLP!F120+'KLP Bedriftspensjon AS'!F120+'KLP Skadeforsikring AS'!F120+'Landkreditt Forsikring'!F120+Inrs!F120+'Nordea Liv '!F120+'Oslo Pensjonsforsikring'!F120+'Protector Forsikring'!F120+'SHB Liv'!F120+'Sparebank 1'!F120+'Storebrand Livsforsikring'!F120+'Telenor Forsikring'!F120+'Tryg Forsikring'!F120+'WaterCircles F'!F120</f>
        <v>0</v>
      </c>
      <c r="F120" s="44">
        <f>'Fremtind Livsforsikring'!G120+'Danica Pensjonsforsikring'!G120+'DNB Livsforsikring'!G120+'Eika Forsikring AS'!G120+'Frende Livsforsikring'!G120+'Frende Skadeforsikring'!G120+'Gjensidige Forsikring'!G120+'Gjensidige Pensjon'!G120+'Handelsbanken Liv'!G120+'If Skadeforsikring NUF'!G120+KLP!G120+'KLP Bedriftspensjon AS'!G120+'KLP Skadeforsikring AS'!G120+'Landkreditt Forsikring'!G120+Inrs!G120+'Nordea Liv '!G120+'Oslo Pensjonsforsikring'!G120+'Protector Forsikring'!G120+'SHB Liv'!G120+'Sparebank 1'!G120+'Storebrand Livsforsikring'!G120+'Telenor Forsikring'!G120+'Tryg Forsikring'!G120+'WaterCircles F'!G120</f>
        <v>0</v>
      </c>
      <c r="G120" s="23"/>
      <c r="H120" s="237">
        <f t="shared" si="45"/>
        <v>110884.5804799999</v>
      </c>
      <c r="I120" s="237">
        <f t="shared" si="46"/>
        <v>436275.88500000001</v>
      </c>
      <c r="J120" s="23">
        <f t="shared" si="47"/>
        <v>293.5</v>
      </c>
    </row>
    <row r="121" spans="1:10" ht="15.75" customHeight="1" x14ac:dyDescent="0.2">
      <c r="A121" s="21" t="s">
        <v>10</v>
      </c>
      <c r="B121" s="237">
        <f>'Fremtind Livsforsikring'!B121+'Danica Pensjonsforsikring'!B121+'DNB Livsforsikring'!B121+'Eika Forsikring AS'!B121+'Frende Livsforsikring'!B121+'Frende Skadeforsikring'!B121+'Gjensidige Forsikring'!B121+'Gjensidige Pensjon'!B121+'Handelsbanken Liv'!B121+'If Skadeforsikring NUF'!B121+KLP!B121+'KLP Bedriftspensjon AS'!B121+'KLP Skadeforsikring AS'!B121+'Landkreditt Forsikring'!B121+Inrs!B121+'Nordea Liv '!B121+'Oslo Pensjonsforsikring'!B121+'Protector Forsikring'!B121+'SHB Liv'!B121+'Sparebank 1'!B121+'Storebrand Livsforsikring'!B121+'Telenor Forsikring'!B121+'Tryg Forsikring'!B121+'WaterCircles F'!B121</f>
        <v>9439.84555</v>
      </c>
      <c r="C121" s="237">
        <f>'Fremtind Livsforsikring'!C121+'Danica Pensjonsforsikring'!C121+'DNB Livsforsikring'!C121+'Eika Forsikring AS'!C121+'Frende Livsforsikring'!C121+'Frende Skadeforsikring'!C121+'Gjensidige Forsikring'!C121+'Gjensidige Pensjon'!C121+'Handelsbanken Liv'!C121+'If Skadeforsikring NUF'!C121+KLP!C121+'KLP Bedriftspensjon AS'!C121+'KLP Skadeforsikring AS'!C121+'Landkreditt Forsikring'!C121+Inrs!C121+'Nordea Liv '!C121+'Oslo Pensjonsforsikring'!C121+'Protector Forsikring'!C121+'SHB Liv'!C121+'Sparebank 1'!C121+'Storebrand Livsforsikring'!C121+'Telenor Forsikring'!C121+'Tryg Forsikring'!C121+'WaterCircles F'!C121</f>
        <v>2934.97343</v>
      </c>
      <c r="D121" s="23">
        <f t="shared" si="44"/>
        <v>-68.900000000000006</v>
      </c>
      <c r="E121" s="44">
        <f>'Fremtind Livsforsikring'!F121+'Danica Pensjonsforsikring'!F121+'DNB Livsforsikring'!F121+'Eika Forsikring AS'!F121+'Frende Livsforsikring'!F121+'Frende Skadeforsikring'!F121+'Gjensidige Forsikring'!F121+'Gjensidige Pensjon'!F121+'Handelsbanken Liv'!F121+'If Skadeforsikring NUF'!F121+KLP!F121+'KLP Bedriftspensjon AS'!F121+'KLP Skadeforsikring AS'!F121+'Landkreditt Forsikring'!F121+Inrs!F121+'Nordea Liv '!F121+'Oslo Pensjonsforsikring'!F121+'Protector Forsikring'!F121+'SHB Liv'!F121+'Sparebank 1'!F121+'Storebrand Livsforsikring'!F121+'Telenor Forsikring'!F121+'Tryg Forsikring'!F121+'WaterCircles F'!F121</f>
        <v>4369085.9826800004</v>
      </c>
      <c r="F121" s="44">
        <f>'Fremtind Livsforsikring'!G121+'Danica Pensjonsforsikring'!G121+'DNB Livsforsikring'!G121+'Eika Forsikring AS'!G121+'Frende Livsforsikring'!G121+'Frende Skadeforsikring'!G121+'Gjensidige Forsikring'!G121+'Gjensidige Pensjon'!G121+'Handelsbanken Liv'!G121+'If Skadeforsikring NUF'!G121+KLP!G121+'KLP Bedriftspensjon AS'!G121+'KLP Skadeforsikring AS'!G121+'Landkreditt Forsikring'!G121+Inrs!G121+'Nordea Liv '!G121+'Oslo Pensjonsforsikring'!G121+'Protector Forsikring'!G121+'SHB Liv'!G121+'Sparebank 1'!G121+'Storebrand Livsforsikring'!G121+'Telenor Forsikring'!G121+'Tryg Forsikring'!G121+'WaterCircles F'!G121</f>
        <v>8634899.7007600013</v>
      </c>
      <c r="G121" s="23">
        <f t="shared" si="48"/>
        <v>97.6</v>
      </c>
      <c r="H121" s="237">
        <f t="shared" si="45"/>
        <v>4378525.8282300001</v>
      </c>
      <c r="I121" s="237">
        <f t="shared" si="46"/>
        <v>8637834.6741900016</v>
      </c>
      <c r="J121" s="23">
        <f t="shared" si="47"/>
        <v>97.3</v>
      </c>
    </row>
    <row r="122" spans="1:10" ht="15.75" customHeight="1" x14ac:dyDescent="0.2">
      <c r="A122" s="21" t="s">
        <v>26</v>
      </c>
      <c r="B122" s="237">
        <f>'Fremtind Livsforsikring'!B122+'Danica Pensjonsforsikring'!B122+'DNB Livsforsikring'!B122+'Eika Forsikring AS'!B122+'Frende Livsforsikring'!B122+'Frende Skadeforsikring'!B122+'Gjensidige Forsikring'!B122+'Gjensidige Pensjon'!B122+'Handelsbanken Liv'!B122+'If Skadeforsikring NUF'!B122+KLP!B122+'KLP Bedriftspensjon AS'!B122+'KLP Skadeforsikring AS'!B122+'Landkreditt Forsikring'!B122+Inrs!B122+'Nordea Liv '!B122+'Oslo Pensjonsforsikring'!B122+'Protector Forsikring'!B122+'SHB Liv'!B122+'Sparebank 1'!B122+'Storebrand Livsforsikring'!B122+'Telenor Forsikring'!B122+'Tryg Forsikring'!B122+'WaterCircles F'!B122</f>
        <v>65749.729000000007</v>
      </c>
      <c r="C122" s="237">
        <f>'Fremtind Livsforsikring'!C122+'Danica Pensjonsforsikring'!C122+'DNB Livsforsikring'!C122+'Eika Forsikring AS'!C122+'Frende Livsforsikring'!C122+'Frende Skadeforsikring'!C122+'Gjensidige Forsikring'!C122+'Gjensidige Pensjon'!C122+'Handelsbanken Liv'!C122+'If Skadeforsikring NUF'!C122+KLP!C122+'KLP Bedriftspensjon AS'!C122+'KLP Skadeforsikring AS'!C122+'Landkreditt Forsikring'!C122+Inrs!C122+'Nordea Liv '!C122+'Oslo Pensjonsforsikring'!C122+'Protector Forsikring'!C122+'SHB Liv'!C122+'Sparebank 1'!C122+'Storebrand Livsforsikring'!C122+'Telenor Forsikring'!C122+'Tryg Forsikring'!C122+'WaterCircles F'!C122</f>
        <v>51109.928999999996</v>
      </c>
      <c r="D122" s="23">
        <f t="shared" si="44"/>
        <v>-22.3</v>
      </c>
      <c r="E122" s="44">
        <f>'Fremtind Livsforsikring'!F122+'Danica Pensjonsforsikring'!F122+'DNB Livsforsikring'!F122+'Eika Forsikring AS'!F122+'Frende Livsforsikring'!F122+'Frende Skadeforsikring'!F122+'Gjensidige Forsikring'!F122+'Gjensidige Pensjon'!F122+'Handelsbanken Liv'!F122+'If Skadeforsikring NUF'!F122+KLP!F122+'KLP Bedriftspensjon AS'!F122+'KLP Skadeforsikring AS'!F122+'Landkreditt Forsikring'!F122+Inrs!F122+'Nordea Liv '!F122+'Oslo Pensjonsforsikring'!F122+'Protector Forsikring'!F122+'SHB Liv'!F122+'Sparebank 1'!F122+'Storebrand Livsforsikring'!F122+'Telenor Forsikring'!F122+'Tryg Forsikring'!F122+'WaterCircles F'!F122</f>
        <v>0</v>
      </c>
      <c r="F122" s="44">
        <f>'Fremtind Livsforsikring'!G122+'Danica Pensjonsforsikring'!G122+'DNB Livsforsikring'!G122+'Eika Forsikring AS'!G122+'Frende Livsforsikring'!G122+'Frende Skadeforsikring'!G122+'Gjensidige Forsikring'!G122+'Gjensidige Pensjon'!G122+'Handelsbanken Liv'!G122+'If Skadeforsikring NUF'!G122+KLP!G122+'KLP Bedriftspensjon AS'!G122+'KLP Skadeforsikring AS'!G122+'Landkreditt Forsikring'!G122+Inrs!G122+'Nordea Liv '!G122+'Oslo Pensjonsforsikring'!G122+'Protector Forsikring'!G122+'SHB Liv'!G122+'Sparebank 1'!G122+'Storebrand Livsforsikring'!G122+'Telenor Forsikring'!G122+'Tryg Forsikring'!G122+'WaterCircles F'!G122</f>
        <v>0</v>
      </c>
      <c r="G122" s="23"/>
      <c r="H122" s="237">
        <f t="shared" si="45"/>
        <v>65749.729000000007</v>
      </c>
      <c r="I122" s="237">
        <f t="shared" si="46"/>
        <v>51109.928999999996</v>
      </c>
      <c r="J122" s="23">
        <f t="shared" si="47"/>
        <v>-22.3</v>
      </c>
    </row>
    <row r="123" spans="1:10" ht="15.75" customHeight="1" x14ac:dyDescent="0.2">
      <c r="A123" s="296" t="s">
        <v>14</v>
      </c>
      <c r="B123" s="44"/>
      <c r="C123" s="44"/>
      <c r="D123" s="27"/>
      <c r="E123" s="44"/>
      <c r="F123" s="44"/>
      <c r="G123" s="166"/>
      <c r="H123" s="237"/>
      <c r="I123" s="237"/>
      <c r="J123" s="23"/>
    </row>
    <row r="124" spans="1:10" ht="15.75" customHeight="1" x14ac:dyDescent="0.2">
      <c r="A124" s="21" t="s">
        <v>387</v>
      </c>
      <c r="B124" s="237">
        <f>'Fremtind Livsforsikring'!B124+'Danica Pensjonsforsikring'!B124+'DNB Livsforsikring'!B124+'Eika Forsikring AS'!B124+'Frende Livsforsikring'!B124+'Frende Skadeforsikring'!B124+'Gjensidige Forsikring'!B124+'Gjensidige Pensjon'!B124+'Handelsbanken Liv'!B124+'If Skadeforsikring NUF'!B124+KLP!B124+'KLP Bedriftspensjon AS'!B124+'KLP Skadeforsikring AS'!B124+'Landkreditt Forsikring'!B124+Inrs!B124+'Nordea Liv '!B124+'Oslo Pensjonsforsikring'!B124+'Protector Forsikring'!B124+'SHB Liv'!B124+'Sparebank 1'!B124+'Storebrand Livsforsikring'!B124+'Telenor Forsikring'!B124+'Tryg Forsikring'!B124+'WaterCircles F'!B124</f>
        <v>17248.031999999999</v>
      </c>
      <c r="C124" s="237">
        <f>'Fremtind Livsforsikring'!C124+'Danica Pensjonsforsikring'!C124+'DNB Livsforsikring'!C124+'Eika Forsikring AS'!C124+'Frende Livsforsikring'!C124+'Frende Skadeforsikring'!C124+'Gjensidige Forsikring'!C124+'Gjensidige Pensjon'!C124+'Handelsbanken Liv'!C124+'If Skadeforsikring NUF'!C124+KLP!C124+'KLP Bedriftspensjon AS'!C124+'KLP Skadeforsikring AS'!C124+'Landkreditt Forsikring'!C124+Inrs!C124+'Nordea Liv '!C124+'Oslo Pensjonsforsikring'!C124+'Protector Forsikring'!C124+'SHB Liv'!C124+'Sparebank 1'!C124+'Storebrand Livsforsikring'!C124+'Telenor Forsikring'!C124+'Tryg Forsikring'!C124+'WaterCircles F'!C124</f>
        <v>16084.462</v>
      </c>
      <c r="D124" s="23">
        <f t="shared" si="44"/>
        <v>-6.7</v>
      </c>
      <c r="E124" s="44">
        <f>'Fremtind Livsforsikring'!F124+'Danica Pensjonsforsikring'!F124+'DNB Livsforsikring'!F124+'Eika Forsikring AS'!F124+'Frende Livsforsikring'!F124+'Frende Skadeforsikring'!F124+'Gjensidige Forsikring'!F124+'Gjensidige Pensjon'!F124+'Handelsbanken Liv'!F124+'If Skadeforsikring NUF'!F124+KLP!F124+'KLP Bedriftspensjon AS'!F124+'KLP Skadeforsikring AS'!F124+'Landkreditt Forsikring'!F124+Inrs!F124+'Nordea Liv '!F124+'Oslo Pensjonsforsikring'!F124+'Protector Forsikring'!F124+'SHB Liv'!F124+'Sparebank 1'!F124+'Storebrand Livsforsikring'!F124+'Telenor Forsikring'!F124+'Tryg Forsikring'!F124+'WaterCircles F'!F124</f>
        <v>3302.971</v>
      </c>
      <c r="F124" s="44">
        <f>'Fremtind Livsforsikring'!G124+'Danica Pensjonsforsikring'!G124+'DNB Livsforsikring'!G124+'Eika Forsikring AS'!G124+'Frende Livsforsikring'!G124+'Frende Skadeforsikring'!G124+'Gjensidige Forsikring'!G124+'Gjensidige Pensjon'!G124+'Handelsbanken Liv'!G124+'If Skadeforsikring NUF'!G124+KLP!G124+'KLP Bedriftspensjon AS'!G124+'KLP Skadeforsikring AS'!G124+'Landkreditt Forsikring'!G124+Inrs!G124+'Nordea Liv '!G124+'Oslo Pensjonsforsikring'!G124+'Protector Forsikring'!G124+'SHB Liv'!G124+'Sparebank 1'!G124+'Storebrand Livsforsikring'!G124+'Telenor Forsikring'!G124+'Tryg Forsikring'!G124+'WaterCircles F'!G124</f>
        <v>2174.5</v>
      </c>
      <c r="G124" s="23">
        <f t="shared" ref="G124:G125" si="49">IF(E124=0, "    ---- ", IF(ABS(ROUND(100/E124*F124-100,1))&lt;999,ROUND(100/E124*F124-100,1),IF(ROUND(100/E124*F124-100,1)&gt;999,999,-999)))</f>
        <v>-34.200000000000003</v>
      </c>
      <c r="H124" s="237">
        <f t="shared" si="45"/>
        <v>20551.003000000001</v>
      </c>
      <c r="I124" s="237">
        <f t="shared" si="46"/>
        <v>18258.962</v>
      </c>
      <c r="J124" s="23">
        <f t="shared" si="47"/>
        <v>-11.2</v>
      </c>
    </row>
    <row r="125" spans="1:10" ht="15.75" customHeight="1" x14ac:dyDescent="0.2">
      <c r="A125" s="21" t="s">
        <v>388</v>
      </c>
      <c r="B125" s="237"/>
      <c r="C125" s="237">
        <f>'Fremtind Livsforsikring'!C125+'Danica Pensjonsforsikring'!C125+'DNB Livsforsikring'!C125+'Eika Forsikring AS'!C125+'Frende Livsforsikring'!C125+'Frende Skadeforsikring'!C125+'Gjensidige Forsikring'!C125+'Gjensidige Pensjon'!C125+'Handelsbanken Liv'!C125+'If Skadeforsikring NUF'!C125+KLP!C125+'KLP Bedriftspensjon AS'!C125+'KLP Skadeforsikring AS'!C125+'Landkreditt Forsikring'!C125+Inrs!C125+'Nordea Liv '!C125+'Oslo Pensjonsforsikring'!C125+'Protector Forsikring'!C125+'SHB Liv'!C125+'Sparebank 1'!C125+'Storebrand Livsforsikring'!C125+'Telenor Forsikring'!C125+'Tryg Forsikring'!C125+'WaterCircles F'!C125</f>
        <v>16.527999999999999</v>
      </c>
      <c r="D125" s="23" t="str">
        <f t="shared" si="44"/>
        <v xml:space="preserve">    ---- </v>
      </c>
      <c r="E125" s="44">
        <f>'Fremtind Livsforsikring'!F125+'Danica Pensjonsforsikring'!F125+'DNB Livsforsikring'!F125+'Eika Forsikring AS'!F125+'Frende Livsforsikring'!F125+'Frende Skadeforsikring'!F125+'Gjensidige Forsikring'!F125+'Gjensidige Pensjon'!F125+'Handelsbanken Liv'!F125+'If Skadeforsikring NUF'!F125+KLP!F125+'KLP Bedriftspensjon AS'!F125+'KLP Skadeforsikring AS'!F125+'Landkreditt Forsikring'!F125+Inrs!F125+'Nordea Liv '!F125+'Oslo Pensjonsforsikring'!F125+'Protector Forsikring'!F125+'SHB Liv'!F125+'Sparebank 1'!F125+'Storebrand Livsforsikring'!F125+'Telenor Forsikring'!F125+'Tryg Forsikring'!F125+'WaterCircles F'!F125</f>
        <v>497506.69942999998</v>
      </c>
      <c r="F125" s="44">
        <f>'Fremtind Livsforsikring'!G125+'Danica Pensjonsforsikring'!G125+'DNB Livsforsikring'!G125+'Eika Forsikring AS'!G125+'Frende Livsforsikring'!G125+'Frende Skadeforsikring'!G125+'Gjensidige Forsikring'!G125+'Gjensidige Pensjon'!G125+'Handelsbanken Liv'!G125+'If Skadeforsikring NUF'!G125+KLP!G125+'KLP Bedriftspensjon AS'!G125+'KLP Skadeforsikring AS'!G125+'Landkreditt Forsikring'!G125+Inrs!G125+'Nordea Liv '!G125+'Oslo Pensjonsforsikring'!G125+'Protector Forsikring'!G125+'SHB Liv'!G125+'Sparebank 1'!G125+'Storebrand Livsforsikring'!G125+'Telenor Forsikring'!G125+'Tryg Forsikring'!G125+'WaterCircles F'!G125</f>
        <v>820346.15611999994</v>
      </c>
      <c r="G125" s="23">
        <f t="shared" si="49"/>
        <v>64.900000000000006</v>
      </c>
      <c r="H125" s="237">
        <f t="shared" si="45"/>
        <v>497506.69942999998</v>
      </c>
      <c r="I125" s="237">
        <f t="shared" si="46"/>
        <v>820362.68411999999</v>
      </c>
      <c r="J125" s="23">
        <f t="shared" si="47"/>
        <v>64.900000000000006</v>
      </c>
    </row>
    <row r="126" spans="1:10" ht="15.75" customHeight="1" x14ac:dyDescent="0.2">
      <c r="A126" s="10" t="s">
        <v>389</v>
      </c>
      <c r="B126" s="238">
        <f>'Fremtind Livsforsikring'!B126+'Danica Pensjonsforsikring'!B126+'DNB Livsforsikring'!B126+'Eika Forsikring AS'!B126+'Frende Livsforsikring'!B126+'Frende Skadeforsikring'!B126+'Gjensidige Forsikring'!B126+'Gjensidige Pensjon'!B126+'Handelsbanken Liv'!B126+'If Skadeforsikring NUF'!B126+KLP!B126+'KLP Bedriftspensjon AS'!B126+'KLP Skadeforsikring AS'!B126+'Landkreditt Forsikring'!B126+Inrs!B126+'Nordea Liv '!B126+'Oslo Pensjonsforsikring'!B126+'Protector Forsikring'!B126+'SHB Liv'!B126+'Sparebank 1'!B126+'Storebrand Livsforsikring'!B126+'Telenor Forsikring'!B126+'Tryg Forsikring'!B126+'WaterCircles F'!B126</f>
        <v>522.41161999999997</v>
      </c>
      <c r="C126" s="239">
        <f>'Fremtind Livsforsikring'!C126+'Danica Pensjonsforsikring'!C126+'DNB Livsforsikring'!C126+'Eika Forsikring AS'!C126+'Frende Livsforsikring'!C126+'Frende Skadeforsikring'!C126+'Gjensidige Forsikring'!C126+'Gjensidige Pensjon'!C126+'Handelsbanken Liv'!C126+'If Skadeforsikring NUF'!C126+KLP!C126+'KLP Bedriftspensjon AS'!C126+'KLP Skadeforsikring AS'!C126+'Landkreditt Forsikring'!C126+Inrs!C126+'Nordea Liv '!C126+'Oslo Pensjonsforsikring'!C126+'Protector Forsikring'!C126+'SHB Liv'!C126+'Sparebank 1'!C126+'Storebrand Livsforsikring'!C126+'Telenor Forsikring'!C126+'Tryg Forsikring'!C126+'WaterCircles F'!C126</f>
        <v>0</v>
      </c>
      <c r="D126" s="22">
        <f t="shared" si="44"/>
        <v>-100</v>
      </c>
      <c r="E126" s="45">
        <f>'Fremtind Livsforsikring'!F126+'Danica Pensjonsforsikring'!F126+'DNB Livsforsikring'!F126+'Eika Forsikring AS'!F126+'Frende Livsforsikring'!F126+'Frende Skadeforsikring'!F126+'Gjensidige Forsikring'!F126+'Gjensidige Pensjon'!F126+'Handelsbanken Liv'!F126+'If Skadeforsikring NUF'!F126+KLP!F126+'KLP Bedriftspensjon AS'!F126+'KLP Skadeforsikring AS'!F126+'Landkreditt Forsikring'!F126+Inrs!F126+'Nordea Liv '!F126+'Oslo Pensjonsforsikring'!F126+'Protector Forsikring'!F126+'SHB Liv'!F126+'Sparebank 1'!F126+'Storebrand Livsforsikring'!F126+'Telenor Forsikring'!F126+'Tryg Forsikring'!F126+'WaterCircles F'!F126</f>
        <v>0</v>
      </c>
      <c r="F126" s="45">
        <f>'Fremtind Livsforsikring'!G126+'Danica Pensjonsforsikring'!G126+'DNB Livsforsikring'!G126+'Eika Forsikring AS'!G126+'Frende Livsforsikring'!G126+'Frende Skadeforsikring'!G126+'Gjensidige Forsikring'!G126+'Gjensidige Pensjon'!G126+'Handelsbanken Liv'!G126+'If Skadeforsikring NUF'!G126+KLP!G126+'KLP Bedriftspensjon AS'!G126+'KLP Skadeforsikring AS'!G126+'Landkreditt Forsikring'!G126+Inrs!G126+'Nordea Liv '!G126+'Oslo Pensjonsforsikring'!G126+'Protector Forsikring'!G126+'SHB Liv'!G126+'Sparebank 1'!G126+'Storebrand Livsforsikring'!G126+'Telenor Forsikring'!G126+'Tryg Forsikring'!G126+'WaterCircles F'!G126</f>
        <v>0</v>
      </c>
      <c r="G126" s="23"/>
      <c r="H126" s="238">
        <f t="shared" si="45"/>
        <v>522.41161999999997</v>
      </c>
      <c r="I126" s="239">
        <f t="shared" si="46"/>
        <v>0</v>
      </c>
      <c r="J126" s="22">
        <f t="shared" si="47"/>
        <v>-100</v>
      </c>
    </row>
    <row r="127" spans="1:10" ht="15.75" customHeight="1" x14ac:dyDescent="0.2">
      <c r="A127" s="155"/>
    </row>
    <row r="128" spans="1:10" ht="15.75" customHeight="1" x14ac:dyDescent="0.2">
      <c r="A128" s="149"/>
    </row>
    <row r="129" spans="1:10" ht="15.75" customHeight="1" x14ac:dyDescent="0.25">
      <c r="A129" s="165" t="s">
        <v>27</v>
      </c>
    </row>
    <row r="130" spans="1:10" ht="15.75" customHeight="1" x14ac:dyDescent="0.25">
      <c r="A130" s="149"/>
      <c r="B130" s="724"/>
      <c r="C130" s="724"/>
      <c r="D130" s="724"/>
      <c r="E130" s="724"/>
      <c r="F130" s="724"/>
      <c r="G130" s="724"/>
      <c r="H130" s="724"/>
      <c r="I130" s="724"/>
      <c r="J130" s="724"/>
    </row>
    <row r="131" spans="1:10" s="3" customFormat="1" ht="20.100000000000001" customHeight="1" x14ac:dyDescent="0.2">
      <c r="A131" s="144"/>
      <c r="B131" s="721" t="s">
        <v>0</v>
      </c>
      <c r="C131" s="722"/>
      <c r="D131" s="723"/>
      <c r="E131" s="722" t="s">
        <v>1</v>
      </c>
      <c r="F131" s="722"/>
      <c r="G131" s="722"/>
      <c r="H131" s="721" t="s">
        <v>2</v>
      </c>
      <c r="I131" s="722"/>
      <c r="J131" s="723"/>
    </row>
    <row r="132" spans="1:10" s="3" customFormat="1" ht="15.75" customHeight="1" x14ac:dyDescent="0.2">
      <c r="A132" s="140"/>
      <c r="B132" s="20" t="s">
        <v>423</v>
      </c>
      <c r="C132" s="20" t="s">
        <v>424</v>
      </c>
      <c r="D132" s="19" t="s">
        <v>3</v>
      </c>
      <c r="E132" s="20" t="s">
        <v>423</v>
      </c>
      <c r="F132" s="20" t="s">
        <v>424</v>
      </c>
      <c r="G132" s="19" t="s">
        <v>3</v>
      </c>
      <c r="H132" s="20" t="s">
        <v>423</v>
      </c>
      <c r="I132" s="20" t="s">
        <v>424</v>
      </c>
      <c r="J132" s="19" t="s">
        <v>3</v>
      </c>
    </row>
    <row r="133" spans="1:10" s="3" customFormat="1" ht="15.75" customHeight="1" x14ac:dyDescent="0.2">
      <c r="A133" s="703"/>
      <c r="B133" s="15"/>
      <c r="C133" s="15"/>
      <c r="D133" s="17" t="s">
        <v>4</v>
      </c>
      <c r="E133" s="16"/>
      <c r="F133" s="16"/>
      <c r="G133" s="15" t="s">
        <v>4</v>
      </c>
      <c r="H133" s="16"/>
      <c r="I133" s="16"/>
      <c r="J133" s="15" t="s">
        <v>4</v>
      </c>
    </row>
    <row r="134" spans="1:10" s="420" customFormat="1" ht="15.75" customHeight="1" x14ac:dyDescent="0.2">
      <c r="A134" s="14" t="s">
        <v>392</v>
      </c>
      <c r="B134" s="236">
        <f>'Fremtind Livsforsikring'!B134+'Danica Pensjonsforsikring'!B134+'DNB Livsforsikring'!B134+'Eika Forsikring AS'!B134+'Frende Livsforsikring'!B134+'Frende Skadeforsikring'!B134+'Gjensidige Forsikring'!B134+'Gjensidige Pensjon'!B134+'Handelsbanken Liv'!B134+'If Skadeforsikring NUF'!B134+KLP!B134+'KLP Bedriftspensjon AS'!B134+'KLP Skadeforsikring AS'!B134+'Landkreditt Forsikring'!B134+Inrs!B134+'Nordea Liv '!B134+'Oslo Pensjonsforsikring'!B134+'Protector Forsikring'!B134+'SHB Liv'!B134+'Sparebank 1'!B134+'Storebrand Livsforsikring'!B134+'Telenor Forsikring'!B134+'Tryg Forsikring'!B134+'WaterCircles F'!B134</f>
        <v>7724103.9205499999</v>
      </c>
      <c r="C134" s="236">
        <f>'Fremtind Livsforsikring'!C134+'Danica Pensjonsforsikring'!C134+'DNB Livsforsikring'!C134+'Eika Forsikring AS'!C134+'Frende Livsforsikring'!C134+'Frende Skadeforsikring'!C134+'Gjensidige Forsikring'!C134+'Gjensidige Pensjon'!C134+'Handelsbanken Liv'!C134+'If Skadeforsikring NUF'!C134+KLP!C134+'KLP Bedriftspensjon AS'!C134+'KLP Skadeforsikring AS'!C134+'Landkreditt Forsikring'!C134+Inrs!C134+'Nordea Liv '!C134+'Oslo Pensjonsforsikring'!C134+'Protector Forsikring'!C134+'SHB Liv'!C134+'Sparebank 1'!C134+'Storebrand Livsforsikring'!C134+'Telenor Forsikring'!C134+'Tryg Forsikring'!C134+'WaterCircles F'!C134</f>
        <v>7768459.9588399995</v>
      </c>
      <c r="D134" s="11">
        <f t="shared" ref="D134:D137" si="50">IF(B134=0, "    ---- ", IF(ABS(ROUND(100/B134*C134-100,1))&lt;999,ROUND(100/B134*C134-100,1),IF(ROUND(100/B134*C134-100,1)&gt;999,999,-999)))</f>
        <v>0.6</v>
      </c>
      <c r="E134" s="236">
        <f>'Fremtind Livsforsikring'!F134+'Danica Pensjonsforsikring'!F134+'DNB Livsforsikring'!F134+'Eika Forsikring AS'!F134+'Frende Livsforsikring'!F134+'Frende Skadeforsikring'!F134+'Gjensidige Forsikring'!F134+'Gjensidige Pensjon'!F134+'Handelsbanken Liv'!F134+'If Skadeforsikring NUF'!F134+KLP!F134+'KLP Bedriftspensjon AS'!F134+'KLP Skadeforsikring AS'!F134+'Landkreditt Forsikring'!F134+Inrs!F134+'Nordea Liv '!F134+'Oslo Pensjonsforsikring'!F134+'Protector Forsikring'!F134+'SHB Liv'!F134+'Sparebank 1'!F134+'Storebrand Livsforsikring'!F134+'Telenor Forsikring'!F134+'Tryg Forsikring'!F134+'WaterCircles F'!F134</f>
        <v>19489.256000000001</v>
      </c>
      <c r="F134" s="236">
        <f>'Fremtind Livsforsikring'!G134+'Danica Pensjonsforsikring'!G134+'DNB Livsforsikring'!G134+'Eika Forsikring AS'!G134+'Frende Livsforsikring'!G134+'Frende Skadeforsikring'!G134+'Gjensidige Forsikring'!G134+'Gjensidige Pensjon'!G134+'Handelsbanken Liv'!G134+'If Skadeforsikring NUF'!G134+KLP!G134+'KLP Bedriftspensjon AS'!G134+'KLP Skadeforsikring AS'!G134+'Landkreditt Forsikring'!G134+Inrs!G134+'Nordea Liv '!G134+'Oslo Pensjonsforsikring'!G134+'Protector Forsikring'!G134+'SHB Liv'!G134+'Sparebank 1'!G134+'Storebrand Livsforsikring'!G134+'Telenor Forsikring'!G134+'Tryg Forsikring'!G134+'WaterCircles F'!G134</f>
        <v>13284.058000000001</v>
      </c>
      <c r="G134" s="11">
        <f t="shared" ref="G134:G136" si="51">IF(E134=0, "    ---- ", IF(ABS(ROUND(100/E134*F134-100,1))&lt;999,ROUND(100/E134*F134-100,1),IF(ROUND(100/E134*F134-100,1)&gt;999,999,-999)))</f>
        <v>-31.8</v>
      </c>
      <c r="H134" s="236">
        <f t="shared" ref="H134:I137" si="52">SUM(B134,E134)</f>
        <v>7743593.17655</v>
      </c>
      <c r="I134" s="236">
        <f t="shared" si="52"/>
        <v>7781744.0168399997</v>
      </c>
      <c r="J134" s="11">
        <f t="shared" ref="J134:J137" si="53">IF(H134=0, "    ---- ", IF(ABS(ROUND(100/H134*I134-100,1))&lt;999,ROUND(100/H134*I134-100,1),IF(ROUND(100/H134*I134-100,1)&gt;999,999,-999)))</f>
        <v>0.5</v>
      </c>
    </row>
    <row r="135" spans="1:10" s="420" customFormat="1" ht="15.75" customHeight="1" x14ac:dyDescent="0.2">
      <c r="A135" s="13" t="s">
        <v>393</v>
      </c>
      <c r="B135" s="236">
        <f>'Fremtind Livsforsikring'!B135+'Danica Pensjonsforsikring'!B135+'DNB Livsforsikring'!B135+'Eika Forsikring AS'!B135+'Frende Livsforsikring'!B135+'Frende Skadeforsikring'!B135+'Gjensidige Forsikring'!B135+'Gjensidige Pensjon'!B135+'Handelsbanken Liv'!B135+'If Skadeforsikring NUF'!B135+KLP!B135+'KLP Bedriftspensjon AS'!B135+'KLP Skadeforsikring AS'!B135+'Landkreditt Forsikring'!B135+Inrs!B135+'Nordea Liv '!B135+'Oslo Pensjonsforsikring'!B135+'Protector Forsikring'!B135+'SHB Liv'!B135+'Sparebank 1'!B135+'Storebrand Livsforsikring'!B135+'Telenor Forsikring'!B135+'Tryg Forsikring'!B135+'WaterCircles F'!B135</f>
        <v>555615524.04275036</v>
      </c>
      <c r="C135" s="236">
        <f>'Fremtind Livsforsikring'!C135+'Danica Pensjonsforsikring'!C135+'DNB Livsforsikring'!C135+'Eika Forsikring AS'!C135+'Frende Livsforsikring'!C135+'Frende Skadeforsikring'!C135+'Gjensidige Forsikring'!C135+'Gjensidige Pensjon'!C135+'Handelsbanken Liv'!C135+'If Skadeforsikring NUF'!C135+KLP!C135+'KLP Bedriftspensjon AS'!C135+'KLP Skadeforsikring AS'!C135+'Landkreditt Forsikring'!C135+Inrs!C135+'Nordea Liv '!C135+'Oslo Pensjonsforsikring'!C135+'Protector Forsikring'!C135+'SHB Liv'!C135+'Sparebank 1'!C135+'Storebrand Livsforsikring'!C135+'Telenor Forsikring'!C135+'Tryg Forsikring'!C135+'WaterCircles F'!C135</f>
        <v>589920574.41398847</v>
      </c>
      <c r="D135" s="11">
        <f t="shared" si="50"/>
        <v>6.2</v>
      </c>
      <c r="E135" s="236">
        <f>'Fremtind Livsforsikring'!F135+'Danica Pensjonsforsikring'!F135+'DNB Livsforsikring'!F135+'Eika Forsikring AS'!F135+'Frende Livsforsikring'!F135+'Frende Skadeforsikring'!F135+'Gjensidige Forsikring'!F135+'Gjensidige Pensjon'!F135+'Handelsbanken Liv'!F135+'If Skadeforsikring NUF'!F135+KLP!F135+'KLP Bedriftspensjon AS'!F135+'KLP Skadeforsikring AS'!F135+'Landkreditt Forsikring'!F135+Inrs!F135+'Nordea Liv '!F135+'Oslo Pensjonsforsikring'!F135+'Protector Forsikring'!F135+'SHB Liv'!F135+'Sparebank 1'!F135+'Storebrand Livsforsikring'!F135+'Telenor Forsikring'!F135+'Tryg Forsikring'!F135+'WaterCircles F'!F135</f>
        <v>2497218.77415</v>
      </c>
      <c r="F135" s="236">
        <f>'Fremtind Livsforsikring'!G135+'Danica Pensjonsforsikring'!G135+'DNB Livsforsikring'!G135+'Eika Forsikring AS'!G135+'Frende Livsforsikring'!G135+'Frende Skadeforsikring'!G135+'Gjensidige Forsikring'!G135+'Gjensidige Pensjon'!G135+'Handelsbanken Liv'!G135+'If Skadeforsikring NUF'!G135+KLP!G135+'KLP Bedriftspensjon AS'!G135+'KLP Skadeforsikring AS'!G135+'Landkreditt Forsikring'!G135+Inrs!G135+'Nordea Liv '!G135+'Oslo Pensjonsforsikring'!G135+'Protector Forsikring'!G135+'SHB Liv'!G135+'Sparebank 1'!G135+'Storebrand Livsforsikring'!G135+'Telenor Forsikring'!G135+'Tryg Forsikring'!G135+'WaterCircles F'!G135</f>
        <v>2151789.0251500001</v>
      </c>
      <c r="G135" s="11">
        <f t="shared" si="51"/>
        <v>-13.8</v>
      </c>
      <c r="H135" s="236">
        <f t="shared" si="52"/>
        <v>558112742.81690037</v>
      </c>
      <c r="I135" s="236">
        <f t="shared" si="52"/>
        <v>592072363.43913841</v>
      </c>
      <c r="J135" s="11">
        <f t="shared" si="53"/>
        <v>6.1</v>
      </c>
    </row>
    <row r="136" spans="1:10" s="420" customFormat="1" ht="15.75" customHeight="1" x14ac:dyDescent="0.2">
      <c r="A136" s="13" t="s">
        <v>394</v>
      </c>
      <c r="B136" s="236">
        <f>'Fremtind Livsforsikring'!B136+'Danica Pensjonsforsikring'!B136+'DNB Livsforsikring'!B136+'Eika Forsikring AS'!B136+'Frende Livsforsikring'!B136+'Frende Skadeforsikring'!B136+'Gjensidige Forsikring'!B136+'Gjensidige Pensjon'!B136+'Handelsbanken Liv'!B136+'If Skadeforsikring NUF'!B136+KLP!B136+'KLP Bedriftspensjon AS'!B136+'KLP Skadeforsikring AS'!B136+'Landkreditt Forsikring'!B136+Inrs!B136+'Nordea Liv '!B136+'Oslo Pensjonsforsikring'!B136+'Protector Forsikring'!B136+'SHB Liv'!B136+'Sparebank 1'!B136+'Storebrand Livsforsikring'!B136+'Telenor Forsikring'!B136+'Tryg Forsikring'!B136+'WaterCircles F'!B136</f>
        <v>0</v>
      </c>
      <c r="C136" s="236">
        <f>'Fremtind Livsforsikring'!C136+'Danica Pensjonsforsikring'!C136+'DNB Livsforsikring'!C136+'Eika Forsikring AS'!C136+'Frende Livsforsikring'!C136+'Frende Skadeforsikring'!C136+'Gjensidige Forsikring'!C136+'Gjensidige Pensjon'!C136+'Handelsbanken Liv'!C136+'If Skadeforsikring NUF'!C136+KLP!C136+'KLP Bedriftspensjon AS'!C136+'KLP Skadeforsikring AS'!C136+'Landkreditt Forsikring'!C136+Inrs!C136+'Nordea Liv '!C136+'Oslo Pensjonsforsikring'!C136+'Protector Forsikring'!C136+'SHB Liv'!C136+'Sparebank 1'!C136+'Storebrand Livsforsikring'!C136+'Telenor Forsikring'!C136+'Tryg Forsikring'!C136+'WaterCircles F'!C136</f>
        <v>2965700.3289999999</v>
      </c>
      <c r="D136" s="11" t="str">
        <f t="shared" si="50"/>
        <v xml:space="preserve">    ---- </v>
      </c>
      <c r="E136" s="236">
        <f>'Fremtind Livsforsikring'!F136+'Danica Pensjonsforsikring'!F136+'DNB Livsforsikring'!F136+'Eika Forsikring AS'!F136+'Frende Livsforsikring'!F136+'Frende Skadeforsikring'!F136+'Gjensidige Forsikring'!F136+'Gjensidige Pensjon'!F136+'Handelsbanken Liv'!F136+'If Skadeforsikring NUF'!F136+KLP!F136+'KLP Bedriftspensjon AS'!F136+'KLP Skadeforsikring AS'!F136+'Landkreditt Forsikring'!F136+Inrs!F136+'Nordea Liv '!F136+'Oslo Pensjonsforsikring'!F136+'Protector Forsikring'!F136+'SHB Liv'!F136+'Sparebank 1'!F136+'Storebrand Livsforsikring'!F136+'Telenor Forsikring'!F136+'Tryg Forsikring'!F136+'WaterCircles F'!F136</f>
        <v>0</v>
      </c>
      <c r="F136" s="236">
        <f>'Fremtind Livsforsikring'!G136+'Danica Pensjonsforsikring'!G136+'DNB Livsforsikring'!G136+'Eika Forsikring AS'!G136+'Frende Livsforsikring'!G136+'Frende Skadeforsikring'!G136+'Gjensidige Forsikring'!G136+'Gjensidige Pensjon'!G136+'Handelsbanken Liv'!G136+'If Skadeforsikring NUF'!G136+KLP!G136+'KLP Bedriftspensjon AS'!G136+'KLP Skadeforsikring AS'!G136+'Landkreditt Forsikring'!G136+Inrs!G136+'Nordea Liv '!G136+'Oslo Pensjonsforsikring'!G136+'Protector Forsikring'!G136+'SHB Liv'!G136+'Sparebank 1'!G136+'Storebrand Livsforsikring'!G136+'Telenor Forsikring'!G136+'Tryg Forsikring'!G136+'WaterCircles F'!G136</f>
        <v>-462765.72600000002</v>
      </c>
      <c r="G136" s="11" t="str">
        <f t="shared" si="51"/>
        <v xml:space="preserve">    ---- </v>
      </c>
      <c r="H136" s="236">
        <f t="shared" si="52"/>
        <v>0</v>
      </c>
      <c r="I136" s="236">
        <f t="shared" si="52"/>
        <v>2502934.6030000001</v>
      </c>
      <c r="J136" s="11" t="str">
        <f t="shared" si="53"/>
        <v xml:space="preserve">    ---- </v>
      </c>
    </row>
    <row r="137" spans="1:10" s="420" customFormat="1" ht="15.75" customHeight="1" x14ac:dyDescent="0.2">
      <c r="A137" s="41" t="s">
        <v>395</v>
      </c>
      <c r="B137" s="276">
        <f>'Fremtind Livsforsikring'!B137+'Danica Pensjonsforsikring'!B137+'DNB Livsforsikring'!B137+'Eika Forsikring AS'!B137+'Frende Livsforsikring'!B137+'Frende Skadeforsikring'!B137+'Gjensidige Forsikring'!B137+'Gjensidige Pensjon'!B137+'Handelsbanken Liv'!B137+'If Skadeforsikring NUF'!B137+KLP!B137+'KLP Bedriftspensjon AS'!B137+'KLP Skadeforsikring AS'!B137+'Landkreditt Forsikring'!B137+Inrs!B137+'Nordea Liv '!B137+'Oslo Pensjonsforsikring'!B137+'Protector Forsikring'!B137+'SHB Liv'!B137+'Sparebank 1'!B137+'Storebrand Livsforsikring'!B137+'Telenor Forsikring'!B137+'Tryg Forsikring'!B137+'WaterCircles F'!B137</f>
        <v>248299.76699999999</v>
      </c>
      <c r="C137" s="276">
        <f>'Fremtind Livsforsikring'!C137+'Danica Pensjonsforsikring'!C137+'DNB Livsforsikring'!C137+'Eika Forsikring AS'!C137+'Frende Livsforsikring'!C137+'Frende Skadeforsikring'!C137+'Gjensidige Forsikring'!C137+'Gjensidige Pensjon'!C137+'Handelsbanken Liv'!C137+'If Skadeforsikring NUF'!C137+KLP!C137+'KLP Bedriftspensjon AS'!C137+'KLP Skadeforsikring AS'!C137+'Landkreditt Forsikring'!C137+Inrs!C137+'Nordea Liv '!C137+'Oslo Pensjonsforsikring'!C137+'Protector Forsikring'!C137+'SHB Liv'!C137+'Sparebank 1'!C137+'Storebrand Livsforsikring'!C137+'Telenor Forsikring'!C137+'Tryg Forsikring'!C137+'WaterCircles F'!C137</f>
        <v>6377265.6059999997</v>
      </c>
      <c r="D137" s="9">
        <f t="shared" si="50"/>
        <v>999</v>
      </c>
      <c r="E137" s="276">
        <f>'Fremtind Livsforsikring'!F137+'Danica Pensjonsforsikring'!F137+'DNB Livsforsikring'!F137+'Eika Forsikring AS'!F137+'Frende Livsforsikring'!F137+'Frende Skadeforsikring'!F137+'Gjensidige Forsikring'!F137+'Gjensidige Pensjon'!F137+'Handelsbanken Liv'!F137+'If Skadeforsikring NUF'!F137+KLP!F137+'KLP Bedriftspensjon AS'!F137+'KLP Skadeforsikring AS'!F137+'Landkreditt Forsikring'!F137+Inrs!F137+'Nordea Liv '!F137+'Oslo Pensjonsforsikring'!F137+'Protector Forsikring'!F137+'SHB Liv'!F137+'Sparebank 1'!F137+'Storebrand Livsforsikring'!F137+'Telenor Forsikring'!F137+'Tryg Forsikring'!F137+'WaterCircles F'!F137</f>
        <v>0</v>
      </c>
      <c r="F137" s="276">
        <f>'Fremtind Livsforsikring'!G137+'Danica Pensjonsforsikring'!G137+'DNB Livsforsikring'!G137+'Eika Forsikring AS'!G137+'Frende Livsforsikring'!G137+'Frende Skadeforsikring'!G137+'Gjensidige Forsikring'!G137+'Gjensidige Pensjon'!G137+'Handelsbanken Liv'!G137+'If Skadeforsikring NUF'!G137+KLP!G137+'KLP Bedriftspensjon AS'!G137+'KLP Skadeforsikring AS'!G137+'Landkreditt Forsikring'!G137+Inrs!G137+'Nordea Liv '!G137+'Oslo Pensjonsforsikring'!G137+'Protector Forsikring'!G137+'SHB Liv'!G137+'Sparebank 1'!G137+'Storebrand Livsforsikring'!G137+'Telenor Forsikring'!G137+'Tryg Forsikring'!G137+'WaterCircles F'!G137</f>
        <v>0</v>
      </c>
      <c r="G137" s="9"/>
      <c r="H137" s="276">
        <f t="shared" si="52"/>
        <v>248299.76699999999</v>
      </c>
      <c r="I137" s="276">
        <f t="shared" si="52"/>
        <v>6377265.6059999997</v>
      </c>
      <c r="J137" s="9">
        <f t="shared" si="53"/>
        <v>999</v>
      </c>
    </row>
    <row r="138" spans="1:10" s="3" customFormat="1" ht="15.75" customHeight="1" x14ac:dyDescent="0.2">
      <c r="A138" s="8"/>
      <c r="E138" s="7"/>
      <c r="F138" s="7"/>
      <c r="G138" s="6"/>
      <c r="H138" s="7"/>
      <c r="I138" s="7"/>
      <c r="J138" s="6"/>
    </row>
    <row r="139" spans="1:10" ht="15.75" customHeight="1" x14ac:dyDescent="0.2"/>
    <row r="140" spans="1:10" ht="15.75" customHeight="1" x14ac:dyDescent="0.2"/>
    <row r="141" spans="1:10" ht="15.75" customHeight="1" x14ac:dyDescent="0.2"/>
    <row r="142" spans="1:10" ht="15.75" customHeight="1" x14ac:dyDescent="0.2"/>
    <row r="143" spans="1:10" ht="15.75" customHeight="1" x14ac:dyDescent="0.2"/>
    <row r="144" spans="1:10"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sheetData>
  <mergeCells count="27">
    <mergeCell ref="B18:D18"/>
    <mergeCell ref="E18:G18"/>
    <mergeCell ref="H18:J18"/>
    <mergeCell ref="B2:D2"/>
    <mergeCell ref="E2:G2"/>
    <mergeCell ref="H2:J2"/>
    <mergeCell ref="B4:D4"/>
    <mergeCell ref="E4:G4"/>
    <mergeCell ref="H4:J4"/>
    <mergeCell ref="B63:D63"/>
    <mergeCell ref="E63:G63"/>
    <mergeCell ref="H63:J63"/>
    <mergeCell ref="B19:D19"/>
    <mergeCell ref="E19:G19"/>
    <mergeCell ref="H19:J19"/>
    <mergeCell ref="B62:D62"/>
    <mergeCell ref="E62:G62"/>
    <mergeCell ref="H62:J62"/>
    <mergeCell ref="B42:D42"/>
    <mergeCell ref="E42:G42"/>
    <mergeCell ref="H42:J42"/>
    <mergeCell ref="B131:D131"/>
    <mergeCell ref="E131:G131"/>
    <mergeCell ref="H131:J131"/>
    <mergeCell ref="B130:D130"/>
    <mergeCell ref="E130:G130"/>
    <mergeCell ref="H130:J130"/>
  </mergeCells>
  <conditionalFormatting sqref="H115:I115">
    <cfRule type="expression" dxfId="642" priority="46">
      <formula>kvartal&lt;4</formula>
    </cfRule>
  </conditionalFormatting>
  <conditionalFormatting sqref="H123:I123">
    <cfRule type="expression" dxfId="641" priority="45">
      <formula>kvartal&lt;4</formula>
    </cfRule>
  </conditionalFormatting>
  <conditionalFormatting sqref="A50:A52">
    <cfRule type="expression" dxfId="640" priority="41">
      <formula>kvartal &lt; 4</formula>
    </cfRule>
  </conditionalFormatting>
  <conditionalFormatting sqref="A69:A74">
    <cfRule type="expression" dxfId="639" priority="39">
      <formula>kvartal &lt; 4</formula>
    </cfRule>
  </conditionalFormatting>
  <conditionalFormatting sqref="A80:A85">
    <cfRule type="expression" dxfId="638" priority="38">
      <formula>kvartal &lt; 4</formula>
    </cfRule>
  </conditionalFormatting>
  <conditionalFormatting sqref="A90:A95">
    <cfRule type="expression" dxfId="637" priority="35">
      <formula>kvartal &lt; 4</formula>
    </cfRule>
  </conditionalFormatting>
  <conditionalFormatting sqref="A101:A106">
    <cfRule type="expression" dxfId="636" priority="34">
      <formula>kvartal &lt; 4</formula>
    </cfRule>
  </conditionalFormatting>
  <conditionalFormatting sqref="A115">
    <cfRule type="expression" dxfId="635" priority="33">
      <formula>kvartal &lt; 4</formula>
    </cfRule>
  </conditionalFormatting>
  <conditionalFormatting sqref="A123">
    <cfRule type="expression" dxfId="634" priority="32">
      <formula>kvartal &lt; 4</formula>
    </cfRule>
  </conditionalFormatting>
  <conditionalFormatting sqref="B50:B52">
    <cfRule type="expression" dxfId="633" priority="25">
      <formula>kvartal&lt;4</formula>
    </cfRule>
  </conditionalFormatting>
  <conditionalFormatting sqref="B69:C69">
    <cfRule type="expression" dxfId="632" priority="23">
      <formula>kvartal&lt;4</formula>
    </cfRule>
  </conditionalFormatting>
  <conditionalFormatting sqref="B72:C72">
    <cfRule type="expression" dxfId="631" priority="22">
      <formula>kvartal&lt;4</formula>
    </cfRule>
  </conditionalFormatting>
  <conditionalFormatting sqref="B115:C115">
    <cfRule type="expression" dxfId="630" priority="11">
      <formula>kvartal&lt;4</formula>
    </cfRule>
  </conditionalFormatting>
  <conditionalFormatting sqref="B123:C123">
    <cfRule type="expression" dxfId="629" priority="10">
      <formula>kvartal&lt;4</formula>
    </cfRule>
  </conditionalFormatting>
  <conditionalFormatting sqref="E115:F115">
    <cfRule type="expression" dxfId="628" priority="3">
      <formula>kvartal&lt;4</formula>
    </cfRule>
  </conditionalFormatting>
  <conditionalFormatting sqref="E123:F123">
    <cfRule type="expression" dxfId="627" priority="2">
      <formula>kvartal&lt;4</formula>
    </cfRule>
  </conditionalFormatting>
  <conditionalFormatting sqref="C50:C52">
    <cfRule type="expression" dxfId="626" priority="1">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N144"/>
  <sheetViews>
    <sheetView showGridLines="0" zoomScaleNormal="100" workbookViewId="0"/>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4" x14ac:dyDescent="0.2">
      <c r="A1" s="172" t="s">
        <v>137</v>
      </c>
      <c r="B1" s="701"/>
      <c r="C1" s="248" t="s">
        <v>84</v>
      </c>
      <c r="D1" s="26"/>
      <c r="E1" s="26"/>
      <c r="F1" s="26"/>
      <c r="G1" s="26"/>
      <c r="H1" s="26"/>
      <c r="I1" s="26"/>
      <c r="J1" s="26"/>
      <c r="K1" s="26"/>
      <c r="L1" s="26"/>
      <c r="M1" s="26"/>
    </row>
    <row r="2" spans="1:14" ht="15.75" x14ac:dyDescent="0.25">
      <c r="A2" s="165" t="s">
        <v>28</v>
      </c>
      <c r="B2" s="726"/>
      <c r="C2" s="726"/>
      <c r="D2" s="726"/>
      <c r="E2" s="406"/>
      <c r="F2" s="726"/>
      <c r="G2" s="726"/>
      <c r="H2" s="726"/>
      <c r="I2" s="406"/>
      <c r="J2" s="726"/>
      <c r="K2" s="726"/>
      <c r="L2" s="726"/>
      <c r="M2" s="406"/>
    </row>
    <row r="3" spans="1:14" ht="15.75" x14ac:dyDescent="0.25">
      <c r="A3" s="163"/>
      <c r="B3" s="406"/>
      <c r="C3" s="406"/>
      <c r="D3" s="406"/>
      <c r="E3" s="406"/>
      <c r="F3" s="406"/>
      <c r="G3" s="406"/>
      <c r="H3" s="406"/>
      <c r="I3" s="406"/>
      <c r="J3" s="406"/>
      <c r="K3" s="406"/>
      <c r="L3" s="406"/>
      <c r="M3" s="406"/>
    </row>
    <row r="4" spans="1:14" x14ac:dyDescent="0.2">
      <c r="A4" s="144"/>
      <c r="B4" s="727" t="s">
        <v>0</v>
      </c>
      <c r="C4" s="728"/>
      <c r="D4" s="728"/>
      <c r="E4" s="405"/>
      <c r="F4" s="727" t="s">
        <v>1</v>
      </c>
      <c r="G4" s="728"/>
      <c r="H4" s="728"/>
      <c r="I4" s="408"/>
      <c r="J4" s="727" t="s">
        <v>2</v>
      </c>
      <c r="K4" s="728"/>
      <c r="L4" s="728"/>
      <c r="M4" s="408"/>
    </row>
    <row r="5" spans="1:14"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4" x14ac:dyDescent="0.2">
      <c r="A6" s="702"/>
      <c r="B6" s="156"/>
      <c r="C6" s="156"/>
      <c r="D6" s="246" t="s">
        <v>4</v>
      </c>
      <c r="E6" s="156" t="s">
        <v>30</v>
      </c>
      <c r="F6" s="161"/>
      <c r="G6" s="161"/>
      <c r="H6" s="245" t="s">
        <v>4</v>
      </c>
      <c r="I6" s="156" t="s">
        <v>30</v>
      </c>
      <c r="J6" s="161"/>
      <c r="K6" s="161"/>
      <c r="L6" s="245" t="s">
        <v>4</v>
      </c>
      <c r="M6" s="156" t="s">
        <v>30</v>
      </c>
    </row>
    <row r="7" spans="1:14" ht="15.75" x14ac:dyDescent="0.2">
      <c r="A7" s="14" t="s">
        <v>23</v>
      </c>
      <c r="B7" s="306">
        <v>70295.114000000001</v>
      </c>
      <c r="C7" s="307">
        <v>69639.137000000002</v>
      </c>
      <c r="D7" s="350">
        <f>IF(B7=0, "    ---- ", IF(ABS(ROUND(100/B7*C7-100,1))&lt;999,ROUND(100/B7*C7-100,1),IF(ROUND(100/B7*C7-100,1)&gt;999,999,-999)))</f>
        <v>-0.9</v>
      </c>
      <c r="E7" s="11">
        <f>IFERROR(100/'Skjema total MA'!C7*C7,0)</f>
        <v>4.4797985643646934</v>
      </c>
      <c r="F7" s="306">
        <v>81287.616999999998</v>
      </c>
      <c r="G7" s="307">
        <v>75206.520999999993</v>
      </c>
      <c r="H7" s="350">
        <f>IF(F7=0, "    ---- ", IF(ABS(ROUND(100/F7*G7-100,1))&lt;999,ROUND(100/F7*G7-100,1),IF(ROUND(100/F7*G7-100,1)&gt;999,999,-999)))</f>
        <v>-7.5</v>
      </c>
      <c r="I7" s="160">
        <f>IFERROR(100/'Skjema total MA'!F7*G7,0)</f>
        <v>2.9696152784312715</v>
      </c>
      <c r="J7" s="308">
        <f t="shared" ref="J7:K12" si="0">SUM(B7,F7)</f>
        <v>151582.731</v>
      </c>
      <c r="K7" s="309">
        <f t="shared" si="0"/>
        <v>144845.658</v>
      </c>
      <c r="L7" s="427">
        <f>IF(J7=0, "    ---- ", IF(ABS(ROUND(100/J7*K7-100,1))&lt;999,ROUND(100/J7*K7-100,1),IF(ROUND(100/J7*K7-100,1)&gt;999,999,-999)))</f>
        <v>-4.4000000000000004</v>
      </c>
      <c r="M7" s="11">
        <f>IFERROR(100/'Skjema total MA'!I7*K7,0)</f>
        <v>3.544015636546348</v>
      </c>
    </row>
    <row r="8" spans="1:14" ht="15.75" x14ac:dyDescent="0.2">
      <c r="A8" s="21" t="s">
        <v>25</v>
      </c>
      <c r="B8" s="281">
        <v>33723.752</v>
      </c>
      <c r="C8" s="282">
        <v>33264.71</v>
      </c>
      <c r="D8" s="166">
        <f t="shared" ref="D8:D10" si="1">IF(B8=0, "    ---- ", IF(ABS(ROUND(100/B8*C8-100,1))&lt;999,ROUND(100/B8*C8-100,1),IF(ROUND(100/B8*C8-100,1)&gt;999,999,-999)))</f>
        <v>-1.4</v>
      </c>
      <c r="E8" s="27">
        <f>IFERROR(100/'Skjema total MA'!C8*C8,0)</f>
        <v>3.2069994825229906</v>
      </c>
      <c r="F8" s="285"/>
      <c r="G8" s="286"/>
      <c r="H8" s="166"/>
      <c r="I8" s="175"/>
      <c r="J8" s="234">
        <f t="shared" si="0"/>
        <v>33723.752</v>
      </c>
      <c r="K8" s="287">
        <f t="shared" si="0"/>
        <v>33264.71</v>
      </c>
      <c r="L8" s="254">
        <f t="shared" ref="L8:L9" si="2">IF(J8=0, "    ---- ", IF(ABS(ROUND(100/J8*K8-100,1))&lt;999,ROUND(100/J8*K8-100,1),IF(ROUND(100/J8*K8-100,1)&gt;999,999,-999)))</f>
        <v>-1.4</v>
      </c>
      <c r="M8" s="27">
        <f>IFERROR(100/'Skjema total MA'!I8*K8,0)</f>
        <v>3.2069994825229906</v>
      </c>
    </row>
    <row r="9" spans="1:14" ht="15.75" x14ac:dyDescent="0.2">
      <c r="A9" s="21" t="s">
        <v>24</v>
      </c>
      <c r="B9" s="281">
        <v>17573.721000000001</v>
      </c>
      <c r="C9" s="282">
        <v>16531.57</v>
      </c>
      <c r="D9" s="166">
        <f t="shared" si="1"/>
        <v>-5.9</v>
      </c>
      <c r="E9" s="27">
        <f>IFERROR(100/'Skjema total MA'!C9*C9,0)</f>
        <v>4.958569061963507</v>
      </c>
      <c r="F9" s="285"/>
      <c r="G9" s="286"/>
      <c r="H9" s="166"/>
      <c r="I9" s="175"/>
      <c r="J9" s="234">
        <f t="shared" si="0"/>
        <v>17573.721000000001</v>
      </c>
      <c r="K9" s="287">
        <f t="shared" si="0"/>
        <v>16531.57</v>
      </c>
      <c r="L9" s="254">
        <f t="shared" si="2"/>
        <v>-5.9</v>
      </c>
      <c r="M9" s="27">
        <f>IFERROR(100/'Skjema total MA'!I9*K9,0)</f>
        <v>4.958569061963507</v>
      </c>
    </row>
    <row r="10" spans="1:14" ht="15.75" x14ac:dyDescent="0.2">
      <c r="A10" s="13" t="s">
        <v>368</v>
      </c>
      <c r="B10" s="310">
        <v>346099.08899999998</v>
      </c>
      <c r="C10" s="311">
        <v>306636.435</v>
      </c>
      <c r="D10" s="171">
        <f t="shared" si="1"/>
        <v>-11.4</v>
      </c>
      <c r="E10" s="11">
        <f>IFERROR(100/'Skjema total MA'!C10*C10,0)</f>
        <v>1.6264868874649907</v>
      </c>
      <c r="F10" s="310">
        <v>2569415.1639999999</v>
      </c>
      <c r="G10" s="311">
        <v>2230641.253</v>
      </c>
      <c r="H10" s="171">
        <f t="shared" ref="H10:H12" si="3">IF(F10=0, "    ---- ", IF(ABS(ROUND(100/F10*G10-100,1))&lt;999,ROUND(100/F10*G10-100,1),IF(ROUND(100/F10*G10-100,1)&gt;999,999,-999)))</f>
        <v>-13.2</v>
      </c>
      <c r="I10" s="160">
        <f>IFERROR(100/'Skjema total MA'!F10*G10,0)</f>
        <v>4.7857539234557498</v>
      </c>
      <c r="J10" s="308">
        <f t="shared" si="0"/>
        <v>2915514.253</v>
      </c>
      <c r="K10" s="309">
        <f t="shared" si="0"/>
        <v>2537277.6880000001</v>
      </c>
      <c r="L10" s="428">
        <f t="shared" ref="L10:L12" si="4">IF(J10=0, "    ---- ", IF(ABS(ROUND(100/J10*K10-100,1))&lt;999,ROUND(100/J10*K10-100,1),IF(ROUND(100/J10*K10-100,1)&gt;999,999,-999)))</f>
        <v>-13</v>
      </c>
      <c r="M10" s="11">
        <f>IFERROR(100/'Skjema total MA'!I10*K10,0)</f>
        <v>3.8759128650133681</v>
      </c>
    </row>
    <row r="11" spans="1:14" s="43" customFormat="1" ht="15.75" x14ac:dyDescent="0.2">
      <c r="A11" s="13" t="s">
        <v>369</v>
      </c>
      <c r="B11" s="310"/>
      <c r="C11" s="311"/>
      <c r="D11" s="171"/>
      <c r="E11" s="11"/>
      <c r="F11" s="310">
        <v>11860.178</v>
      </c>
      <c r="G11" s="311">
        <v>3221.884</v>
      </c>
      <c r="H11" s="171">
        <f t="shared" si="3"/>
        <v>-72.8</v>
      </c>
      <c r="I11" s="160">
        <f>IFERROR(100/'Skjema total MA'!F11*G11,0)</f>
        <v>2.5340992804882942</v>
      </c>
      <c r="J11" s="308">
        <f t="shared" si="0"/>
        <v>11860.178</v>
      </c>
      <c r="K11" s="309">
        <f t="shared" si="0"/>
        <v>3221.884</v>
      </c>
      <c r="L11" s="428">
        <f t="shared" si="4"/>
        <v>-72.8</v>
      </c>
      <c r="M11" s="11">
        <f>IFERROR(100/'Skjema total MA'!I11*K11,0)</f>
        <v>2.3065157569986923</v>
      </c>
      <c r="N11" s="143"/>
    </row>
    <row r="12" spans="1:14" s="43" customFormat="1" ht="15.75" x14ac:dyDescent="0.2">
      <c r="A12" s="41" t="s">
        <v>370</v>
      </c>
      <c r="B12" s="312"/>
      <c r="C12" s="313"/>
      <c r="D12" s="169"/>
      <c r="E12" s="36"/>
      <c r="F12" s="312">
        <v>6348.9530000000004</v>
      </c>
      <c r="G12" s="313">
        <v>12037.379000000001</v>
      </c>
      <c r="H12" s="169">
        <f t="shared" si="3"/>
        <v>89.6</v>
      </c>
      <c r="I12" s="169">
        <f>IFERROR(100/'Skjema total MA'!F12*G12,0)</f>
        <v>11.922124123090335</v>
      </c>
      <c r="J12" s="314">
        <f t="shared" si="0"/>
        <v>6348.9530000000004</v>
      </c>
      <c r="K12" s="315">
        <f t="shared" si="0"/>
        <v>12037.379000000001</v>
      </c>
      <c r="L12" s="429">
        <f t="shared" si="4"/>
        <v>89.6</v>
      </c>
      <c r="M12" s="36">
        <f>IFERROR(100/'Skjema total MA'!I12*K12,0)</f>
        <v>11.765739712811566</v>
      </c>
      <c r="N12" s="143"/>
    </row>
    <row r="13" spans="1:14" s="43" customFormat="1" x14ac:dyDescent="0.2">
      <c r="A13" s="168"/>
      <c r="B13" s="145"/>
      <c r="C13" s="33"/>
      <c r="D13" s="159"/>
      <c r="E13" s="159"/>
      <c r="F13" s="145"/>
      <c r="G13" s="33"/>
      <c r="H13" s="159"/>
      <c r="I13" s="159"/>
      <c r="J13" s="48"/>
      <c r="K13" s="48"/>
      <c r="L13" s="159"/>
      <c r="M13" s="159"/>
      <c r="N13" s="143"/>
    </row>
    <row r="14" spans="1:14" x14ac:dyDescent="0.2">
      <c r="A14" s="153" t="s">
        <v>278</v>
      </c>
      <c r="B14" s="26"/>
    </row>
    <row r="15" spans="1:14" x14ac:dyDescent="0.2">
      <c r="F15" s="146"/>
      <c r="G15" s="146"/>
      <c r="H15" s="146"/>
      <c r="I15" s="146"/>
      <c r="J15" s="146"/>
      <c r="K15" s="146"/>
      <c r="L15" s="146"/>
      <c r="M15" s="146"/>
    </row>
    <row r="16" spans="1:14"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406"/>
      <c r="F18" s="729"/>
      <c r="G18" s="729"/>
      <c r="H18" s="729"/>
      <c r="I18" s="406"/>
      <c r="J18" s="729"/>
      <c r="K18" s="729"/>
      <c r="L18" s="729"/>
      <c r="M18" s="406"/>
    </row>
    <row r="19" spans="1:14" x14ac:dyDescent="0.2">
      <c r="A19" s="144"/>
      <c r="B19" s="727" t="s">
        <v>0</v>
      </c>
      <c r="C19" s="728"/>
      <c r="D19" s="728"/>
      <c r="E19" s="405"/>
      <c r="F19" s="727" t="s">
        <v>1</v>
      </c>
      <c r="G19" s="728"/>
      <c r="H19" s="728"/>
      <c r="I19" s="408"/>
      <c r="J19" s="727" t="s">
        <v>2</v>
      </c>
      <c r="K19" s="728"/>
      <c r="L19" s="728"/>
      <c r="M19" s="408"/>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416" t="s">
        <v>30</v>
      </c>
      <c r="F21" s="161"/>
      <c r="G21" s="161"/>
      <c r="H21" s="245" t="s">
        <v>4</v>
      </c>
      <c r="I21" s="156" t="s">
        <v>30</v>
      </c>
      <c r="J21" s="161"/>
      <c r="K21" s="161"/>
      <c r="L21" s="156" t="s">
        <v>4</v>
      </c>
      <c r="M21" s="156" t="s">
        <v>30</v>
      </c>
    </row>
    <row r="22" spans="1:14" ht="15.75" x14ac:dyDescent="0.2">
      <c r="A22" s="14" t="s">
        <v>23</v>
      </c>
      <c r="B22" s="310">
        <v>3846.3589999999999</v>
      </c>
      <c r="C22" s="310">
        <v>3590.0320000000002</v>
      </c>
      <c r="D22" s="350">
        <f t="shared" ref="D22:D29" si="5">IF(B22=0, "    ---- ", IF(ABS(ROUND(100/B22*C22-100,1))&lt;999,ROUND(100/B22*C22-100,1),IF(ROUND(100/B22*C22-100,1)&gt;999,999,-999)))</f>
        <v>-6.7</v>
      </c>
      <c r="E22" s="11">
        <f>IFERROR(100/'Skjema total MA'!C22*C22,0)</f>
        <v>0.51693889845986118</v>
      </c>
      <c r="F22" s="318">
        <v>14460.213</v>
      </c>
      <c r="G22" s="318">
        <v>16713.358</v>
      </c>
      <c r="H22" s="350">
        <f t="shared" ref="H22:H35" si="6">IF(F22=0, "    ---- ", IF(ABS(ROUND(100/F22*G22-100,1))&lt;999,ROUND(100/F22*G22-100,1),IF(ROUND(100/F22*G22-100,1)&gt;999,999,-999)))</f>
        <v>15.6</v>
      </c>
      <c r="I22" s="160">
        <f>IFERROR(100/'Skjema total MA'!F22*G22,0)</f>
        <v>5.0034806323859842</v>
      </c>
      <c r="J22" s="316">
        <f t="shared" ref="J22:K35" si="7">SUM(B22,F22)</f>
        <v>18306.572</v>
      </c>
      <c r="K22" s="316">
        <f t="shared" si="7"/>
        <v>20303.39</v>
      </c>
      <c r="L22" s="427">
        <f t="shared" ref="L22:L35" si="8">IF(J22=0, "    ---- ", IF(ABS(ROUND(100/J22*K22-100,1))&lt;999,ROUND(100/J22*K22-100,1),IF(ROUND(100/J22*K22-100,1)&gt;999,999,-999)))</f>
        <v>10.9</v>
      </c>
      <c r="M22" s="24">
        <f>IFERROR(100/'Skjema total MA'!I22*K22,0)</f>
        <v>1.9740516575028513</v>
      </c>
    </row>
    <row r="23" spans="1:14" ht="15.75" x14ac:dyDescent="0.2">
      <c r="A23" s="583" t="s">
        <v>371</v>
      </c>
      <c r="B23" s="281"/>
      <c r="C23" s="281"/>
      <c r="D23" s="166"/>
      <c r="E23" s="11"/>
      <c r="F23" s="290">
        <v>1377.23</v>
      </c>
      <c r="G23" s="290">
        <v>1149.0899999999999</v>
      </c>
      <c r="H23" s="254">
        <f t="shared" si="6"/>
        <v>-16.600000000000001</v>
      </c>
      <c r="I23" s="240">
        <f>IFERROR(100/'Skjema total MA'!F23*G23,0)</f>
        <v>4.1443450483767199</v>
      </c>
      <c r="J23" s="290">
        <f t="shared" ref="J23:J26" si="9">SUM(B23,F23)</f>
        <v>1377.23</v>
      </c>
      <c r="K23" s="290">
        <f t="shared" ref="K23:K26" si="10">SUM(C23,G23)</f>
        <v>1149.0899999999999</v>
      </c>
      <c r="L23" s="254">
        <f t="shared" si="8"/>
        <v>-16.600000000000001</v>
      </c>
      <c r="M23" s="23">
        <f>IFERROR(100/'Skjema total MA'!I23*K23,0)</f>
        <v>0.33563103967272978</v>
      </c>
    </row>
    <row r="24" spans="1:14" ht="15.75" x14ac:dyDescent="0.2">
      <c r="A24" s="583" t="s">
        <v>372</v>
      </c>
      <c r="B24" s="281"/>
      <c r="C24" s="281"/>
      <c r="D24" s="166"/>
      <c r="E24" s="11"/>
      <c r="F24" s="290"/>
      <c r="G24" s="290"/>
      <c r="H24" s="166"/>
      <c r="I24" s="240"/>
      <c r="J24" s="290"/>
      <c r="K24" s="290"/>
      <c r="L24" s="166"/>
      <c r="M24" s="23"/>
    </row>
    <row r="25" spans="1:14" ht="15.75" x14ac:dyDescent="0.2">
      <c r="A25" s="583" t="s">
        <v>373</v>
      </c>
      <c r="B25" s="281"/>
      <c r="C25" s="281"/>
      <c r="D25" s="166"/>
      <c r="E25" s="11"/>
      <c r="F25" s="290">
        <v>391.48700000000002</v>
      </c>
      <c r="G25" s="290">
        <v>330.78199999999998</v>
      </c>
      <c r="H25" s="254">
        <f t="shared" ref="H25:H26" si="11">IF(F25=0, "    ---- ", IF(ABS(ROUND(100/F25*G25-100,1))&lt;999,ROUND(100/F25*G25-100,1),IF(ROUND(100/F25*G25-100,1)&gt;999,999,-999)))</f>
        <v>-15.5</v>
      </c>
      <c r="I25" s="240">
        <f>IFERROR(100/'Skjema total MA'!F25*G25,0)</f>
        <v>3.6150551028857612</v>
      </c>
      <c r="J25" s="290">
        <f t="shared" si="9"/>
        <v>391.48700000000002</v>
      </c>
      <c r="K25" s="290">
        <f t="shared" si="10"/>
        <v>330.78199999999998</v>
      </c>
      <c r="L25" s="254">
        <f t="shared" si="8"/>
        <v>-15.5</v>
      </c>
      <c r="M25" s="23">
        <f>IFERROR(100/'Skjema total MA'!I25*K25,0)</f>
        <v>1.7061943360042546</v>
      </c>
    </row>
    <row r="26" spans="1:14" ht="15.75" x14ac:dyDescent="0.2">
      <c r="A26" s="583" t="s">
        <v>374</v>
      </c>
      <c r="B26" s="281"/>
      <c r="C26" s="281"/>
      <c r="D26" s="166"/>
      <c r="E26" s="11"/>
      <c r="F26" s="290">
        <v>12691.495999999999</v>
      </c>
      <c r="G26" s="290">
        <v>15233.486000000001</v>
      </c>
      <c r="H26" s="254">
        <f t="shared" si="11"/>
        <v>20</v>
      </c>
      <c r="I26" s="240">
        <f>IFERROR(100/'Skjema total MA'!F26*G26,0)</f>
        <v>5.1357787277063229</v>
      </c>
      <c r="J26" s="290">
        <f t="shared" si="9"/>
        <v>12691.495999999999</v>
      </c>
      <c r="K26" s="290">
        <f t="shared" si="10"/>
        <v>15233.486000000001</v>
      </c>
      <c r="L26" s="254">
        <f t="shared" si="8"/>
        <v>20</v>
      </c>
      <c r="M26" s="23">
        <f>IFERROR(100/'Skjema total MA'!I26*K26,0)</f>
        <v>5.1357787277063229</v>
      </c>
    </row>
    <row r="27" spans="1:14" x14ac:dyDescent="0.2">
      <c r="A27" s="583" t="s">
        <v>11</v>
      </c>
      <c r="B27" s="281"/>
      <c r="C27" s="281"/>
      <c r="D27" s="166"/>
      <c r="E27" s="11"/>
      <c r="F27" s="290"/>
      <c r="G27" s="290"/>
      <c r="H27" s="166"/>
      <c r="I27" s="240"/>
      <c r="J27" s="290"/>
      <c r="K27" s="290"/>
      <c r="L27" s="166"/>
      <c r="M27" s="23"/>
    </row>
    <row r="28" spans="1:14" ht="15.75" x14ac:dyDescent="0.2">
      <c r="A28" s="49" t="s">
        <v>279</v>
      </c>
      <c r="B28" s="44">
        <v>3846.3589999999999</v>
      </c>
      <c r="C28" s="287">
        <v>3590.0320000000002</v>
      </c>
      <c r="D28" s="166">
        <f t="shared" si="5"/>
        <v>-6.7</v>
      </c>
      <c r="E28" s="11">
        <f>IFERROR(100/'Skjema total MA'!C28*C28,0)</f>
        <v>0.49291645378563081</v>
      </c>
      <c r="F28" s="234"/>
      <c r="G28" s="287"/>
      <c r="H28" s="166"/>
      <c r="I28" s="175"/>
      <c r="J28" s="44">
        <f t="shared" si="7"/>
        <v>3846.3589999999999</v>
      </c>
      <c r="K28" s="44">
        <f t="shared" si="7"/>
        <v>3590.0320000000002</v>
      </c>
      <c r="L28" s="254">
        <f t="shared" si="8"/>
        <v>-6.7</v>
      </c>
      <c r="M28" s="23">
        <f>IFERROR(100/'Skjema total MA'!I28*K28,0)</f>
        <v>0.49291645378563081</v>
      </c>
    </row>
    <row r="29" spans="1:14" s="3" customFormat="1" ht="15.75" x14ac:dyDescent="0.2">
      <c r="A29" s="13" t="s">
        <v>368</v>
      </c>
      <c r="B29" s="236">
        <v>143216.15599999999</v>
      </c>
      <c r="C29" s="236">
        <v>110589.931</v>
      </c>
      <c r="D29" s="171">
        <f t="shared" si="5"/>
        <v>-22.8</v>
      </c>
      <c r="E29" s="11">
        <f>IFERROR(100/'Skjema total MA'!C29*C29,0)</f>
        <v>0.23614772301489462</v>
      </c>
      <c r="F29" s="308">
        <v>2105792.7459999998</v>
      </c>
      <c r="G29" s="308">
        <v>1884242.946</v>
      </c>
      <c r="H29" s="171">
        <f t="shared" si="6"/>
        <v>-10.5</v>
      </c>
      <c r="I29" s="160">
        <f>IFERROR(100/'Skjema total MA'!F29*G29,0)</f>
        <v>9.3800477825311397</v>
      </c>
      <c r="J29" s="236">
        <f t="shared" si="7"/>
        <v>2249008.9019999998</v>
      </c>
      <c r="K29" s="236">
        <f t="shared" si="7"/>
        <v>1994832.8770000001</v>
      </c>
      <c r="L29" s="428">
        <f t="shared" si="8"/>
        <v>-11.3</v>
      </c>
      <c r="M29" s="24">
        <f>IFERROR(100/'Skjema total MA'!I29*K29,0)</f>
        <v>2.9809840741229507</v>
      </c>
      <c r="N29" s="148"/>
    </row>
    <row r="30" spans="1:14" s="3" customFormat="1" ht="15.75" x14ac:dyDescent="0.2">
      <c r="A30" s="583" t="s">
        <v>371</v>
      </c>
      <c r="B30" s="281"/>
      <c r="C30" s="281"/>
      <c r="D30" s="166"/>
      <c r="E30" s="11"/>
      <c r="F30" s="290">
        <v>626471.26599999995</v>
      </c>
      <c r="G30" s="290">
        <v>545110.73600000003</v>
      </c>
      <c r="H30" s="254">
        <f t="shared" si="6"/>
        <v>-13</v>
      </c>
      <c r="I30" s="240">
        <f>IFERROR(100/'Skjema total MA'!F30*G30,0)</f>
        <v>13.804676493656277</v>
      </c>
      <c r="J30" s="290">
        <f t="shared" ref="J30:J33" si="12">SUM(B30,F30)</f>
        <v>626471.26599999995</v>
      </c>
      <c r="K30" s="290">
        <f t="shared" ref="K30:K33" si="13">SUM(C30,G30)</f>
        <v>545110.73600000003</v>
      </c>
      <c r="L30" s="254">
        <f t="shared" si="8"/>
        <v>-13</v>
      </c>
      <c r="M30" s="23">
        <f>IFERROR(100/'Skjema total MA'!I30*K30,0)</f>
        <v>2.9880091971837484</v>
      </c>
      <c r="N30" s="148"/>
    </row>
    <row r="31" spans="1:14" s="3" customFormat="1" ht="15.75" x14ac:dyDescent="0.2">
      <c r="A31" s="583" t="s">
        <v>372</v>
      </c>
      <c r="B31" s="281"/>
      <c r="C31" s="281"/>
      <c r="D31" s="166"/>
      <c r="E31" s="11"/>
      <c r="F31" s="290">
        <v>1266286.628</v>
      </c>
      <c r="G31" s="290">
        <v>1074830.503</v>
      </c>
      <c r="H31" s="254">
        <f t="shared" si="6"/>
        <v>-15.1</v>
      </c>
      <c r="I31" s="240">
        <f>IFERROR(100/'Skjema total MA'!F31*G31,0)</f>
        <v>12.444000147806868</v>
      </c>
      <c r="J31" s="290">
        <f t="shared" si="12"/>
        <v>1266286.628</v>
      </c>
      <c r="K31" s="290">
        <f t="shared" si="13"/>
        <v>1074830.503</v>
      </c>
      <c r="L31" s="254">
        <f t="shared" si="8"/>
        <v>-15.1</v>
      </c>
      <c r="M31" s="23">
        <f>IFERROR(100/'Skjema total MA'!I31*K31,0)</f>
        <v>3.2447861961699256</v>
      </c>
      <c r="N31" s="148"/>
    </row>
    <row r="32" spans="1:14" ht="15.75" x14ac:dyDescent="0.2">
      <c r="A32" s="583" t="s">
        <v>373</v>
      </c>
      <c r="B32" s="281"/>
      <c r="C32" s="281"/>
      <c r="D32" s="166"/>
      <c r="E32" s="11"/>
      <c r="F32" s="290">
        <v>77680.115999999995</v>
      </c>
      <c r="G32" s="290">
        <v>71910.05</v>
      </c>
      <c r="H32" s="254">
        <f t="shared" si="6"/>
        <v>-7.4</v>
      </c>
      <c r="I32" s="240">
        <f>IFERROR(100/'Skjema total MA'!F32*G32,0)</f>
        <v>1.6856394996460917</v>
      </c>
      <c r="J32" s="290">
        <f t="shared" si="12"/>
        <v>77680.115999999995</v>
      </c>
      <c r="K32" s="290">
        <f t="shared" si="13"/>
        <v>71910.05</v>
      </c>
      <c r="L32" s="254">
        <f t="shared" si="8"/>
        <v>-7.4</v>
      </c>
      <c r="M32" s="23">
        <f>IFERROR(100/'Skjema total MA'!I32*K32,0)</f>
        <v>0.99266982107027402</v>
      </c>
    </row>
    <row r="33" spans="1:14" ht="15.75" x14ac:dyDescent="0.2">
      <c r="A33" s="583" t="s">
        <v>374</v>
      </c>
      <c r="B33" s="281"/>
      <c r="C33" s="281"/>
      <c r="D33" s="166"/>
      <c r="E33" s="11"/>
      <c r="F33" s="290">
        <v>135354.736</v>
      </c>
      <c r="G33" s="290">
        <v>192391.65700000001</v>
      </c>
      <c r="H33" s="254">
        <f t="shared" si="6"/>
        <v>42.1</v>
      </c>
      <c r="I33" s="240">
        <f>IFERROR(100/'Skjema total MA'!F33*G33,0)</f>
        <v>5.9459842725332228</v>
      </c>
      <c r="J33" s="290">
        <f t="shared" si="12"/>
        <v>135354.736</v>
      </c>
      <c r="K33" s="290">
        <f t="shared" si="13"/>
        <v>192391.65700000001</v>
      </c>
      <c r="L33" s="254">
        <f t="shared" si="8"/>
        <v>42.1</v>
      </c>
      <c r="M33" s="23">
        <f>IFERROR(100/'Skjema total MA'!I33*K33,0)</f>
        <v>5.9459842725332228</v>
      </c>
    </row>
    <row r="34" spans="1:14" ht="15.75" x14ac:dyDescent="0.2">
      <c r="A34" s="13" t="s">
        <v>369</v>
      </c>
      <c r="B34" s="236"/>
      <c r="C34" s="309"/>
      <c r="D34" s="171"/>
      <c r="E34" s="11"/>
      <c r="F34" s="308">
        <v>1429.6179999999999</v>
      </c>
      <c r="G34" s="309">
        <v>5030.5029999999997</v>
      </c>
      <c r="H34" s="171">
        <f t="shared" si="6"/>
        <v>251.9</v>
      </c>
      <c r="I34" s="160">
        <f>IFERROR(100/'Skjema total MA'!F34*G34,0)</f>
        <v>44.80100371857727</v>
      </c>
      <c r="J34" s="236">
        <f t="shared" si="7"/>
        <v>1429.6179999999999</v>
      </c>
      <c r="K34" s="236">
        <f t="shared" si="7"/>
        <v>5030.5029999999997</v>
      </c>
      <c r="L34" s="428">
        <f t="shared" si="8"/>
        <v>251.9</v>
      </c>
      <c r="M34" s="24">
        <f>IFERROR(100/'Skjema total MA'!I34*K34,0)</f>
        <v>28.469958767289764</v>
      </c>
    </row>
    <row r="35" spans="1:14" ht="15.75" x14ac:dyDescent="0.2">
      <c r="A35" s="13" t="s">
        <v>370</v>
      </c>
      <c r="B35" s="236"/>
      <c r="C35" s="309"/>
      <c r="D35" s="171"/>
      <c r="E35" s="11"/>
      <c r="F35" s="308">
        <v>2383.328</v>
      </c>
      <c r="G35" s="309">
        <v>6023.3130000000001</v>
      </c>
      <c r="H35" s="171">
        <f t="shared" si="6"/>
        <v>152.69999999999999</v>
      </c>
      <c r="I35" s="160">
        <f>IFERROR(100/'Skjema total MA'!F35*G35,0)</f>
        <v>13.230666953307582</v>
      </c>
      <c r="J35" s="236">
        <f t="shared" si="7"/>
        <v>2383.328</v>
      </c>
      <c r="K35" s="236">
        <f t="shared" si="7"/>
        <v>6023.3130000000001</v>
      </c>
      <c r="L35" s="428">
        <f t="shared" si="8"/>
        <v>152.69999999999999</v>
      </c>
      <c r="M35" s="24">
        <f>IFERROR(100/'Skjema total MA'!I35*K35,0)</f>
        <v>24.03187338417041</v>
      </c>
    </row>
    <row r="36" spans="1:14" ht="15.75" x14ac:dyDescent="0.2">
      <c r="A36" s="12" t="s">
        <v>287</v>
      </c>
      <c r="B36" s="236"/>
      <c r="C36" s="309"/>
      <c r="D36" s="171"/>
      <c r="E36" s="11"/>
      <c r="F36" s="319"/>
      <c r="G36" s="320"/>
      <c r="H36" s="171"/>
      <c r="I36" s="430"/>
      <c r="J36" s="236"/>
      <c r="K36" s="236"/>
      <c r="L36" s="428"/>
      <c r="M36" s="24"/>
    </row>
    <row r="37" spans="1:14" ht="15.75" x14ac:dyDescent="0.2">
      <c r="A37" s="12" t="s">
        <v>376</v>
      </c>
      <c r="B37" s="236"/>
      <c r="C37" s="309"/>
      <c r="D37" s="171"/>
      <c r="E37" s="11"/>
      <c r="F37" s="319"/>
      <c r="G37" s="321"/>
      <c r="H37" s="171"/>
      <c r="I37" s="430"/>
      <c r="J37" s="236"/>
      <c r="K37" s="236"/>
      <c r="L37" s="428"/>
      <c r="M37" s="24"/>
    </row>
    <row r="38" spans="1:14" ht="15.75" x14ac:dyDescent="0.2">
      <c r="A38" s="12" t="s">
        <v>377</v>
      </c>
      <c r="B38" s="236"/>
      <c r="C38" s="309"/>
      <c r="D38" s="171"/>
      <c r="E38" s="24"/>
      <c r="F38" s="319"/>
      <c r="G38" s="320"/>
      <c r="H38" s="171"/>
      <c r="I38" s="430"/>
      <c r="J38" s="236"/>
      <c r="K38" s="236"/>
      <c r="L38" s="428"/>
      <c r="M38" s="24"/>
    </row>
    <row r="39" spans="1:14" ht="15.75" x14ac:dyDescent="0.2">
      <c r="A39" s="18" t="s">
        <v>378</v>
      </c>
      <c r="B39" s="276"/>
      <c r="C39" s="315"/>
      <c r="D39" s="169"/>
      <c r="E39" s="36"/>
      <c r="F39" s="322"/>
      <c r="G39" s="323"/>
      <c r="H39" s="169"/>
      <c r="I39" s="169"/>
      <c r="J39" s="236"/>
      <c r="K39" s="236"/>
      <c r="L39" s="429"/>
      <c r="M39" s="36"/>
    </row>
    <row r="40" spans="1:14" ht="15.75" x14ac:dyDescent="0.25">
      <c r="A40" s="47"/>
      <c r="B40" s="253"/>
      <c r="C40" s="253"/>
      <c r="D40" s="730"/>
      <c r="E40" s="730"/>
      <c r="F40" s="730"/>
      <c r="G40" s="730"/>
      <c r="H40" s="730"/>
      <c r="I40" s="730"/>
      <c r="J40" s="730"/>
      <c r="K40" s="730"/>
      <c r="L40" s="730"/>
      <c r="M40" s="407"/>
    </row>
    <row r="41" spans="1:14" x14ac:dyDescent="0.2">
      <c r="A41" s="155"/>
    </row>
    <row r="42" spans="1:14" ht="15.75" x14ac:dyDescent="0.25">
      <c r="A42" s="147" t="s">
        <v>276</v>
      </c>
      <c r="B42" s="726"/>
      <c r="C42" s="726"/>
      <c r="D42" s="726"/>
      <c r="E42" s="406"/>
      <c r="F42" s="731"/>
      <c r="G42" s="731"/>
      <c r="H42" s="731"/>
      <c r="I42" s="407"/>
      <c r="J42" s="731"/>
      <c r="K42" s="731"/>
      <c r="L42" s="731"/>
      <c r="M42" s="407"/>
    </row>
    <row r="43" spans="1:14" ht="15.75" x14ac:dyDescent="0.25">
      <c r="A43" s="163"/>
      <c r="B43" s="403"/>
      <c r="C43" s="403"/>
      <c r="D43" s="403"/>
      <c r="E43" s="403"/>
      <c r="F43" s="407"/>
      <c r="G43" s="407"/>
      <c r="H43" s="407"/>
      <c r="I43" s="407"/>
      <c r="J43" s="407"/>
      <c r="K43" s="407"/>
      <c r="L43" s="407"/>
      <c r="M43" s="407"/>
    </row>
    <row r="44" spans="1:14" ht="15.75" x14ac:dyDescent="0.25">
      <c r="A44" s="247"/>
      <c r="B44" s="727" t="s">
        <v>0</v>
      </c>
      <c r="C44" s="728"/>
      <c r="D44" s="728"/>
      <c r="E44" s="243"/>
      <c r="F44" s="407"/>
      <c r="G44" s="407"/>
      <c r="H44" s="407"/>
      <c r="I44" s="407"/>
      <c r="J44" s="407"/>
      <c r="K44" s="407"/>
      <c r="L44" s="407"/>
      <c r="M44" s="407"/>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2563.4</v>
      </c>
      <c r="C47" s="311">
        <v>2540.1889999999999</v>
      </c>
      <c r="D47" s="427">
        <f t="shared" ref="D47:D48" si="14">IF(B47=0, "    ---- ", IF(ABS(ROUND(100/B47*C47-100,1))&lt;999,ROUND(100/B47*C47-100,1),IF(ROUND(100/B47*C47-100,1)&gt;999,999,-999)))</f>
        <v>-0.9</v>
      </c>
      <c r="E47" s="11">
        <f>IFERROR(100/'Skjema total MA'!C47*C47,0)</f>
        <v>8.802964184485694E-2</v>
      </c>
      <c r="F47" s="145"/>
      <c r="G47" s="33"/>
      <c r="H47" s="159"/>
      <c r="I47" s="159"/>
      <c r="J47" s="37"/>
      <c r="K47" s="37"/>
      <c r="L47" s="159"/>
      <c r="M47" s="159"/>
      <c r="N47" s="148"/>
    </row>
    <row r="48" spans="1:14" s="3" customFormat="1" ht="15.75" x14ac:dyDescent="0.2">
      <c r="A48" s="38" t="s">
        <v>379</v>
      </c>
      <c r="B48" s="281">
        <v>2563.4</v>
      </c>
      <c r="C48" s="282">
        <v>2540.1889999999999</v>
      </c>
      <c r="D48" s="254">
        <f t="shared" si="14"/>
        <v>-0.9</v>
      </c>
      <c r="E48" s="27">
        <f>IFERROR(100/'Skjema total MA'!C48*C48,0)</f>
        <v>0.16198511367679153</v>
      </c>
      <c r="F48" s="145"/>
      <c r="G48" s="33"/>
      <c r="H48" s="145"/>
      <c r="I48" s="145"/>
      <c r="J48" s="33"/>
      <c r="K48" s="33"/>
      <c r="L48" s="159"/>
      <c r="M48" s="159"/>
      <c r="N48" s="148"/>
    </row>
    <row r="49" spans="1:14" s="3" customFormat="1" ht="15.75" x14ac:dyDescent="0.2">
      <c r="A49" s="38" t="s">
        <v>380</v>
      </c>
      <c r="B49" s="44"/>
      <c r="C49" s="287"/>
      <c r="D49" s="254"/>
      <c r="E49" s="27"/>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c r="C53" s="311"/>
      <c r="D53" s="428"/>
      <c r="E53" s="11"/>
      <c r="F53" s="145"/>
      <c r="G53" s="33"/>
      <c r="H53" s="145"/>
      <c r="I53" s="145"/>
      <c r="J53" s="33"/>
      <c r="K53" s="33"/>
      <c r="L53" s="159"/>
      <c r="M53" s="159"/>
      <c r="N53" s="148"/>
    </row>
    <row r="54" spans="1:14" s="3" customFormat="1" ht="15.75" x14ac:dyDescent="0.2">
      <c r="A54" s="38" t="s">
        <v>379</v>
      </c>
      <c r="B54" s="281"/>
      <c r="C54" s="282"/>
      <c r="D54" s="254"/>
      <c r="E54" s="27"/>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c r="C56" s="311"/>
      <c r="D56" s="428"/>
      <c r="E56" s="11"/>
      <c r="F56" s="145"/>
      <c r="G56" s="33"/>
      <c r="H56" s="145"/>
      <c r="I56" s="145"/>
      <c r="J56" s="33"/>
      <c r="K56" s="33"/>
      <c r="L56" s="159"/>
      <c r="M56" s="159"/>
      <c r="N56" s="148"/>
    </row>
    <row r="57" spans="1:14" s="3" customFormat="1" ht="15.75" x14ac:dyDescent="0.2">
      <c r="A57" s="38" t="s">
        <v>379</v>
      </c>
      <c r="B57" s="281"/>
      <c r="C57" s="282"/>
      <c r="D57" s="254"/>
      <c r="E57" s="27"/>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406"/>
      <c r="F62" s="729"/>
      <c r="G62" s="729"/>
      <c r="H62" s="729"/>
      <c r="I62" s="406"/>
      <c r="J62" s="729"/>
      <c r="K62" s="729"/>
      <c r="L62" s="729"/>
      <c r="M62" s="406"/>
    </row>
    <row r="63" spans="1:14" x14ac:dyDescent="0.2">
      <c r="A63" s="144"/>
      <c r="B63" s="727" t="s">
        <v>0</v>
      </c>
      <c r="C63" s="728"/>
      <c r="D63" s="732"/>
      <c r="E63" s="404"/>
      <c r="F63" s="728" t="s">
        <v>1</v>
      </c>
      <c r="G63" s="728"/>
      <c r="H63" s="728"/>
      <c r="I63" s="408"/>
      <c r="J63" s="727" t="s">
        <v>2</v>
      </c>
      <c r="K63" s="728"/>
      <c r="L63" s="728"/>
      <c r="M63" s="408"/>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29846.553</v>
      </c>
      <c r="C66" s="353">
        <v>33834.205000000002</v>
      </c>
      <c r="D66" s="350">
        <f t="shared" ref="D66:D120" si="15">IF(B66=0, "    ---- ", IF(ABS(ROUND(100/B66*C66-100,1))&lt;999,ROUND(100/B66*C66-100,1),IF(ROUND(100/B66*C66-100,1)&gt;999,999,-999)))</f>
        <v>13.4</v>
      </c>
      <c r="E66" s="11">
        <f>IFERROR(100/'Skjema total MA'!C66*C66,0)</f>
        <v>0.97046973267931036</v>
      </c>
      <c r="F66" s="352">
        <v>411000.212</v>
      </c>
      <c r="G66" s="352">
        <v>464156.87300000002</v>
      </c>
      <c r="H66" s="350">
        <f t="shared" ref="H66:H125" si="16">IF(F66=0, "    ---- ", IF(ABS(ROUND(100/F66*G66-100,1))&lt;999,ROUND(100/F66*G66-100,1),IF(ROUND(100/F66*G66-100,1)&gt;999,999,-999)))</f>
        <v>12.9</v>
      </c>
      <c r="I66" s="11">
        <f>IFERROR(100/'Skjema total MA'!F66*G66,0)</f>
        <v>5.2786982016277602</v>
      </c>
      <c r="J66" s="309">
        <f t="shared" ref="J66:K79" si="17">SUM(B66,F66)</f>
        <v>440846.76500000001</v>
      </c>
      <c r="K66" s="316">
        <f t="shared" si="17"/>
        <v>497991.07800000004</v>
      </c>
      <c r="L66" s="428">
        <f t="shared" ref="L66:L125" si="18">IF(J66=0, "    ---- ", IF(ABS(ROUND(100/J66*K66-100,1))&lt;999,ROUND(100/J66*K66-100,1),IF(ROUND(100/J66*K66-100,1)&gt;999,999,-999)))</f>
        <v>13</v>
      </c>
      <c r="M66" s="11">
        <f>IFERROR(100/'Skjema total MA'!I66*K66,0)</f>
        <v>4.0555027753896056</v>
      </c>
    </row>
    <row r="67" spans="1:14" x14ac:dyDescent="0.2">
      <c r="A67" s="21" t="s">
        <v>9</v>
      </c>
      <c r="B67" s="44">
        <v>29846.553</v>
      </c>
      <c r="C67" s="145">
        <v>33834.205000000002</v>
      </c>
      <c r="D67" s="166">
        <f t="shared" si="15"/>
        <v>13.4</v>
      </c>
      <c r="E67" s="27">
        <f>IFERROR(100/'Skjema total MA'!C67*C67,0)</f>
        <v>1.2273261999733756</v>
      </c>
      <c r="F67" s="234"/>
      <c r="G67" s="145"/>
      <c r="H67" s="166"/>
      <c r="I67" s="27"/>
      <c r="J67" s="287">
        <f t="shared" si="17"/>
        <v>29846.553</v>
      </c>
      <c r="K67" s="44">
        <f t="shared" si="17"/>
        <v>33834.205000000002</v>
      </c>
      <c r="L67" s="254">
        <f t="shared" si="18"/>
        <v>13.4</v>
      </c>
      <c r="M67" s="27">
        <f>IFERROR(100/'Skjema total MA'!I67*K67,0)</f>
        <v>1.2273261999733756</v>
      </c>
    </row>
    <row r="68" spans="1:14" x14ac:dyDescent="0.2">
      <c r="A68" s="21" t="s">
        <v>10</v>
      </c>
      <c r="B68" s="292"/>
      <c r="C68" s="293"/>
      <c r="D68" s="166"/>
      <c r="E68" s="27"/>
      <c r="F68" s="292">
        <v>411000.212</v>
      </c>
      <c r="G68" s="293">
        <v>464156.87300000002</v>
      </c>
      <c r="H68" s="166">
        <f t="shared" si="16"/>
        <v>12.9</v>
      </c>
      <c r="I68" s="27">
        <f>IFERROR(100/'Skjema total MA'!F68*G68,0)</f>
        <v>5.4889977577337605</v>
      </c>
      <c r="J68" s="287">
        <f t="shared" si="17"/>
        <v>411000.212</v>
      </c>
      <c r="K68" s="44">
        <f t="shared" si="17"/>
        <v>464156.87300000002</v>
      </c>
      <c r="L68" s="254">
        <f t="shared" si="18"/>
        <v>12.9</v>
      </c>
      <c r="M68" s="27">
        <f>IFERROR(100/'Skjema total MA'!I68*K68,0)</f>
        <v>5.4286349104457772</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c r="C76" s="145"/>
      <c r="D76" s="166"/>
      <c r="E76" s="27"/>
      <c r="F76" s="234"/>
      <c r="G76" s="145"/>
      <c r="H76" s="166"/>
      <c r="I76" s="27"/>
      <c r="J76" s="287"/>
      <c r="K76" s="44"/>
      <c r="L76" s="254"/>
      <c r="M76" s="27"/>
      <c r="N76" s="148"/>
    </row>
    <row r="77" spans="1:14" ht="15.75" x14ac:dyDescent="0.2">
      <c r="A77" s="21" t="s">
        <v>385</v>
      </c>
      <c r="B77" s="234">
        <v>29846.553</v>
      </c>
      <c r="C77" s="234">
        <v>33834.205000000002</v>
      </c>
      <c r="D77" s="166">
        <f t="shared" si="15"/>
        <v>13.4</v>
      </c>
      <c r="E77" s="27">
        <f>IFERROR(100/'Skjema total MA'!C77*C77,0)</f>
        <v>1.2345038191909214</v>
      </c>
      <c r="F77" s="234">
        <v>411000.212</v>
      </c>
      <c r="G77" s="145">
        <v>464156.87300000002</v>
      </c>
      <c r="H77" s="166">
        <f t="shared" si="16"/>
        <v>12.9</v>
      </c>
      <c r="I77" s="27">
        <f>IFERROR(100/'Skjema total MA'!F77*G77,0)</f>
        <v>5.4922685800921327</v>
      </c>
      <c r="J77" s="287">
        <f t="shared" si="17"/>
        <v>440846.76500000001</v>
      </c>
      <c r="K77" s="44">
        <f t="shared" si="17"/>
        <v>497991.07800000004</v>
      </c>
      <c r="L77" s="254">
        <f t="shared" si="18"/>
        <v>13</v>
      </c>
      <c r="M77" s="27">
        <f>IFERROR(100/'Skjema total MA'!I77*K77,0)</f>
        <v>4.4496032587487759</v>
      </c>
    </row>
    <row r="78" spans="1:14" x14ac:dyDescent="0.2">
      <c r="A78" s="21" t="s">
        <v>9</v>
      </c>
      <c r="B78" s="234">
        <v>29846.553</v>
      </c>
      <c r="C78" s="145">
        <v>33834.205000000002</v>
      </c>
      <c r="D78" s="166">
        <f t="shared" si="15"/>
        <v>13.4</v>
      </c>
      <c r="E78" s="27">
        <f>IFERROR(100/'Skjema total MA'!C78*C78,0)</f>
        <v>1.2779182464674022</v>
      </c>
      <c r="F78" s="234"/>
      <c r="G78" s="145"/>
      <c r="H78" s="166"/>
      <c r="I78" s="27"/>
      <c r="J78" s="287">
        <f t="shared" si="17"/>
        <v>29846.553</v>
      </c>
      <c r="K78" s="44">
        <f t="shared" si="17"/>
        <v>33834.205000000002</v>
      </c>
      <c r="L78" s="254">
        <f t="shared" si="18"/>
        <v>13.4</v>
      </c>
      <c r="M78" s="27">
        <f>IFERROR(100/'Skjema total MA'!I78*K78,0)</f>
        <v>1.2779182464674022</v>
      </c>
    </row>
    <row r="79" spans="1:14" x14ac:dyDescent="0.2">
      <c r="A79" s="21" t="s">
        <v>10</v>
      </c>
      <c r="B79" s="292"/>
      <c r="C79" s="293"/>
      <c r="D79" s="166"/>
      <c r="E79" s="27"/>
      <c r="F79" s="292">
        <v>411000.212</v>
      </c>
      <c r="G79" s="293">
        <v>464156.87300000002</v>
      </c>
      <c r="H79" s="166">
        <f t="shared" si="16"/>
        <v>12.9</v>
      </c>
      <c r="I79" s="27">
        <f>IFERROR(100/'Skjema total MA'!F79*G79,0)</f>
        <v>5.4922685800921327</v>
      </c>
      <c r="J79" s="287">
        <f t="shared" si="17"/>
        <v>411000.212</v>
      </c>
      <c r="K79" s="44">
        <f t="shared" si="17"/>
        <v>464156.87300000002</v>
      </c>
      <c r="L79" s="254">
        <f t="shared" si="18"/>
        <v>12.9</v>
      </c>
      <c r="M79" s="27">
        <f>IFERROR(100/'Skjema total MA'!I79*K79,0)</f>
        <v>5.4324171357840383</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c r="C86" s="145"/>
      <c r="D86" s="166"/>
      <c r="E86" s="27"/>
      <c r="F86" s="234"/>
      <c r="G86" s="145"/>
      <c r="H86" s="166"/>
      <c r="I86" s="27"/>
      <c r="J86" s="287"/>
      <c r="K86" s="44"/>
      <c r="L86" s="254"/>
      <c r="M86" s="27"/>
    </row>
    <row r="87" spans="1:13" ht="15.75" x14ac:dyDescent="0.2">
      <c r="A87" s="13" t="s">
        <v>368</v>
      </c>
      <c r="B87" s="353">
        <v>697232.33499999996</v>
      </c>
      <c r="C87" s="353">
        <v>766564.67599999998</v>
      </c>
      <c r="D87" s="171">
        <f t="shared" si="15"/>
        <v>9.9</v>
      </c>
      <c r="E87" s="11">
        <f>IFERROR(100/'Skjema total MA'!C87*C87,0)</f>
        <v>0.19522636228982018</v>
      </c>
      <c r="F87" s="352">
        <v>13555850.852</v>
      </c>
      <c r="G87" s="352">
        <v>14411385.301000001</v>
      </c>
      <c r="H87" s="171">
        <f t="shared" si="16"/>
        <v>6.3</v>
      </c>
      <c r="I87" s="11">
        <f>IFERROR(100/'Skjema total MA'!F87*G87,0)</f>
        <v>5.1421662414537757</v>
      </c>
      <c r="J87" s="309">
        <f t="shared" ref="J87:K111" si="19">SUM(B87,F87)</f>
        <v>14253083.186999999</v>
      </c>
      <c r="K87" s="236">
        <f t="shared" si="19"/>
        <v>15177949.977000002</v>
      </c>
      <c r="L87" s="428">
        <f t="shared" si="18"/>
        <v>6.5</v>
      </c>
      <c r="M87" s="11">
        <f>IFERROR(100/'Skjema total MA'!I87*K87,0)</f>
        <v>2.2555579773113514</v>
      </c>
    </row>
    <row r="88" spans="1:13" x14ac:dyDescent="0.2">
      <c r="A88" s="21" t="s">
        <v>9</v>
      </c>
      <c r="B88" s="234">
        <v>697232.33499999996</v>
      </c>
      <c r="C88" s="145">
        <v>766564.67599999998</v>
      </c>
      <c r="D88" s="166">
        <f t="shared" si="15"/>
        <v>9.9</v>
      </c>
      <c r="E88" s="27">
        <f>IFERROR(100/'Skjema total MA'!C88*C88,0)</f>
        <v>0.20078427822981351</v>
      </c>
      <c r="F88" s="234"/>
      <c r="G88" s="145"/>
      <c r="H88" s="166"/>
      <c r="I88" s="27"/>
      <c r="J88" s="287">
        <f t="shared" si="19"/>
        <v>697232.33499999996</v>
      </c>
      <c r="K88" s="44">
        <f t="shared" si="19"/>
        <v>766564.67599999998</v>
      </c>
      <c r="L88" s="254">
        <f t="shared" si="18"/>
        <v>9.9</v>
      </c>
      <c r="M88" s="27">
        <f>IFERROR(100/'Skjema total MA'!I88*K88,0)</f>
        <v>0.20078427822981351</v>
      </c>
    </row>
    <row r="89" spans="1:13" x14ac:dyDescent="0.2">
      <c r="A89" s="21" t="s">
        <v>10</v>
      </c>
      <c r="B89" s="234"/>
      <c r="C89" s="145"/>
      <c r="D89" s="166"/>
      <c r="E89" s="27"/>
      <c r="F89" s="234">
        <v>13555850.852</v>
      </c>
      <c r="G89" s="145">
        <v>14411385.301000001</v>
      </c>
      <c r="H89" s="166">
        <f t="shared" si="16"/>
        <v>6.3</v>
      </c>
      <c r="I89" s="27">
        <f>IFERROR(100/'Skjema total MA'!F89*G89,0)</f>
        <v>5.1728483074124147</v>
      </c>
      <c r="J89" s="287">
        <f t="shared" si="19"/>
        <v>13555850.852</v>
      </c>
      <c r="K89" s="44">
        <f t="shared" si="19"/>
        <v>14411385.301000001</v>
      </c>
      <c r="L89" s="254">
        <f t="shared" si="18"/>
        <v>6.3</v>
      </c>
      <c r="M89" s="27">
        <f>IFERROR(100/'Skjema total MA'!I89*K89,0)</f>
        <v>5.1159158063209365</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c r="C97" s="145"/>
      <c r="D97" s="166"/>
      <c r="E97" s="27"/>
      <c r="F97" s="234"/>
      <c r="G97" s="145"/>
      <c r="H97" s="166"/>
      <c r="I97" s="27"/>
      <c r="J97" s="287"/>
      <c r="K97" s="44"/>
      <c r="L97" s="254"/>
      <c r="M97" s="27"/>
    </row>
    <row r="98" spans="1:13" ht="15.75" x14ac:dyDescent="0.2">
      <c r="A98" s="21" t="s">
        <v>385</v>
      </c>
      <c r="B98" s="234">
        <v>697232.33499999996</v>
      </c>
      <c r="C98" s="234">
        <v>766564.67599999998</v>
      </c>
      <c r="D98" s="166">
        <f t="shared" si="15"/>
        <v>9.9</v>
      </c>
      <c r="E98" s="27">
        <f>IFERROR(100/'Skjema total MA'!C98*C98,0)</f>
        <v>0.20157138403593383</v>
      </c>
      <c r="F98" s="292">
        <v>13555850.852</v>
      </c>
      <c r="G98" s="292">
        <v>14411385.301000001</v>
      </c>
      <c r="H98" s="166">
        <f t="shared" si="16"/>
        <v>6.3</v>
      </c>
      <c r="I98" s="27">
        <f>IFERROR(100/'Skjema total MA'!F98*G98,0)</f>
        <v>5.1874122400243792</v>
      </c>
      <c r="J98" s="287">
        <f t="shared" si="19"/>
        <v>14253083.186999999</v>
      </c>
      <c r="K98" s="44">
        <f t="shared" si="19"/>
        <v>15177949.977000002</v>
      </c>
      <c r="L98" s="254">
        <f t="shared" si="18"/>
        <v>6.5</v>
      </c>
      <c r="M98" s="27">
        <f>IFERROR(100/'Skjema total MA'!I98*K98,0)</f>
        <v>2.3062975186087282</v>
      </c>
    </row>
    <row r="99" spans="1:13" x14ac:dyDescent="0.2">
      <c r="A99" s="21" t="s">
        <v>9</v>
      </c>
      <c r="B99" s="292">
        <v>697232.33499999996</v>
      </c>
      <c r="C99" s="293">
        <v>766564.67599999998</v>
      </c>
      <c r="D99" s="166">
        <f t="shared" si="15"/>
        <v>9.9</v>
      </c>
      <c r="E99" s="27">
        <f>IFERROR(100/'Skjema total MA'!C99*C99,0)</f>
        <v>0.2032282101401624</v>
      </c>
      <c r="F99" s="234"/>
      <c r="G99" s="145"/>
      <c r="H99" s="166"/>
      <c r="I99" s="27"/>
      <c r="J99" s="287">
        <f t="shared" si="19"/>
        <v>697232.33499999996</v>
      </c>
      <c r="K99" s="44">
        <f t="shared" si="19"/>
        <v>766564.67599999998</v>
      </c>
      <c r="L99" s="254">
        <f t="shared" si="18"/>
        <v>9.9</v>
      </c>
      <c r="M99" s="27">
        <f>IFERROR(100/'Skjema total MA'!I99*K99,0)</f>
        <v>0.2032282101401624</v>
      </c>
    </row>
    <row r="100" spans="1:13" x14ac:dyDescent="0.2">
      <c r="A100" s="21" t="s">
        <v>10</v>
      </c>
      <c r="B100" s="292"/>
      <c r="C100" s="293"/>
      <c r="D100" s="166"/>
      <c r="E100" s="27"/>
      <c r="F100" s="234">
        <v>13555850.852</v>
      </c>
      <c r="G100" s="234">
        <v>14411385.301000001</v>
      </c>
      <c r="H100" s="166">
        <f t="shared" si="16"/>
        <v>6.3</v>
      </c>
      <c r="I100" s="27">
        <f>IFERROR(100/'Skjema total MA'!F100*G100,0)</f>
        <v>5.1874122400243792</v>
      </c>
      <c r="J100" s="287">
        <f t="shared" si="19"/>
        <v>13555850.852</v>
      </c>
      <c r="K100" s="44">
        <f t="shared" si="19"/>
        <v>14411385.301000001</v>
      </c>
      <c r="L100" s="254">
        <f t="shared" si="18"/>
        <v>6.3</v>
      </c>
      <c r="M100" s="27">
        <f>IFERROR(100/'Skjema total MA'!I100*K100,0)</f>
        <v>5.1301604796689038</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c r="C107" s="145"/>
      <c r="D107" s="166"/>
      <c r="E107" s="27"/>
      <c r="F107" s="234"/>
      <c r="G107" s="145"/>
      <c r="H107" s="166"/>
      <c r="I107" s="27"/>
      <c r="J107" s="287"/>
      <c r="K107" s="44"/>
      <c r="L107" s="254"/>
      <c r="M107" s="27"/>
    </row>
    <row r="108" spans="1:13" ht="15.75" x14ac:dyDescent="0.2">
      <c r="A108" s="21" t="s">
        <v>387</v>
      </c>
      <c r="B108" s="234">
        <v>257176.01300000001</v>
      </c>
      <c r="C108" s="234">
        <v>159716.17300000001</v>
      </c>
      <c r="D108" s="166">
        <f t="shared" si="15"/>
        <v>-37.9</v>
      </c>
      <c r="E108" s="27">
        <f>IFERROR(100/'Skjema total MA'!C108*C108,0)</f>
        <v>4.9544992604408124E-2</v>
      </c>
      <c r="F108" s="234">
        <v>177642.45499999999</v>
      </c>
      <c r="G108" s="234">
        <v>159716.17300000001</v>
      </c>
      <c r="H108" s="166">
        <f t="shared" si="16"/>
        <v>-10.1</v>
      </c>
      <c r="I108" s="27">
        <f>IFERROR(100/'Skjema total MA'!F108*G108,0)</f>
        <v>1.0553748963232781</v>
      </c>
      <c r="J108" s="287">
        <f t="shared" si="19"/>
        <v>434818.46799999999</v>
      </c>
      <c r="K108" s="44">
        <f t="shared" si="19"/>
        <v>319432.34600000002</v>
      </c>
      <c r="L108" s="254">
        <f t="shared" si="18"/>
        <v>-26.5</v>
      </c>
      <c r="M108" s="27">
        <f>IFERROR(100/'Skjema total MA'!I108*K108,0)</f>
        <v>9.4646755764275919E-2</v>
      </c>
    </row>
    <row r="109" spans="1:13" ht="15.75" x14ac:dyDescent="0.2">
      <c r="A109" s="21" t="s">
        <v>388</v>
      </c>
      <c r="B109" s="234"/>
      <c r="C109" s="234"/>
      <c r="D109" s="166"/>
      <c r="E109" s="27"/>
      <c r="F109" s="234">
        <v>4822726.6100000003</v>
      </c>
      <c r="G109" s="234">
        <v>5028124.8859999999</v>
      </c>
      <c r="H109" s="166">
        <f t="shared" si="16"/>
        <v>4.3</v>
      </c>
      <c r="I109" s="27">
        <f>IFERROR(100/'Skjema total MA'!F109*G109,0)</f>
        <v>5.170566336951655</v>
      </c>
      <c r="J109" s="287">
        <f t="shared" si="19"/>
        <v>4822726.6100000003</v>
      </c>
      <c r="K109" s="44">
        <f t="shared" si="19"/>
        <v>5028124.8859999999</v>
      </c>
      <c r="L109" s="254">
        <f t="shared" si="18"/>
        <v>4.3</v>
      </c>
      <c r="M109" s="27">
        <f>IFERROR(100/'Skjema total MA'!I109*K109,0)</f>
        <v>5.1134296351210411</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2774.009</v>
      </c>
      <c r="C111" s="159">
        <v>17296.601999999999</v>
      </c>
      <c r="D111" s="171">
        <f t="shared" si="15"/>
        <v>523.5</v>
      </c>
      <c r="E111" s="11">
        <f>IFERROR(100/'Skjema total MA'!C111*C111,0)</f>
        <v>4.3807705861255357</v>
      </c>
      <c r="F111" s="308">
        <v>119669.287</v>
      </c>
      <c r="G111" s="159">
        <v>246608.356</v>
      </c>
      <c r="H111" s="171">
        <f t="shared" si="16"/>
        <v>106.1</v>
      </c>
      <c r="I111" s="11">
        <f>IFERROR(100/'Skjema total MA'!F111*G111,0)</f>
        <v>2.7648896135006518</v>
      </c>
      <c r="J111" s="309">
        <f t="shared" si="19"/>
        <v>122443.296</v>
      </c>
      <c r="K111" s="236">
        <f t="shared" si="19"/>
        <v>263904.95799999998</v>
      </c>
      <c r="L111" s="428">
        <f t="shared" si="18"/>
        <v>115.5</v>
      </c>
      <c r="M111" s="11">
        <f>IFERROR(100/'Skjema total MA'!I111*K111,0)</f>
        <v>2.8333876457102258</v>
      </c>
    </row>
    <row r="112" spans="1:13" x14ac:dyDescent="0.2">
      <c r="A112" s="21" t="s">
        <v>9</v>
      </c>
      <c r="B112" s="234">
        <v>2774.009</v>
      </c>
      <c r="C112" s="145">
        <v>17296.601999999999</v>
      </c>
      <c r="D112" s="166">
        <f t="shared" si="15"/>
        <v>523.5</v>
      </c>
      <c r="E112" s="27">
        <f>IFERROR(100/'Skjema total MA'!C112*C112,0)</f>
        <v>24.307435477345972</v>
      </c>
      <c r="F112" s="234"/>
      <c r="G112" s="145"/>
      <c r="H112" s="166"/>
      <c r="I112" s="27"/>
      <c r="J112" s="287">
        <f t="shared" ref="J112:K125" si="20">SUM(B112,F112)</f>
        <v>2774.009</v>
      </c>
      <c r="K112" s="44">
        <f t="shared" si="20"/>
        <v>17296.601999999999</v>
      </c>
      <c r="L112" s="254">
        <f t="shared" si="18"/>
        <v>523.5</v>
      </c>
      <c r="M112" s="27">
        <f>IFERROR(100/'Skjema total MA'!I112*K112,0)</f>
        <v>23.164847761287927</v>
      </c>
    </row>
    <row r="113" spans="1:14" x14ac:dyDescent="0.2">
      <c r="A113" s="21" t="s">
        <v>10</v>
      </c>
      <c r="B113" s="234"/>
      <c r="C113" s="145"/>
      <c r="D113" s="166"/>
      <c r="E113" s="27"/>
      <c r="F113" s="234">
        <v>119669.287</v>
      </c>
      <c r="G113" s="145">
        <v>246608.356</v>
      </c>
      <c r="H113" s="166">
        <f t="shared" si="16"/>
        <v>106.1</v>
      </c>
      <c r="I113" s="27">
        <f>IFERROR(100/'Skjema total MA'!F113*G113,0)</f>
        <v>2.7872930082815999</v>
      </c>
      <c r="J113" s="287">
        <f t="shared" si="20"/>
        <v>119669.287</v>
      </c>
      <c r="K113" s="44">
        <f t="shared" si="20"/>
        <v>246608.356</v>
      </c>
      <c r="L113" s="254">
        <f t="shared" si="18"/>
        <v>106.1</v>
      </c>
      <c r="M113" s="27">
        <f>IFERROR(100/'Skjema total MA'!I113*K113,0)</f>
        <v>2.7859772262392091</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c r="C116" s="234"/>
      <c r="D116" s="166"/>
      <c r="E116" s="27"/>
      <c r="F116" s="234"/>
      <c r="G116" s="234"/>
      <c r="H116" s="166"/>
      <c r="I116" s="27"/>
      <c r="J116" s="287"/>
      <c r="K116" s="44"/>
      <c r="L116" s="254"/>
      <c r="M116" s="27"/>
    </row>
    <row r="117" spans="1:14" ht="15.75" x14ac:dyDescent="0.2">
      <c r="A117" s="21" t="s">
        <v>391</v>
      </c>
      <c r="B117" s="234"/>
      <c r="C117" s="234"/>
      <c r="D117" s="166"/>
      <c r="E117" s="27"/>
      <c r="F117" s="234">
        <v>23965.007000000001</v>
      </c>
      <c r="G117" s="234">
        <v>26298.100999999999</v>
      </c>
      <c r="H117" s="166">
        <f t="shared" si="16"/>
        <v>9.6999999999999993</v>
      </c>
      <c r="I117" s="27">
        <f>IFERROR(100/'Skjema total MA'!F117*G117,0)</f>
        <v>3.20340354339343</v>
      </c>
      <c r="J117" s="287">
        <f t="shared" si="20"/>
        <v>23965.007000000001</v>
      </c>
      <c r="K117" s="44">
        <f t="shared" si="20"/>
        <v>26298.100999999999</v>
      </c>
      <c r="L117" s="254">
        <f t="shared" si="18"/>
        <v>9.6999999999999993</v>
      </c>
      <c r="M117" s="27">
        <f>IFERROR(100/'Skjema total MA'!I117*K117,0)</f>
        <v>3.20340354339343</v>
      </c>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4350.8999999999996</v>
      </c>
      <c r="C119" s="159">
        <v>4650.5259999999998</v>
      </c>
      <c r="D119" s="171">
        <f t="shared" si="15"/>
        <v>6.9</v>
      </c>
      <c r="E119" s="11">
        <f>IFERROR(100/'Skjema total MA'!C119*C119,0)</f>
        <v>0.94846600821792115</v>
      </c>
      <c r="F119" s="308">
        <v>140272.53200000001</v>
      </c>
      <c r="G119" s="159">
        <v>217557.05799999999</v>
      </c>
      <c r="H119" s="171">
        <f t="shared" si="16"/>
        <v>55.1</v>
      </c>
      <c r="I119" s="11">
        <f>IFERROR(100/'Skjema total MA'!F119*G119,0)</f>
        <v>2.5195088019476555</v>
      </c>
      <c r="J119" s="309">
        <f t="shared" si="20"/>
        <v>144623.432</v>
      </c>
      <c r="K119" s="236">
        <f t="shared" si="20"/>
        <v>222207.584</v>
      </c>
      <c r="L119" s="428">
        <f t="shared" si="18"/>
        <v>53.6</v>
      </c>
      <c r="M119" s="11">
        <f>IFERROR(100/'Skjema total MA'!I119*K119,0)</f>
        <v>2.4350927661154538</v>
      </c>
    </row>
    <row r="120" spans="1:14" x14ac:dyDescent="0.2">
      <c r="A120" s="21" t="s">
        <v>9</v>
      </c>
      <c r="B120" s="234">
        <v>4350.8999999999996</v>
      </c>
      <c r="C120" s="145">
        <v>4650.5259999999998</v>
      </c>
      <c r="D120" s="166">
        <f t="shared" si="15"/>
        <v>6.9</v>
      </c>
      <c r="E120" s="27">
        <f>IFERROR(100/'Skjema total MA'!C120*C120,0)</f>
        <v>1.0659599028720095</v>
      </c>
      <c r="F120" s="234"/>
      <c r="G120" s="145"/>
      <c r="H120" s="166"/>
      <c r="I120" s="27"/>
      <c r="J120" s="287">
        <f t="shared" si="20"/>
        <v>4350.8999999999996</v>
      </c>
      <c r="K120" s="44">
        <f t="shared" si="20"/>
        <v>4650.5259999999998</v>
      </c>
      <c r="L120" s="254">
        <f t="shared" si="18"/>
        <v>6.9</v>
      </c>
      <c r="M120" s="27">
        <f>IFERROR(100/'Skjema total MA'!I120*K120,0)</f>
        <v>1.0659599028720095</v>
      </c>
    </row>
    <row r="121" spans="1:14" x14ac:dyDescent="0.2">
      <c r="A121" s="21" t="s">
        <v>10</v>
      </c>
      <c r="B121" s="234"/>
      <c r="C121" s="145"/>
      <c r="D121" s="166"/>
      <c r="E121" s="27"/>
      <c r="F121" s="234">
        <v>140272.53200000001</v>
      </c>
      <c r="G121" s="145">
        <v>217557.05799999999</v>
      </c>
      <c r="H121" s="166">
        <f t="shared" si="16"/>
        <v>55.1</v>
      </c>
      <c r="I121" s="27">
        <f>IFERROR(100/'Skjema total MA'!F121*G121,0)</f>
        <v>2.5195088019476555</v>
      </c>
      <c r="J121" s="287">
        <f t="shared" si="20"/>
        <v>140272.53200000001</v>
      </c>
      <c r="K121" s="44">
        <f t="shared" si="20"/>
        <v>217557.05799999999</v>
      </c>
      <c r="L121" s="254">
        <f t="shared" si="18"/>
        <v>55.1</v>
      </c>
      <c r="M121" s="27">
        <f>IFERROR(100/'Skjema total MA'!I121*K121,0)</f>
        <v>2.5186527203404832</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c r="C124" s="234"/>
      <c r="D124" s="166"/>
      <c r="E124" s="27"/>
      <c r="F124" s="234">
        <v>1.38</v>
      </c>
      <c r="G124" s="234">
        <v>0</v>
      </c>
      <c r="H124" s="166">
        <f t="shared" si="16"/>
        <v>-100</v>
      </c>
      <c r="I124" s="27">
        <f>IFERROR(100/'Skjema total MA'!F124*G124,0)</f>
        <v>0</v>
      </c>
      <c r="J124" s="287">
        <f t="shared" si="20"/>
        <v>1.38</v>
      </c>
      <c r="K124" s="44">
        <f t="shared" si="20"/>
        <v>0</v>
      </c>
      <c r="L124" s="254">
        <f t="shared" si="18"/>
        <v>-100</v>
      </c>
      <c r="M124" s="27">
        <f>IFERROR(100/'Skjema total MA'!I124*K124,0)</f>
        <v>0</v>
      </c>
    </row>
    <row r="125" spans="1:14" ht="15.75" x14ac:dyDescent="0.2">
      <c r="A125" s="21" t="s">
        <v>388</v>
      </c>
      <c r="B125" s="234"/>
      <c r="C125" s="234"/>
      <c r="D125" s="166"/>
      <c r="E125" s="27"/>
      <c r="F125" s="234">
        <v>45924.392999999996</v>
      </c>
      <c r="G125" s="234">
        <v>52619.470999999998</v>
      </c>
      <c r="H125" s="166">
        <f t="shared" si="16"/>
        <v>14.6</v>
      </c>
      <c r="I125" s="27">
        <f>IFERROR(100/'Skjema total MA'!F125*G125,0)</f>
        <v>6.414300915222773</v>
      </c>
      <c r="J125" s="287">
        <f t="shared" si="20"/>
        <v>45924.392999999996</v>
      </c>
      <c r="K125" s="44">
        <f t="shared" si="20"/>
        <v>52619.470999999998</v>
      </c>
      <c r="L125" s="254">
        <f t="shared" si="18"/>
        <v>14.6</v>
      </c>
      <c r="M125" s="27">
        <f>IFERROR(100/'Skjema total MA'!I125*K125,0)</f>
        <v>6.4141716851059245</v>
      </c>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406"/>
      <c r="F130" s="729"/>
      <c r="G130" s="729"/>
      <c r="H130" s="729"/>
      <c r="I130" s="406"/>
      <c r="J130" s="729"/>
      <c r="K130" s="729"/>
      <c r="L130" s="729"/>
      <c r="M130" s="406"/>
    </row>
    <row r="131" spans="1:14" s="3" customFormat="1" x14ac:dyDescent="0.2">
      <c r="A131" s="144"/>
      <c r="B131" s="727" t="s">
        <v>0</v>
      </c>
      <c r="C131" s="728"/>
      <c r="D131" s="728"/>
      <c r="E131" s="405"/>
      <c r="F131" s="727" t="s">
        <v>1</v>
      </c>
      <c r="G131" s="728"/>
      <c r="H131" s="728"/>
      <c r="I131" s="408"/>
      <c r="J131" s="727" t="s">
        <v>2</v>
      </c>
      <c r="K131" s="728"/>
      <c r="L131" s="728"/>
      <c r="M131" s="408"/>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B50:C52">
    <cfRule type="expression" dxfId="625" priority="82">
      <formula>kvartal &lt; 4</formula>
    </cfRule>
  </conditionalFormatting>
  <conditionalFormatting sqref="B115">
    <cfRule type="expression" dxfId="624" priority="45">
      <formula>kvartal &lt; 4</formula>
    </cfRule>
  </conditionalFormatting>
  <conditionalFormatting sqref="C115">
    <cfRule type="expression" dxfId="623" priority="44">
      <formula>kvartal &lt; 4</formula>
    </cfRule>
  </conditionalFormatting>
  <conditionalFormatting sqref="B123">
    <cfRule type="expression" dxfId="622" priority="43">
      <formula>kvartal &lt; 4</formula>
    </cfRule>
  </conditionalFormatting>
  <conditionalFormatting sqref="C123">
    <cfRule type="expression" dxfId="621" priority="42">
      <formula>kvartal &lt; 4</formula>
    </cfRule>
  </conditionalFormatting>
  <conditionalFormatting sqref="F115">
    <cfRule type="expression" dxfId="620" priority="31">
      <formula>kvartal &lt; 4</formula>
    </cfRule>
  </conditionalFormatting>
  <conditionalFormatting sqref="G115">
    <cfRule type="expression" dxfId="619" priority="30">
      <formula>kvartal &lt; 4</formula>
    </cfRule>
  </conditionalFormatting>
  <conditionalFormatting sqref="F123:G123">
    <cfRule type="expression" dxfId="618" priority="29">
      <formula>kvartal &lt; 4</formula>
    </cfRule>
  </conditionalFormatting>
  <conditionalFormatting sqref="J115:K115">
    <cfRule type="expression" dxfId="617" priority="12">
      <formula>kvartal &lt; 4</formula>
    </cfRule>
  </conditionalFormatting>
  <conditionalFormatting sqref="J123:K123">
    <cfRule type="expression" dxfId="616" priority="11">
      <formula>kvartal &lt; 4</formula>
    </cfRule>
  </conditionalFormatting>
  <conditionalFormatting sqref="A50:A52">
    <cfRule type="expression" dxfId="615" priority="8">
      <formula>kvartal &lt; 4</formula>
    </cfRule>
  </conditionalFormatting>
  <conditionalFormatting sqref="A69:A74">
    <cfRule type="expression" dxfId="614" priority="7">
      <formula>kvartal &lt; 4</formula>
    </cfRule>
  </conditionalFormatting>
  <conditionalFormatting sqref="A80:A85">
    <cfRule type="expression" dxfId="613" priority="6">
      <formula>kvartal &lt; 4</formula>
    </cfRule>
  </conditionalFormatting>
  <conditionalFormatting sqref="A90:A95">
    <cfRule type="expression" dxfId="612" priority="5">
      <formula>kvartal &lt; 4</formula>
    </cfRule>
  </conditionalFormatting>
  <conditionalFormatting sqref="A101:A106">
    <cfRule type="expression" dxfId="611" priority="4">
      <formula>kvartal &lt; 4</formula>
    </cfRule>
  </conditionalFormatting>
  <conditionalFormatting sqref="A115">
    <cfRule type="expression" dxfId="610" priority="3">
      <formula>kvartal &lt; 4</formula>
    </cfRule>
  </conditionalFormatting>
  <conditionalFormatting sqref="A123">
    <cfRule type="expression" dxfId="609" priority="2">
      <formula>kvartal &lt; 4</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Q144"/>
  <sheetViews>
    <sheetView showGridLines="0" zoomScaleNormal="100" workbookViewId="0">
      <selection activeCell="A32" sqref="A32"/>
    </sheetView>
  </sheetViews>
  <sheetFormatPr baseColWidth="10" defaultColWidth="11.42578125" defaultRowHeight="12.75" x14ac:dyDescent="0.2"/>
  <cols>
    <col min="1" max="1" width="41.5703125" style="149" customWidth="1"/>
    <col min="2" max="2" width="10.85546875" style="149" customWidth="1"/>
    <col min="3" max="3" width="11" style="149" customWidth="1"/>
    <col min="4" max="5" width="8.7109375" style="149" customWidth="1"/>
    <col min="6" max="7" width="10.85546875" style="149" customWidth="1"/>
    <col min="8" max="9" width="8.7109375" style="149" customWidth="1"/>
    <col min="10" max="11" width="10.85546875" style="149" customWidth="1"/>
    <col min="12" max="13" width="8.7109375" style="149" customWidth="1"/>
    <col min="14" max="14" width="11.42578125" style="149"/>
    <col min="15" max="16384" width="11.42578125" style="1"/>
  </cols>
  <sheetData>
    <row r="1" spans="1:17" x14ac:dyDescent="0.2">
      <c r="A1" s="172" t="s">
        <v>137</v>
      </c>
      <c r="B1" s="701"/>
      <c r="C1" s="248" t="s">
        <v>125</v>
      </c>
      <c r="D1" s="26"/>
      <c r="E1" s="26"/>
      <c r="F1" s="26"/>
      <c r="G1" s="26"/>
      <c r="H1" s="26"/>
      <c r="I1" s="26"/>
      <c r="J1" s="26"/>
      <c r="K1" s="26"/>
      <c r="L1" s="26"/>
      <c r="M1" s="26"/>
    </row>
    <row r="2" spans="1:17" ht="15.75" x14ac:dyDescent="0.25">
      <c r="A2" s="165" t="s">
        <v>28</v>
      </c>
      <c r="B2" s="726"/>
      <c r="C2" s="726"/>
      <c r="D2" s="726"/>
      <c r="E2" s="299"/>
      <c r="F2" s="726"/>
      <c r="G2" s="726"/>
      <c r="H2" s="726"/>
      <c r="I2" s="299"/>
      <c r="J2" s="726"/>
      <c r="K2" s="726"/>
      <c r="L2" s="726"/>
      <c r="M2" s="299"/>
    </row>
    <row r="3" spans="1:17" ht="15.75" x14ac:dyDescent="0.25">
      <c r="A3" s="163"/>
      <c r="B3" s="299"/>
      <c r="C3" s="299"/>
      <c r="D3" s="299"/>
      <c r="E3" s="299"/>
      <c r="F3" s="299"/>
      <c r="G3" s="299"/>
      <c r="H3" s="299"/>
      <c r="I3" s="299"/>
      <c r="J3" s="299"/>
      <c r="K3" s="299"/>
      <c r="L3" s="299"/>
      <c r="M3" s="299"/>
    </row>
    <row r="4" spans="1:17" x14ac:dyDescent="0.2">
      <c r="A4" s="144"/>
      <c r="B4" s="727" t="s">
        <v>0</v>
      </c>
      <c r="C4" s="728"/>
      <c r="D4" s="728"/>
      <c r="E4" s="301"/>
      <c r="F4" s="727" t="s">
        <v>1</v>
      </c>
      <c r="G4" s="728"/>
      <c r="H4" s="728"/>
      <c r="I4" s="304"/>
      <c r="J4" s="727" t="s">
        <v>2</v>
      </c>
      <c r="K4" s="728"/>
      <c r="L4" s="728"/>
      <c r="M4" s="304"/>
    </row>
    <row r="5" spans="1:17" x14ac:dyDescent="0.2">
      <c r="A5" s="158"/>
      <c r="B5" s="152" t="s">
        <v>423</v>
      </c>
      <c r="C5" s="152" t="s">
        <v>424</v>
      </c>
      <c r="D5" s="245" t="s">
        <v>3</v>
      </c>
      <c r="E5" s="305" t="s">
        <v>29</v>
      </c>
      <c r="F5" s="152" t="s">
        <v>423</v>
      </c>
      <c r="G5" s="152" t="s">
        <v>424</v>
      </c>
      <c r="H5" s="245" t="s">
        <v>3</v>
      </c>
      <c r="I5" s="162" t="s">
        <v>29</v>
      </c>
      <c r="J5" s="152" t="s">
        <v>423</v>
      </c>
      <c r="K5" s="152" t="s">
        <v>424</v>
      </c>
      <c r="L5" s="245" t="s">
        <v>3</v>
      </c>
      <c r="M5" s="162" t="s">
        <v>29</v>
      </c>
    </row>
    <row r="6" spans="1:17" x14ac:dyDescent="0.2">
      <c r="A6" s="702"/>
      <c r="B6" s="156"/>
      <c r="C6" s="156"/>
      <c r="D6" s="246" t="s">
        <v>4</v>
      </c>
      <c r="E6" s="156" t="s">
        <v>30</v>
      </c>
      <c r="F6" s="161"/>
      <c r="G6" s="161"/>
      <c r="H6" s="245" t="s">
        <v>4</v>
      </c>
      <c r="I6" s="156" t="s">
        <v>30</v>
      </c>
      <c r="J6" s="161"/>
      <c r="K6" s="161"/>
      <c r="L6" s="245" t="s">
        <v>4</v>
      </c>
      <c r="M6" s="156" t="s">
        <v>30</v>
      </c>
    </row>
    <row r="7" spans="1:17" ht="15.75" x14ac:dyDescent="0.2">
      <c r="A7" s="14" t="s">
        <v>23</v>
      </c>
      <c r="B7" s="306">
        <v>191419</v>
      </c>
      <c r="C7" s="307">
        <v>82386</v>
      </c>
      <c r="D7" s="350">
        <f>IF(B7=0, "    ---- ", IF(ABS(ROUND(100/B7*C7-100,1))&lt;999,ROUND(100/B7*C7-100,1),IF(ROUND(100/B7*C7-100,1)&gt;999,999,-999)))</f>
        <v>-57</v>
      </c>
      <c r="E7" s="11">
        <f>IFERROR(100/'Skjema total MA'!C7*C7,0)</f>
        <v>5.2997883147769285</v>
      </c>
      <c r="F7" s="306">
        <v>137096</v>
      </c>
      <c r="G7" s="307">
        <v>146895</v>
      </c>
      <c r="H7" s="350">
        <f>IF(F7=0, "    ---- ", IF(ABS(ROUND(100/F7*G7-100,1))&lt;999,ROUND(100/F7*G7-100,1),IF(ROUND(100/F7*G7-100,1)&gt;999,999,-999)))</f>
        <v>7.1</v>
      </c>
      <c r="I7" s="160">
        <f>IFERROR(100/'Skjema total MA'!F7*G7,0)</f>
        <v>5.8003166550565695</v>
      </c>
      <c r="J7" s="308">
        <f t="shared" ref="J7:K12" si="0">SUM(B7,F7)</f>
        <v>328515</v>
      </c>
      <c r="K7" s="309">
        <f t="shared" si="0"/>
        <v>229281</v>
      </c>
      <c r="L7" s="427">
        <f>IF(J7=0, "    ---- ", IF(ABS(ROUND(100/J7*K7-100,1))&lt;999,ROUND(100/J7*K7-100,1),IF(ROUND(100/J7*K7-100,1)&gt;999,999,-999)))</f>
        <v>-30.2</v>
      </c>
      <c r="M7" s="11">
        <f>IFERROR(100/'Skjema total MA'!I7*K7,0)</f>
        <v>5.6099399897992335</v>
      </c>
    </row>
    <row r="8" spans="1:17" ht="15.75" x14ac:dyDescent="0.2">
      <c r="A8" s="21" t="s">
        <v>25</v>
      </c>
      <c r="B8" s="281">
        <v>35252.823750000003</v>
      </c>
      <c r="C8" s="282">
        <v>9877.59</v>
      </c>
      <c r="D8" s="166">
        <f t="shared" ref="D8:D12" si="1">IF(B8=0, "    ---- ", IF(ABS(ROUND(100/B8*C8-100,1))&lt;999,ROUND(100/B8*C8-100,1),IF(ROUND(100/B8*C8-100,1)&gt;999,999,-999)))</f>
        <v>-72</v>
      </c>
      <c r="E8" s="27">
        <f>IFERROR(100/'Skjema total MA'!C8*C8,0)</f>
        <v>0.95228324607592463</v>
      </c>
      <c r="F8" s="285"/>
      <c r="G8" s="286"/>
      <c r="H8" s="166"/>
      <c r="I8" s="175"/>
      <c r="J8" s="234">
        <f t="shared" si="0"/>
        <v>35252.823750000003</v>
      </c>
      <c r="K8" s="287">
        <f t="shared" si="0"/>
        <v>9877.59</v>
      </c>
      <c r="L8" s="166">
        <f t="shared" ref="L8:L9" si="2">IF(J8=0, "    ---- ", IF(ABS(ROUND(100/J8*K8-100,1))&lt;999,ROUND(100/J8*K8-100,1),IF(ROUND(100/J8*K8-100,1)&gt;999,999,-999)))</f>
        <v>-72</v>
      </c>
      <c r="M8" s="27">
        <f>IFERROR(100/'Skjema total MA'!I8*K8,0)</f>
        <v>0.95228324607592463</v>
      </c>
    </row>
    <row r="9" spans="1:17" ht="15.75" x14ac:dyDescent="0.2">
      <c r="A9" s="21" t="s">
        <v>24</v>
      </c>
      <c r="B9" s="281">
        <v>13610.165000000001</v>
      </c>
      <c r="C9" s="282">
        <v>6113.1310000000003</v>
      </c>
      <c r="D9" s="166">
        <f t="shared" si="1"/>
        <v>-55.1</v>
      </c>
      <c r="E9" s="27">
        <f>IFERROR(100/'Skjema total MA'!C9*C9,0)</f>
        <v>1.8336057766037972</v>
      </c>
      <c r="F9" s="285"/>
      <c r="G9" s="286"/>
      <c r="H9" s="166"/>
      <c r="I9" s="175"/>
      <c r="J9" s="234">
        <f t="shared" si="0"/>
        <v>13610.165000000001</v>
      </c>
      <c r="K9" s="287">
        <f t="shared" si="0"/>
        <v>6113.1310000000003</v>
      </c>
      <c r="L9" s="166">
        <f t="shared" si="2"/>
        <v>-55.1</v>
      </c>
      <c r="M9" s="27">
        <f>IFERROR(100/'Skjema total MA'!I9*K9,0)</f>
        <v>1.8336057766037972</v>
      </c>
    </row>
    <row r="10" spans="1:17" ht="15.75" x14ac:dyDescent="0.2">
      <c r="A10" s="13" t="s">
        <v>368</v>
      </c>
      <c r="B10" s="310">
        <v>13950113</v>
      </c>
      <c r="C10" s="311">
        <v>12520432</v>
      </c>
      <c r="D10" s="171">
        <f t="shared" si="1"/>
        <v>-10.199999999999999</v>
      </c>
      <c r="E10" s="11">
        <f>IFERROR(100/'Skjema total MA'!C10*C10,0)</f>
        <v>66.411933315742687</v>
      </c>
      <c r="F10" s="310">
        <v>5735210.1809999999</v>
      </c>
      <c r="G10" s="311">
        <v>5403210.9129999997</v>
      </c>
      <c r="H10" s="171">
        <f t="shared" ref="H10:H12" si="3">IF(F10=0, "    ---- ", IF(ABS(ROUND(100/F10*G10-100,1))&lt;999,ROUND(100/F10*G10-100,1),IF(ROUND(100/F10*G10-100,1)&gt;999,999,-999)))</f>
        <v>-5.8</v>
      </c>
      <c r="I10" s="160">
        <f>IFERROR(100/'Skjema total MA'!F10*G10,0)</f>
        <v>11.592378555436261</v>
      </c>
      <c r="J10" s="308">
        <f t="shared" si="0"/>
        <v>19685323.181000002</v>
      </c>
      <c r="K10" s="309">
        <f t="shared" si="0"/>
        <v>17923642.912999999</v>
      </c>
      <c r="L10" s="428">
        <f t="shared" ref="L10:L12" si="4">IF(J10=0, "    ---- ", IF(ABS(ROUND(100/J10*K10-100,1))&lt;999,ROUND(100/J10*K10-100,1),IF(ROUND(100/J10*K10-100,1)&gt;999,999,-999)))</f>
        <v>-8.9</v>
      </c>
      <c r="M10" s="11">
        <f>IFERROR(100/'Skjema total MA'!I10*K10,0)</f>
        <v>27.379927109658315</v>
      </c>
      <c r="Q10" s="149"/>
    </row>
    <row r="11" spans="1:17" s="43" customFormat="1" ht="15.75" x14ac:dyDescent="0.2">
      <c r="A11" s="13" t="s">
        <v>369</v>
      </c>
      <c r="B11" s="310">
        <v>5332</v>
      </c>
      <c r="C11" s="311">
        <v>12545</v>
      </c>
      <c r="D11" s="171">
        <f t="shared" si="1"/>
        <v>135.30000000000001</v>
      </c>
      <c r="E11" s="11">
        <f>IFERROR(100/'Skjema total MA'!C11*C11,0)</f>
        <v>100</v>
      </c>
      <c r="F11" s="310">
        <v>4766</v>
      </c>
      <c r="G11" s="311">
        <v>28412</v>
      </c>
      <c r="H11" s="171">
        <f t="shared" si="3"/>
        <v>496.1</v>
      </c>
      <c r="I11" s="160">
        <f>IFERROR(100/'Skjema total MA'!F11*G11,0)</f>
        <v>22.346809741515653</v>
      </c>
      <c r="J11" s="308">
        <f t="shared" si="0"/>
        <v>10098</v>
      </c>
      <c r="K11" s="309">
        <f t="shared" si="0"/>
        <v>40957</v>
      </c>
      <c r="L11" s="428">
        <f t="shared" si="4"/>
        <v>305.60000000000002</v>
      </c>
      <c r="M11" s="11">
        <f>IFERROR(100/'Skjema total MA'!I11*K11,0)</f>
        <v>29.320722241829763</v>
      </c>
      <c r="N11" s="143"/>
    </row>
    <row r="12" spans="1:17" s="43" customFormat="1" ht="15.75" x14ac:dyDescent="0.2">
      <c r="A12" s="41" t="s">
        <v>370</v>
      </c>
      <c r="B12" s="312">
        <v>2053</v>
      </c>
      <c r="C12" s="313">
        <v>1342</v>
      </c>
      <c r="D12" s="169">
        <f t="shared" si="1"/>
        <v>-34.6</v>
      </c>
      <c r="E12" s="36">
        <f>IFERROR(100/'Skjema total MA'!C12*C12,0)</f>
        <v>100</v>
      </c>
      <c r="F12" s="312">
        <v>11339</v>
      </c>
      <c r="G12" s="313">
        <v>51493</v>
      </c>
      <c r="H12" s="169">
        <f t="shared" si="3"/>
        <v>354.1</v>
      </c>
      <c r="I12" s="169">
        <f>IFERROR(100/'Skjema total MA'!F12*G12,0)</f>
        <v>50.999967473840492</v>
      </c>
      <c r="J12" s="314">
        <f t="shared" si="0"/>
        <v>13392</v>
      </c>
      <c r="K12" s="315">
        <f t="shared" si="0"/>
        <v>52835</v>
      </c>
      <c r="L12" s="429">
        <f t="shared" si="4"/>
        <v>294.5</v>
      </c>
      <c r="M12" s="36">
        <f>IFERROR(100/'Skjema total MA'!I12*K12,0)</f>
        <v>51.642708743024457</v>
      </c>
      <c r="N12" s="143"/>
      <c r="Q12" s="143"/>
    </row>
    <row r="13" spans="1:17" s="43" customFormat="1" x14ac:dyDescent="0.2">
      <c r="A13" s="168"/>
      <c r="B13" s="145"/>
      <c r="C13" s="33"/>
      <c r="D13" s="159"/>
      <c r="E13" s="159"/>
      <c r="F13" s="145"/>
      <c r="G13" s="33"/>
      <c r="H13" s="159"/>
      <c r="I13" s="159"/>
      <c r="J13" s="48"/>
      <c r="K13" s="48"/>
      <c r="L13" s="159"/>
      <c r="M13" s="159"/>
      <c r="N13" s="143"/>
    </row>
    <row r="14" spans="1:17" x14ac:dyDescent="0.2">
      <c r="A14" s="153" t="s">
        <v>278</v>
      </c>
      <c r="B14" s="26"/>
    </row>
    <row r="15" spans="1:17" x14ac:dyDescent="0.2">
      <c r="F15" s="146"/>
      <c r="G15" s="146"/>
      <c r="H15" s="146"/>
      <c r="I15" s="146"/>
      <c r="J15" s="146"/>
      <c r="K15" s="146"/>
      <c r="L15" s="146"/>
      <c r="M15" s="146"/>
    </row>
    <row r="16" spans="1:17" s="3" customFormat="1" ht="15.75" x14ac:dyDescent="0.25">
      <c r="A16" s="164"/>
      <c r="B16" s="148"/>
      <c r="C16" s="154"/>
      <c r="D16" s="154"/>
      <c r="E16" s="154"/>
      <c r="F16" s="154"/>
      <c r="G16" s="154"/>
      <c r="H16" s="154"/>
      <c r="I16" s="154"/>
      <c r="J16" s="154"/>
      <c r="K16" s="154"/>
      <c r="L16" s="154"/>
      <c r="M16" s="154"/>
      <c r="N16" s="148"/>
    </row>
    <row r="17" spans="1:14" ht="15.75" x14ac:dyDescent="0.25">
      <c r="A17" s="147" t="s">
        <v>275</v>
      </c>
      <c r="B17" s="157"/>
      <c r="C17" s="157"/>
      <c r="D17" s="151"/>
      <c r="E17" s="151"/>
      <c r="F17" s="157"/>
      <c r="G17" s="157"/>
      <c r="H17" s="157"/>
      <c r="I17" s="157"/>
      <c r="J17" s="157"/>
      <c r="K17" s="157"/>
      <c r="L17" s="157"/>
      <c r="M17" s="157"/>
    </row>
    <row r="18" spans="1:14" ht="15.75" x14ac:dyDescent="0.25">
      <c r="B18" s="729"/>
      <c r="C18" s="729"/>
      <c r="D18" s="729"/>
      <c r="E18" s="299"/>
      <c r="F18" s="729"/>
      <c r="G18" s="729"/>
      <c r="H18" s="729"/>
      <c r="I18" s="299"/>
      <c r="J18" s="729"/>
      <c r="K18" s="729"/>
      <c r="L18" s="729"/>
      <c r="M18" s="299"/>
    </row>
    <row r="19" spans="1:14" x14ac:dyDescent="0.2">
      <c r="A19" s="144"/>
      <c r="B19" s="727" t="s">
        <v>0</v>
      </c>
      <c r="C19" s="728"/>
      <c r="D19" s="728"/>
      <c r="E19" s="301"/>
      <c r="F19" s="727" t="s">
        <v>1</v>
      </c>
      <c r="G19" s="728"/>
      <c r="H19" s="728"/>
      <c r="I19" s="304"/>
      <c r="J19" s="727" t="s">
        <v>2</v>
      </c>
      <c r="K19" s="728"/>
      <c r="L19" s="728"/>
      <c r="M19" s="304"/>
    </row>
    <row r="20" spans="1:14" x14ac:dyDescent="0.2">
      <c r="A20" s="140" t="s">
        <v>5</v>
      </c>
      <c r="B20" s="152" t="s">
        <v>423</v>
      </c>
      <c r="C20" s="152" t="s">
        <v>424</v>
      </c>
      <c r="D20" s="162" t="s">
        <v>3</v>
      </c>
      <c r="E20" s="305" t="s">
        <v>29</v>
      </c>
      <c r="F20" s="152" t="s">
        <v>423</v>
      </c>
      <c r="G20" s="152" t="s">
        <v>424</v>
      </c>
      <c r="H20" s="162" t="s">
        <v>3</v>
      </c>
      <c r="I20" s="162" t="s">
        <v>29</v>
      </c>
      <c r="J20" s="152" t="s">
        <v>423</v>
      </c>
      <c r="K20" s="152" t="s">
        <v>424</v>
      </c>
      <c r="L20" s="162" t="s">
        <v>3</v>
      </c>
      <c r="M20" s="162" t="s">
        <v>29</v>
      </c>
    </row>
    <row r="21" spans="1:14" x14ac:dyDescent="0.2">
      <c r="A21" s="703"/>
      <c r="B21" s="156"/>
      <c r="C21" s="156"/>
      <c r="D21" s="246" t="s">
        <v>4</v>
      </c>
      <c r="E21" s="156" t="s">
        <v>30</v>
      </c>
      <c r="F21" s="161"/>
      <c r="G21" s="161"/>
      <c r="H21" s="245" t="s">
        <v>4</v>
      </c>
      <c r="I21" s="156" t="s">
        <v>30</v>
      </c>
      <c r="J21" s="161"/>
      <c r="K21" s="161"/>
      <c r="L21" s="156" t="s">
        <v>4</v>
      </c>
      <c r="M21" s="156" t="s">
        <v>30</v>
      </c>
    </row>
    <row r="22" spans="1:14" ht="15.75" x14ac:dyDescent="0.2">
      <c r="A22" s="14" t="s">
        <v>23</v>
      </c>
      <c r="B22" s="310">
        <v>117323</v>
      </c>
      <c r="C22" s="310">
        <v>95240</v>
      </c>
      <c r="D22" s="350">
        <f t="shared" ref="D22:D37" si="5">IF(B22=0, "    ---- ", IF(ABS(ROUND(100/B22*C22-100,1))&lt;999,ROUND(100/B22*C22-100,1),IF(ROUND(100/B22*C22-100,1)&gt;999,999,-999)))</f>
        <v>-18.8</v>
      </c>
      <c r="E22" s="11">
        <f>IFERROR(100/'Skjema total MA'!C22*C22,0)</f>
        <v>13.713877951315524</v>
      </c>
      <c r="F22" s="318">
        <v>17668</v>
      </c>
      <c r="G22" s="318">
        <v>26142.304</v>
      </c>
      <c r="H22" s="350">
        <f t="shared" ref="H22:H35" si="6">IF(F22=0, "    ---- ", IF(ABS(ROUND(100/F22*G22-100,1))&lt;999,ROUND(100/F22*G22-100,1),IF(ROUND(100/F22*G22-100,1)&gt;999,999,-999)))</f>
        <v>48</v>
      </c>
      <c r="I22" s="11">
        <f>IFERROR(100/'Skjema total MA'!F22*G22,0)</f>
        <v>7.8262256902500766</v>
      </c>
      <c r="J22" s="316">
        <f t="shared" ref="J22:K35" si="7">SUM(B22,F22)</f>
        <v>134991</v>
      </c>
      <c r="K22" s="316">
        <f t="shared" si="7"/>
        <v>121382.304</v>
      </c>
      <c r="L22" s="427">
        <f t="shared" ref="L22:L37" si="8">IF(J22=0, "    ---- ", IF(ABS(ROUND(100/J22*K22-100,1))&lt;999,ROUND(100/J22*K22-100,1),IF(ROUND(100/J22*K22-100,1)&gt;999,999,-999)))</f>
        <v>-10.1</v>
      </c>
      <c r="M22" s="24">
        <f>IFERROR(100/'Skjema total MA'!I22*K22,0)</f>
        <v>11.80172071770847</v>
      </c>
    </row>
    <row r="23" spans="1:14" ht="15.75" x14ac:dyDescent="0.2">
      <c r="A23" s="583" t="s">
        <v>371</v>
      </c>
      <c r="B23" s="281">
        <v>100326</v>
      </c>
      <c r="C23" s="281">
        <v>79705</v>
      </c>
      <c r="D23" s="166">
        <f t="shared" si="5"/>
        <v>-20.6</v>
      </c>
      <c r="E23" s="11">
        <f>IFERROR(100/'Skjema total MA'!C23*C23,0)</f>
        <v>25.332099339437562</v>
      </c>
      <c r="F23" s="290">
        <v>14751</v>
      </c>
      <c r="G23" s="290">
        <v>20514.137999999999</v>
      </c>
      <c r="H23" s="166">
        <f t="shared" si="6"/>
        <v>39.1</v>
      </c>
      <c r="I23" s="417">
        <f>IFERROR(100/'Skjema total MA'!F23*G23,0)</f>
        <v>73.986951624343362</v>
      </c>
      <c r="J23" s="290">
        <f t="shared" ref="J23:J25" si="9">SUM(B23,F23)</f>
        <v>115077</v>
      </c>
      <c r="K23" s="290">
        <f t="shared" ref="K23:K25" si="10">SUM(C23,G23)</f>
        <v>100219.13800000001</v>
      </c>
      <c r="L23" s="166">
        <f t="shared" si="8"/>
        <v>-12.9</v>
      </c>
      <c r="M23" s="23">
        <f>IFERROR(100/'Skjema total MA'!I23*K23,0)</f>
        <v>29.272427296421331</v>
      </c>
    </row>
    <row r="24" spans="1:14" ht="15.75" x14ac:dyDescent="0.2">
      <c r="A24" s="583" t="s">
        <v>372</v>
      </c>
      <c r="B24" s="281">
        <v>6032</v>
      </c>
      <c r="C24" s="281">
        <v>5648</v>
      </c>
      <c r="D24" s="166">
        <f t="shared" si="5"/>
        <v>-6.4</v>
      </c>
      <c r="E24" s="11">
        <f>IFERROR(100/'Skjema total MA'!C24*C24,0)</f>
        <v>75.63949192835419</v>
      </c>
      <c r="F24" s="290">
        <v>38</v>
      </c>
      <c r="G24" s="290">
        <v>102.34399999999999</v>
      </c>
      <c r="H24" s="166">
        <f t="shared" si="6"/>
        <v>169.3</v>
      </c>
      <c r="I24" s="417">
        <f>IFERROR(100/'Skjema total MA'!F24*G24,0)</f>
        <v>18.851753168468296</v>
      </c>
      <c r="J24" s="290">
        <f t="shared" si="9"/>
        <v>6070</v>
      </c>
      <c r="K24" s="290">
        <f t="shared" si="10"/>
        <v>5750.3440000000001</v>
      </c>
      <c r="L24" s="166">
        <f t="shared" si="8"/>
        <v>-5.3</v>
      </c>
      <c r="M24" s="23">
        <f>IFERROR(100/'Skjema total MA'!I24*K24,0)</f>
        <v>71.790572595517745</v>
      </c>
    </row>
    <row r="25" spans="1:14" ht="15.75" x14ac:dyDescent="0.2">
      <c r="A25" s="583" t="s">
        <v>373</v>
      </c>
      <c r="B25" s="281">
        <v>10965</v>
      </c>
      <c r="C25" s="281">
        <v>9887</v>
      </c>
      <c r="D25" s="166">
        <f t="shared" si="5"/>
        <v>-9.8000000000000007</v>
      </c>
      <c r="E25" s="11">
        <f>IFERROR(100/'Skjema total MA'!C25*C25,0)</f>
        <v>96.581029598515187</v>
      </c>
      <c r="F25" s="290">
        <v>2879</v>
      </c>
      <c r="G25" s="290">
        <v>5525.8220000000001</v>
      </c>
      <c r="H25" s="166">
        <f t="shared" si="6"/>
        <v>91.9</v>
      </c>
      <c r="I25" s="417">
        <f>IFERROR(100/'Skjema total MA'!F25*G25,0)</f>
        <v>60.3906833465497</v>
      </c>
      <c r="J25" s="290">
        <f t="shared" si="9"/>
        <v>13844</v>
      </c>
      <c r="K25" s="290">
        <f t="shared" si="10"/>
        <v>15412.822</v>
      </c>
      <c r="L25" s="166">
        <f t="shared" si="8"/>
        <v>11.3</v>
      </c>
      <c r="M25" s="23">
        <f>IFERROR(100/'Skjema total MA'!I25*K25,0)</f>
        <v>79.500304122478767</v>
      </c>
    </row>
    <row r="26" spans="1:14" ht="15.75" x14ac:dyDescent="0.2">
      <c r="A26" s="583" t="s">
        <v>374</v>
      </c>
      <c r="B26" s="281"/>
      <c r="C26" s="281"/>
      <c r="D26" s="166"/>
      <c r="E26" s="11"/>
      <c r="F26" s="290"/>
      <c r="G26" s="290"/>
      <c r="H26" s="166"/>
      <c r="I26" s="417"/>
      <c r="J26" s="290"/>
      <c r="K26" s="290"/>
      <c r="L26" s="166"/>
      <c r="M26" s="23"/>
    </row>
    <row r="27" spans="1:14" x14ac:dyDescent="0.2">
      <c r="A27" s="583" t="s">
        <v>11</v>
      </c>
      <c r="B27" s="281"/>
      <c r="C27" s="281"/>
      <c r="D27" s="166"/>
      <c r="E27" s="11"/>
      <c r="F27" s="290"/>
      <c r="G27" s="290"/>
      <c r="H27" s="166"/>
      <c r="I27" s="417"/>
      <c r="J27" s="290"/>
      <c r="K27" s="290"/>
      <c r="L27" s="166"/>
      <c r="M27" s="23"/>
    </row>
    <row r="28" spans="1:14" ht="15.75" x14ac:dyDescent="0.2">
      <c r="A28" s="49" t="s">
        <v>279</v>
      </c>
      <c r="B28" s="44">
        <v>51151.328999999998</v>
      </c>
      <c r="C28" s="287">
        <v>29603.864000000001</v>
      </c>
      <c r="D28" s="166">
        <f t="shared" si="5"/>
        <v>-42.1</v>
      </c>
      <c r="E28" s="11">
        <f>IFERROR(100/'Skjema total MA'!C28*C28,0)</f>
        <v>4.0646522541392667</v>
      </c>
      <c r="F28" s="234"/>
      <c r="G28" s="287"/>
      <c r="H28" s="166"/>
      <c r="I28" s="27"/>
      <c r="J28" s="44">
        <f t="shared" si="7"/>
        <v>51151.328999999998</v>
      </c>
      <c r="K28" s="44">
        <f t="shared" si="7"/>
        <v>29603.864000000001</v>
      </c>
      <c r="L28" s="254">
        <f t="shared" si="8"/>
        <v>-42.1</v>
      </c>
      <c r="M28" s="23">
        <f>IFERROR(100/'Skjema total MA'!I28*K28,0)</f>
        <v>4.0646522541392667</v>
      </c>
    </row>
    <row r="29" spans="1:14" s="3" customFormat="1" ht="15.75" x14ac:dyDescent="0.2">
      <c r="A29" s="13" t="s">
        <v>368</v>
      </c>
      <c r="B29" s="236">
        <v>25877705</v>
      </c>
      <c r="C29" s="236">
        <v>24783335</v>
      </c>
      <c r="D29" s="171">
        <f t="shared" si="5"/>
        <v>-4.2</v>
      </c>
      <c r="E29" s="11">
        <f>IFERROR(100/'Skjema total MA'!C29*C29,0)</f>
        <v>52.920985446363503</v>
      </c>
      <c r="F29" s="308">
        <v>5424781.9919999996</v>
      </c>
      <c r="G29" s="308">
        <v>5019383.1310000001</v>
      </c>
      <c r="H29" s="171">
        <f t="shared" si="6"/>
        <v>-7.5</v>
      </c>
      <c r="I29" s="11">
        <f>IFERROR(100/'Skjema total MA'!F29*G29,0)</f>
        <v>24.987252152149363</v>
      </c>
      <c r="J29" s="236">
        <f t="shared" si="7"/>
        <v>31302486.991999999</v>
      </c>
      <c r="K29" s="236">
        <f t="shared" si="7"/>
        <v>29802718.131000001</v>
      </c>
      <c r="L29" s="428">
        <f t="shared" si="8"/>
        <v>-4.8</v>
      </c>
      <c r="M29" s="24">
        <f>IFERROR(100/'Skjema total MA'!I29*K29,0)</f>
        <v>44.535774970629937</v>
      </c>
      <c r="N29" s="148"/>
    </row>
    <row r="30" spans="1:14" s="3" customFormat="1" ht="15.75" x14ac:dyDescent="0.2">
      <c r="A30" s="583" t="s">
        <v>371</v>
      </c>
      <c r="B30" s="281">
        <v>5587675</v>
      </c>
      <c r="C30" s="281">
        <v>9849958</v>
      </c>
      <c r="D30" s="166">
        <f t="shared" si="5"/>
        <v>76.3</v>
      </c>
      <c r="E30" s="11">
        <f>IFERROR(100/'Skjema total MA'!C30*C30,0)</f>
        <v>68.907157465407721</v>
      </c>
      <c r="F30" s="290">
        <v>1879767.73</v>
      </c>
      <c r="G30" s="290">
        <v>1829957.0619999999</v>
      </c>
      <c r="H30" s="166">
        <f t="shared" si="6"/>
        <v>-2.6</v>
      </c>
      <c r="I30" s="417">
        <f>IFERROR(100/'Skjema total MA'!F30*G30,0)</f>
        <v>46.342813615381992</v>
      </c>
      <c r="J30" s="290">
        <f t="shared" ref="J30:J32" si="11">SUM(B30,F30)</f>
        <v>7467442.7300000004</v>
      </c>
      <c r="K30" s="290">
        <f t="shared" ref="K30:K32" si="12">SUM(C30,G30)</f>
        <v>11679915.061999999</v>
      </c>
      <c r="L30" s="166">
        <f t="shared" si="8"/>
        <v>56.4</v>
      </c>
      <c r="M30" s="23">
        <f>IFERROR(100/'Skjema total MA'!I30*K30,0)</f>
        <v>64.023126536955573</v>
      </c>
      <c r="N30" s="148"/>
    </row>
    <row r="31" spans="1:14" s="3" customFormat="1" ht="15.75" x14ac:dyDescent="0.2">
      <c r="A31" s="583" t="s">
        <v>372</v>
      </c>
      <c r="B31" s="281">
        <v>19308064</v>
      </c>
      <c r="C31" s="281">
        <v>12389706</v>
      </c>
      <c r="D31" s="166">
        <f t="shared" si="5"/>
        <v>-35.799999999999997</v>
      </c>
      <c r="E31" s="11">
        <f>IFERROR(100/'Skjema total MA'!C31*C31,0)</f>
        <v>50.596024216006349</v>
      </c>
      <c r="F31" s="290">
        <v>3147977.4350000001</v>
      </c>
      <c r="G31" s="290">
        <v>2795857.9350000001</v>
      </c>
      <c r="H31" s="166">
        <f t="shared" si="6"/>
        <v>-11.2</v>
      </c>
      <c r="I31" s="417">
        <f>IFERROR(100/'Skjema total MA'!F31*G31,0)</f>
        <v>32.369435421937411</v>
      </c>
      <c r="J31" s="290">
        <f t="shared" si="11"/>
        <v>22456041.434999999</v>
      </c>
      <c r="K31" s="290">
        <f t="shared" si="12"/>
        <v>15185563.935000001</v>
      </c>
      <c r="L31" s="166">
        <f t="shared" si="8"/>
        <v>-32.4</v>
      </c>
      <c r="M31" s="23">
        <f>IFERROR(100/'Skjema total MA'!I31*K31,0)</f>
        <v>45.843421916119418</v>
      </c>
      <c r="N31" s="148"/>
    </row>
    <row r="32" spans="1:14" ht="15.75" x14ac:dyDescent="0.2">
      <c r="A32" s="583" t="s">
        <v>373</v>
      </c>
      <c r="B32" s="281">
        <v>981966</v>
      </c>
      <c r="C32" s="281">
        <v>2543671</v>
      </c>
      <c r="D32" s="166">
        <f t="shared" si="5"/>
        <v>159</v>
      </c>
      <c r="E32" s="11">
        <f>IFERROR(100/'Skjema total MA'!C32*C32,0)</f>
        <v>85.413522768038263</v>
      </c>
      <c r="F32" s="290">
        <v>397036.82699999999</v>
      </c>
      <c r="G32" s="290">
        <v>393568.13400000002</v>
      </c>
      <c r="H32" s="166">
        <f t="shared" si="6"/>
        <v>-0.9</v>
      </c>
      <c r="I32" s="417">
        <f>IFERROR(100/'Skjema total MA'!F32*G32,0)</f>
        <v>9.2256088331520552</v>
      </c>
      <c r="J32" s="290">
        <f t="shared" si="11"/>
        <v>1379002.827</v>
      </c>
      <c r="K32" s="290">
        <f t="shared" si="12"/>
        <v>2937239.1340000001</v>
      </c>
      <c r="L32" s="166">
        <f t="shared" si="8"/>
        <v>113</v>
      </c>
      <c r="M32" s="23">
        <f>IFERROR(100/'Skjema total MA'!I32*K32,0)</f>
        <v>40.546608514225568</v>
      </c>
    </row>
    <row r="33" spans="1:14" ht="15.75" x14ac:dyDescent="0.2">
      <c r="A33" s="583" t="s">
        <v>374</v>
      </c>
      <c r="B33" s="281"/>
      <c r="C33" s="281"/>
      <c r="D33" s="166"/>
      <c r="E33" s="11"/>
      <c r="F33" s="290"/>
      <c r="G33" s="290"/>
      <c r="H33" s="166"/>
      <c r="I33" s="417"/>
      <c r="J33" s="290"/>
      <c r="K33" s="290"/>
      <c r="L33" s="166"/>
      <c r="M33" s="23"/>
    </row>
    <row r="34" spans="1:14" ht="15.75" x14ac:dyDescent="0.2">
      <c r="A34" s="13" t="s">
        <v>369</v>
      </c>
      <c r="B34" s="236">
        <v>4196</v>
      </c>
      <c r="C34" s="309">
        <v>3431</v>
      </c>
      <c r="D34" s="171">
        <f t="shared" si="5"/>
        <v>-18.2</v>
      </c>
      <c r="E34" s="11">
        <f>IFERROR(100/'Skjema total MA'!C34*C34,0)</f>
        <v>53.268432065205154</v>
      </c>
      <c r="F34" s="308">
        <v>-686</v>
      </c>
      <c r="G34" s="309">
        <v>-20788</v>
      </c>
      <c r="H34" s="171">
        <f t="shared" si="6"/>
        <v>999</v>
      </c>
      <c r="I34" s="11">
        <f>IFERROR(100/'Skjema total MA'!F34*G34,0)</f>
        <v>-185.13521715458364</v>
      </c>
      <c r="J34" s="236">
        <f t="shared" si="7"/>
        <v>3510</v>
      </c>
      <c r="K34" s="236">
        <f t="shared" si="7"/>
        <v>-17357</v>
      </c>
      <c r="L34" s="428">
        <f t="shared" si="8"/>
        <v>-594.5</v>
      </c>
      <c r="M34" s="24">
        <f>IFERROR(100/'Skjema total MA'!I34*K34,0)</f>
        <v>-98.231344723151636</v>
      </c>
    </row>
    <row r="35" spans="1:14" ht="15.75" x14ac:dyDescent="0.2">
      <c r="A35" s="13" t="s">
        <v>370</v>
      </c>
      <c r="B35" s="236">
        <v>-7871</v>
      </c>
      <c r="C35" s="309">
        <v>-22916</v>
      </c>
      <c r="D35" s="171">
        <f t="shared" si="5"/>
        <v>191.1</v>
      </c>
      <c r="E35" s="11">
        <f>IFERROR(100/'Skjema total MA'!C35*C35,0)</f>
        <v>111.99547603179082</v>
      </c>
      <c r="F35" s="308">
        <v>2204</v>
      </c>
      <c r="G35" s="309">
        <v>17553</v>
      </c>
      <c r="H35" s="171">
        <f t="shared" si="6"/>
        <v>696.4</v>
      </c>
      <c r="I35" s="11">
        <f>IFERROR(100/'Skjema total MA'!F35*G35,0)</f>
        <v>38.556504872220316</v>
      </c>
      <c r="J35" s="236">
        <f t="shared" si="7"/>
        <v>-5667</v>
      </c>
      <c r="K35" s="236">
        <f t="shared" si="7"/>
        <v>-5363</v>
      </c>
      <c r="L35" s="428">
        <f t="shared" si="8"/>
        <v>-5.4</v>
      </c>
      <c r="M35" s="24">
        <f>IFERROR(100/'Skjema total MA'!I35*K35,0)</f>
        <v>-21.397350089445112</v>
      </c>
    </row>
    <row r="36" spans="1:14" ht="15.75" x14ac:dyDescent="0.2">
      <c r="A36" s="12" t="s">
        <v>287</v>
      </c>
      <c r="B36" s="236">
        <v>991</v>
      </c>
      <c r="C36" s="309">
        <v>649</v>
      </c>
      <c r="D36" s="171">
        <f t="shared" si="5"/>
        <v>-34.5</v>
      </c>
      <c r="E36" s="11">
        <f>100/'Skjema total MA'!C36*C36</f>
        <v>94.522638827394957</v>
      </c>
      <c r="F36" s="319"/>
      <c r="G36" s="320"/>
      <c r="H36" s="171"/>
      <c r="I36" s="434"/>
      <c r="J36" s="236">
        <f t="shared" ref="J36:J37" si="13">SUM(B36,F36)</f>
        <v>991</v>
      </c>
      <c r="K36" s="236">
        <f t="shared" ref="K36:K37" si="14">SUM(C36,G36)</f>
        <v>649</v>
      </c>
      <c r="L36" s="428">
        <f t="shared" si="8"/>
        <v>-34.5</v>
      </c>
      <c r="M36" s="24">
        <f>IFERROR(100/'Skjema total MA'!I36*K36,0)</f>
        <v>94.522638827394957</v>
      </c>
    </row>
    <row r="37" spans="1:14" ht="15.75" x14ac:dyDescent="0.2">
      <c r="A37" s="12" t="s">
        <v>376</v>
      </c>
      <c r="B37" s="236">
        <v>3282141.2</v>
      </c>
      <c r="C37" s="309">
        <v>3107950</v>
      </c>
      <c r="D37" s="171">
        <f t="shared" si="5"/>
        <v>-5.3</v>
      </c>
      <c r="E37" s="11">
        <f>100/'Skjema total MA'!C37*C37</f>
        <v>87.139520455418335</v>
      </c>
      <c r="F37" s="319"/>
      <c r="G37" s="321"/>
      <c r="H37" s="171"/>
      <c r="I37" s="434"/>
      <c r="J37" s="236">
        <f t="shared" si="13"/>
        <v>3282141.2</v>
      </c>
      <c r="K37" s="236">
        <f t="shared" si="14"/>
        <v>3107950</v>
      </c>
      <c r="L37" s="428">
        <f t="shared" si="8"/>
        <v>-5.3</v>
      </c>
      <c r="M37" s="24">
        <f>IFERROR(100/'Skjema total MA'!I37*K37,0)</f>
        <v>87.139520455418335</v>
      </c>
    </row>
    <row r="38" spans="1:14" ht="15.75" x14ac:dyDescent="0.2">
      <c r="A38" s="12" t="s">
        <v>377</v>
      </c>
      <c r="B38" s="236"/>
      <c r="C38" s="309"/>
      <c r="D38" s="171"/>
      <c r="E38" s="24"/>
      <c r="F38" s="319"/>
      <c r="G38" s="320"/>
      <c r="H38" s="171"/>
      <c r="I38" s="434"/>
      <c r="J38" s="236"/>
      <c r="K38" s="236"/>
      <c r="L38" s="428"/>
      <c r="M38" s="24"/>
    </row>
    <row r="39" spans="1:14" ht="15.75" x14ac:dyDescent="0.2">
      <c r="A39" s="18" t="s">
        <v>378</v>
      </c>
      <c r="B39" s="276"/>
      <c r="C39" s="315"/>
      <c r="D39" s="169"/>
      <c r="E39" s="36"/>
      <c r="F39" s="322"/>
      <c r="G39" s="323"/>
      <c r="H39" s="169"/>
      <c r="I39" s="36"/>
      <c r="J39" s="236"/>
      <c r="K39" s="236"/>
      <c r="L39" s="429"/>
      <c r="M39" s="36"/>
    </row>
    <row r="40" spans="1:14" ht="15.75" x14ac:dyDescent="0.25">
      <c r="A40" s="47"/>
      <c r="B40" s="253"/>
      <c r="C40" s="253"/>
      <c r="D40" s="730"/>
      <c r="E40" s="730"/>
      <c r="F40" s="730"/>
      <c r="G40" s="730"/>
      <c r="H40" s="730"/>
      <c r="I40" s="730"/>
      <c r="J40" s="730"/>
      <c r="K40" s="730"/>
      <c r="L40" s="730"/>
      <c r="M40" s="302"/>
    </row>
    <row r="41" spans="1:14" x14ac:dyDescent="0.2">
      <c r="A41" s="155"/>
    </row>
    <row r="42" spans="1:14" ht="15.75" x14ac:dyDescent="0.25">
      <c r="A42" s="147" t="s">
        <v>276</v>
      </c>
      <c r="B42" s="726"/>
      <c r="C42" s="726"/>
      <c r="D42" s="726"/>
      <c r="E42" s="299"/>
      <c r="F42" s="731"/>
      <c r="G42" s="731"/>
      <c r="H42" s="731"/>
      <c r="I42" s="302"/>
      <c r="J42" s="731"/>
      <c r="K42" s="731"/>
      <c r="L42" s="731"/>
      <c r="M42" s="302"/>
    </row>
    <row r="43" spans="1:14" ht="15.75" x14ac:dyDescent="0.25">
      <c r="A43" s="163"/>
      <c r="B43" s="303"/>
      <c r="C43" s="303"/>
      <c r="D43" s="303"/>
      <c r="E43" s="303"/>
      <c r="F43" s="302"/>
      <c r="G43" s="302"/>
      <c r="H43" s="302"/>
      <c r="I43" s="302"/>
      <c r="J43" s="302"/>
      <c r="K43" s="302"/>
      <c r="L43" s="302"/>
      <c r="M43" s="302"/>
    </row>
    <row r="44" spans="1:14" ht="15.75" x14ac:dyDescent="0.25">
      <c r="A44" s="247"/>
      <c r="B44" s="727" t="s">
        <v>0</v>
      </c>
      <c r="C44" s="728"/>
      <c r="D44" s="728"/>
      <c r="E44" s="243"/>
      <c r="F44" s="302"/>
      <c r="G44" s="302"/>
      <c r="H44" s="302"/>
      <c r="I44" s="302"/>
      <c r="J44" s="302"/>
      <c r="K44" s="302"/>
      <c r="L44" s="302"/>
      <c r="M44" s="302"/>
    </row>
    <row r="45" spans="1:14" s="3" customFormat="1" x14ac:dyDescent="0.2">
      <c r="A45" s="140"/>
      <c r="B45" s="152" t="s">
        <v>423</v>
      </c>
      <c r="C45" s="152" t="s">
        <v>424</v>
      </c>
      <c r="D45" s="162" t="s">
        <v>3</v>
      </c>
      <c r="E45" s="162" t="s">
        <v>29</v>
      </c>
      <c r="F45" s="174"/>
      <c r="G45" s="174"/>
      <c r="H45" s="173"/>
      <c r="I45" s="173"/>
      <c r="J45" s="174"/>
      <c r="K45" s="174"/>
      <c r="L45" s="173"/>
      <c r="M45" s="173"/>
      <c r="N45" s="148"/>
    </row>
    <row r="46" spans="1:14" s="3" customFormat="1" x14ac:dyDescent="0.2">
      <c r="A46" s="703"/>
      <c r="B46" s="244"/>
      <c r="C46" s="244"/>
      <c r="D46" s="245" t="s">
        <v>4</v>
      </c>
      <c r="E46" s="156" t="s">
        <v>30</v>
      </c>
      <c r="F46" s="173"/>
      <c r="G46" s="173"/>
      <c r="H46" s="173"/>
      <c r="I46" s="173"/>
      <c r="J46" s="173"/>
      <c r="K46" s="173"/>
      <c r="L46" s="173"/>
      <c r="M46" s="173"/>
      <c r="N46" s="148"/>
    </row>
    <row r="47" spans="1:14" s="3" customFormat="1" ht="15.75" x14ac:dyDescent="0.2">
      <c r="A47" s="14" t="s">
        <v>23</v>
      </c>
      <c r="B47" s="310">
        <v>306461</v>
      </c>
      <c r="C47" s="311">
        <v>266239</v>
      </c>
      <c r="D47" s="427">
        <f t="shared" ref="D47:D57" si="15">IF(B47=0, "    ---- ", IF(ABS(ROUND(100/B47*C47-100,1))&lt;999,ROUND(100/B47*C47-100,1),IF(ROUND(100/B47*C47-100,1)&gt;999,999,-999)))</f>
        <v>-13.1</v>
      </c>
      <c r="E47" s="11">
        <f>IFERROR(100/'Skjema total MA'!C47*C47,0)</f>
        <v>9.2264488253168828</v>
      </c>
      <c r="F47" s="145"/>
      <c r="G47" s="33"/>
      <c r="H47" s="159"/>
      <c r="I47" s="159"/>
      <c r="J47" s="37"/>
      <c r="K47" s="37"/>
      <c r="L47" s="159"/>
      <c r="M47" s="159"/>
      <c r="N47" s="148"/>
    </row>
    <row r="48" spans="1:14" s="3" customFormat="1" ht="15.75" x14ac:dyDescent="0.2">
      <c r="A48" s="38" t="s">
        <v>379</v>
      </c>
      <c r="B48" s="281">
        <v>204734</v>
      </c>
      <c r="C48" s="282">
        <v>266239</v>
      </c>
      <c r="D48" s="254">
        <f t="shared" si="15"/>
        <v>30</v>
      </c>
      <c r="E48" s="27">
        <f>IFERROR(100/'Skjema total MA'!C48*C48,0)</f>
        <v>16.977773968864245</v>
      </c>
      <c r="F48" s="145"/>
      <c r="G48" s="33"/>
      <c r="H48" s="145"/>
      <c r="I48" s="145"/>
      <c r="J48" s="33"/>
      <c r="K48" s="33"/>
      <c r="L48" s="159"/>
      <c r="M48" s="159"/>
      <c r="N48" s="148"/>
    </row>
    <row r="49" spans="1:14" s="3" customFormat="1" ht="15.75" x14ac:dyDescent="0.2">
      <c r="A49" s="38" t="s">
        <v>380</v>
      </c>
      <c r="B49" s="44">
        <v>101727</v>
      </c>
      <c r="C49" s="287">
        <v>0</v>
      </c>
      <c r="D49" s="254">
        <f>IF(B49=0, "    ---- ", IF(ABS(ROUND(100/B49*C49-100,1))&lt;999,ROUND(100/B49*C49-100,1),IF(ROUND(100/B49*C49-100,1)&gt;999,999,-999)))</f>
        <v>-100</v>
      </c>
      <c r="E49" s="27">
        <f>IFERROR(100/'Skjema total MA'!C49*C49,0)</f>
        <v>0</v>
      </c>
      <c r="F49" s="145"/>
      <c r="G49" s="33"/>
      <c r="H49" s="145"/>
      <c r="I49" s="145"/>
      <c r="J49" s="37"/>
      <c r="K49" s="37"/>
      <c r="L49" s="159"/>
      <c r="M49" s="159"/>
      <c r="N49" s="148"/>
    </row>
    <row r="50" spans="1:14" s="3" customFormat="1" x14ac:dyDescent="0.2">
      <c r="A50" s="296" t="s">
        <v>6</v>
      </c>
      <c r="B50" s="290"/>
      <c r="C50" s="291"/>
      <c r="D50" s="254"/>
      <c r="E50" s="23"/>
      <c r="F50" s="145"/>
      <c r="G50" s="33"/>
      <c r="H50" s="145"/>
      <c r="I50" s="145"/>
      <c r="J50" s="33"/>
      <c r="K50" s="33"/>
      <c r="L50" s="159"/>
      <c r="M50" s="159"/>
      <c r="N50" s="148"/>
    </row>
    <row r="51" spans="1:14" s="3" customFormat="1" x14ac:dyDescent="0.2">
      <c r="A51" s="296" t="s">
        <v>7</v>
      </c>
      <c r="B51" s="290"/>
      <c r="C51" s="291"/>
      <c r="D51" s="254"/>
      <c r="E51" s="23"/>
      <c r="F51" s="145"/>
      <c r="G51" s="33"/>
      <c r="H51" s="145"/>
      <c r="I51" s="145"/>
      <c r="J51" s="33"/>
      <c r="K51" s="33"/>
      <c r="L51" s="159"/>
      <c r="M51" s="159"/>
      <c r="N51" s="148"/>
    </row>
    <row r="52" spans="1:14" s="3" customFormat="1" x14ac:dyDescent="0.2">
      <c r="A52" s="296" t="s">
        <v>8</v>
      </c>
      <c r="B52" s="290"/>
      <c r="C52" s="291"/>
      <c r="D52" s="254"/>
      <c r="E52" s="23"/>
      <c r="F52" s="145"/>
      <c r="G52" s="33"/>
      <c r="H52" s="145"/>
      <c r="I52" s="145"/>
      <c r="J52" s="33"/>
      <c r="K52" s="33"/>
      <c r="L52" s="159"/>
      <c r="M52" s="159"/>
      <c r="N52" s="148"/>
    </row>
    <row r="53" spans="1:14" s="3" customFormat="1" ht="15.75" x14ac:dyDescent="0.2">
      <c r="A53" s="39" t="s">
        <v>381</v>
      </c>
      <c r="B53" s="310">
        <v>32931</v>
      </c>
      <c r="C53" s="311">
        <v>41435</v>
      </c>
      <c r="D53" s="428">
        <f t="shared" si="15"/>
        <v>25.8</v>
      </c>
      <c r="E53" s="11">
        <f>IFERROR(100/'Skjema total MA'!C53*C53,0)</f>
        <v>40.540468878529595</v>
      </c>
      <c r="F53" s="145"/>
      <c r="G53" s="33"/>
      <c r="H53" s="145"/>
      <c r="I53" s="145"/>
      <c r="J53" s="33"/>
      <c r="K53" s="33"/>
      <c r="L53" s="159"/>
      <c r="M53" s="159"/>
      <c r="N53" s="148"/>
    </row>
    <row r="54" spans="1:14" s="3" customFormat="1" ht="15.75" x14ac:dyDescent="0.2">
      <c r="A54" s="38" t="s">
        <v>379</v>
      </c>
      <c r="B54" s="281">
        <v>32931</v>
      </c>
      <c r="C54" s="282">
        <v>41435</v>
      </c>
      <c r="D54" s="254">
        <f t="shared" si="15"/>
        <v>25.8</v>
      </c>
      <c r="E54" s="27">
        <f>IFERROR(100/'Skjema total MA'!C54*C54,0)</f>
        <v>40.540468878529595</v>
      </c>
      <c r="F54" s="145"/>
      <c r="G54" s="33"/>
      <c r="H54" s="145"/>
      <c r="I54" s="145"/>
      <c r="J54" s="33"/>
      <c r="K54" s="33"/>
      <c r="L54" s="159"/>
      <c r="M54" s="159"/>
      <c r="N54" s="148"/>
    </row>
    <row r="55" spans="1:14" s="3" customFormat="1" ht="15.75" x14ac:dyDescent="0.2">
      <c r="A55" s="38" t="s">
        <v>380</v>
      </c>
      <c r="B55" s="281"/>
      <c r="C55" s="282"/>
      <c r="D55" s="254"/>
      <c r="E55" s="27"/>
      <c r="F55" s="145"/>
      <c r="G55" s="33"/>
      <c r="H55" s="145"/>
      <c r="I55" s="145"/>
      <c r="J55" s="33"/>
      <c r="K55" s="33"/>
      <c r="L55" s="159"/>
      <c r="M55" s="159"/>
      <c r="N55" s="148"/>
    </row>
    <row r="56" spans="1:14" s="3" customFormat="1" ht="15.75" x14ac:dyDescent="0.2">
      <c r="A56" s="39" t="s">
        <v>382</v>
      </c>
      <c r="B56" s="310">
        <v>4513</v>
      </c>
      <c r="C56" s="311">
        <v>7747</v>
      </c>
      <c r="D56" s="428">
        <f t="shared" si="15"/>
        <v>71.7</v>
      </c>
      <c r="E56" s="11">
        <f>IFERROR(100/'Skjema total MA'!C56*C56,0)</f>
        <v>8.2024711662280279</v>
      </c>
      <c r="F56" s="145"/>
      <c r="G56" s="33"/>
      <c r="H56" s="145"/>
      <c r="I56" s="145"/>
      <c r="J56" s="33"/>
      <c r="K56" s="33"/>
      <c r="L56" s="159"/>
      <c r="M56" s="159"/>
      <c r="N56" s="148"/>
    </row>
    <row r="57" spans="1:14" s="3" customFormat="1" ht="15.75" x14ac:dyDescent="0.2">
      <c r="A57" s="38" t="s">
        <v>379</v>
      </c>
      <c r="B57" s="281">
        <v>4513</v>
      </c>
      <c r="C57" s="282">
        <v>7747</v>
      </c>
      <c r="D57" s="254">
        <f t="shared" si="15"/>
        <v>71.7</v>
      </c>
      <c r="E57" s="27">
        <f>IFERROR(100/'Skjema total MA'!C57*C57,0)</f>
        <v>8.2024711662280279</v>
      </c>
      <c r="F57" s="145"/>
      <c r="G57" s="33"/>
      <c r="H57" s="145"/>
      <c r="I57" s="145"/>
      <c r="J57" s="33"/>
      <c r="K57" s="33"/>
      <c r="L57" s="159"/>
      <c r="M57" s="159"/>
      <c r="N57" s="148"/>
    </row>
    <row r="58" spans="1:14" s="3" customFormat="1" ht="15.75" x14ac:dyDescent="0.2">
      <c r="A58" s="46" t="s">
        <v>380</v>
      </c>
      <c r="B58" s="283"/>
      <c r="C58" s="284"/>
      <c r="D58" s="255"/>
      <c r="E58" s="22"/>
      <c r="F58" s="145"/>
      <c r="G58" s="33"/>
      <c r="H58" s="145"/>
      <c r="I58" s="145"/>
      <c r="J58" s="33"/>
      <c r="K58" s="33"/>
      <c r="L58" s="159"/>
      <c r="M58" s="159"/>
      <c r="N58" s="148"/>
    </row>
    <row r="59" spans="1:14" s="3" customFormat="1" ht="15.75" x14ac:dyDescent="0.25">
      <c r="A59" s="164"/>
      <c r="B59" s="154"/>
      <c r="C59" s="154"/>
      <c r="D59" s="154"/>
      <c r="E59" s="154"/>
      <c r="F59" s="142"/>
      <c r="G59" s="142"/>
      <c r="H59" s="142"/>
      <c r="I59" s="142"/>
      <c r="J59" s="142"/>
      <c r="K59" s="142"/>
      <c r="L59" s="142"/>
      <c r="M59" s="142"/>
      <c r="N59" s="148"/>
    </row>
    <row r="60" spans="1:14" x14ac:dyDescent="0.2">
      <c r="A60" s="155"/>
    </row>
    <row r="61" spans="1:14" ht="15.75" x14ac:dyDescent="0.25">
      <c r="A61" s="147" t="s">
        <v>277</v>
      </c>
      <c r="C61" s="26"/>
      <c r="D61" s="26"/>
      <c r="E61" s="26"/>
      <c r="F61" s="26"/>
      <c r="G61" s="26"/>
      <c r="H61" s="26"/>
      <c r="I61" s="26"/>
      <c r="J61" s="26"/>
      <c r="K61" s="26"/>
      <c r="L61" s="26"/>
      <c r="M61" s="26"/>
    </row>
    <row r="62" spans="1:14" ht="15.75" x14ac:dyDescent="0.25">
      <c r="B62" s="729"/>
      <c r="C62" s="729"/>
      <c r="D62" s="729"/>
      <c r="E62" s="299"/>
      <c r="F62" s="729"/>
      <c r="G62" s="729"/>
      <c r="H62" s="729"/>
      <c r="I62" s="299"/>
      <c r="J62" s="729"/>
      <c r="K62" s="729"/>
      <c r="L62" s="729"/>
      <c r="M62" s="299"/>
    </row>
    <row r="63" spans="1:14" x14ac:dyDescent="0.2">
      <c r="A63" s="144"/>
      <c r="B63" s="727" t="s">
        <v>0</v>
      </c>
      <c r="C63" s="728"/>
      <c r="D63" s="732"/>
      <c r="E63" s="300"/>
      <c r="F63" s="728" t="s">
        <v>1</v>
      </c>
      <c r="G63" s="728"/>
      <c r="H63" s="728"/>
      <c r="I63" s="304"/>
      <c r="J63" s="727" t="s">
        <v>2</v>
      </c>
      <c r="K63" s="728"/>
      <c r="L63" s="728"/>
      <c r="M63" s="304"/>
    </row>
    <row r="64" spans="1:14" x14ac:dyDescent="0.2">
      <c r="A64" s="140"/>
      <c r="B64" s="152" t="s">
        <v>423</v>
      </c>
      <c r="C64" s="152" t="s">
        <v>424</v>
      </c>
      <c r="D64" s="245" t="s">
        <v>3</v>
      </c>
      <c r="E64" s="305" t="s">
        <v>29</v>
      </c>
      <c r="F64" s="152" t="s">
        <v>423</v>
      </c>
      <c r="G64" s="152" t="s">
        <v>424</v>
      </c>
      <c r="H64" s="245" t="s">
        <v>3</v>
      </c>
      <c r="I64" s="305" t="s">
        <v>29</v>
      </c>
      <c r="J64" s="152" t="s">
        <v>423</v>
      </c>
      <c r="K64" s="152" t="s">
        <v>424</v>
      </c>
      <c r="L64" s="245" t="s">
        <v>3</v>
      </c>
      <c r="M64" s="162" t="s">
        <v>29</v>
      </c>
    </row>
    <row r="65" spans="1:14" x14ac:dyDescent="0.2">
      <c r="A65" s="703"/>
      <c r="B65" s="156"/>
      <c r="C65" s="156"/>
      <c r="D65" s="246" t="s">
        <v>4</v>
      </c>
      <c r="E65" s="156" t="s">
        <v>30</v>
      </c>
      <c r="F65" s="161"/>
      <c r="G65" s="161"/>
      <c r="H65" s="245" t="s">
        <v>4</v>
      </c>
      <c r="I65" s="156" t="s">
        <v>30</v>
      </c>
      <c r="J65" s="161"/>
      <c r="K65" s="206"/>
      <c r="L65" s="156" t="s">
        <v>4</v>
      </c>
      <c r="M65" s="156" t="s">
        <v>30</v>
      </c>
    </row>
    <row r="66" spans="1:14" ht="15.75" x14ac:dyDescent="0.2">
      <c r="A66" s="14" t="s">
        <v>23</v>
      </c>
      <c r="B66" s="353">
        <v>1104209.8</v>
      </c>
      <c r="C66" s="353">
        <v>948059.16899999999</v>
      </c>
      <c r="D66" s="350">
        <f t="shared" ref="D66:D111" si="16">IF(B66=0, "    ---- ", IF(ABS(ROUND(100/B66*C66-100,1))&lt;999,ROUND(100/B66*C66-100,1),IF(ROUND(100/B66*C66-100,1)&gt;999,999,-999)))</f>
        <v>-14.1</v>
      </c>
      <c r="E66" s="11">
        <f>IFERROR(100/'Skjema total MA'!C66*C66,0)</f>
        <v>27.193271670003746</v>
      </c>
      <c r="F66" s="352">
        <v>2253298</v>
      </c>
      <c r="G66" s="352">
        <v>2284188</v>
      </c>
      <c r="H66" s="350">
        <f t="shared" ref="H66:H111" si="17">IF(F66=0, "    ---- ", IF(ABS(ROUND(100/F66*G66-100,1))&lt;999,ROUND(100/F66*G66-100,1),IF(ROUND(100/F66*G66-100,1)&gt;999,999,-999)))</f>
        <v>1.4</v>
      </c>
      <c r="I66" s="11">
        <f>IFERROR(100/'Skjema total MA'!F66*G66,0)</f>
        <v>25.977292999773614</v>
      </c>
      <c r="J66" s="309">
        <f t="shared" ref="J66:K86" si="18">SUM(B66,F66)</f>
        <v>3357507.8</v>
      </c>
      <c r="K66" s="316">
        <f t="shared" si="18"/>
        <v>3232247.1689999998</v>
      </c>
      <c r="L66" s="428">
        <f t="shared" ref="L66:L111" si="19">IF(J66=0, "    ---- ", IF(ABS(ROUND(100/J66*K66-100,1))&lt;999,ROUND(100/J66*K66-100,1),IF(ROUND(100/J66*K66-100,1)&gt;999,999,-999)))</f>
        <v>-3.7</v>
      </c>
      <c r="M66" s="11">
        <f>IFERROR(100/'Skjema total MA'!I66*K66,0)</f>
        <v>26.322534566823489</v>
      </c>
    </row>
    <row r="67" spans="1:14" x14ac:dyDescent="0.2">
      <c r="A67" s="21" t="s">
        <v>9</v>
      </c>
      <c r="B67" s="44">
        <v>1026815</v>
      </c>
      <c r="C67" s="145">
        <v>877785</v>
      </c>
      <c r="D67" s="166">
        <f t="shared" si="16"/>
        <v>-14.5</v>
      </c>
      <c r="E67" s="27">
        <f>IFERROR(100/'Skjema total MA'!C67*C67,0)</f>
        <v>31.841402168120382</v>
      </c>
      <c r="F67" s="234"/>
      <c r="G67" s="145"/>
      <c r="H67" s="166"/>
      <c r="I67" s="27"/>
      <c r="J67" s="287">
        <f t="shared" si="18"/>
        <v>1026815</v>
      </c>
      <c r="K67" s="44">
        <f t="shared" si="18"/>
        <v>877785</v>
      </c>
      <c r="L67" s="254">
        <f t="shared" si="19"/>
        <v>-14.5</v>
      </c>
      <c r="M67" s="27">
        <f>IFERROR(100/'Skjema total MA'!I67*K67,0)</f>
        <v>31.841402168120382</v>
      </c>
    </row>
    <row r="68" spans="1:14" x14ac:dyDescent="0.2">
      <c r="A68" s="21" t="s">
        <v>10</v>
      </c>
      <c r="B68" s="292"/>
      <c r="C68" s="293"/>
      <c r="D68" s="166"/>
      <c r="E68" s="27"/>
      <c r="F68" s="292">
        <v>2253298</v>
      </c>
      <c r="G68" s="293">
        <v>2284188</v>
      </c>
      <c r="H68" s="166">
        <f t="shared" si="17"/>
        <v>1.4</v>
      </c>
      <c r="I68" s="27">
        <f>IFERROR(100/'Skjema total MA'!F68*G68,0)</f>
        <v>27.012209749703224</v>
      </c>
      <c r="J68" s="287">
        <f t="shared" si="18"/>
        <v>2253298</v>
      </c>
      <c r="K68" s="44">
        <f t="shared" si="18"/>
        <v>2284188</v>
      </c>
      <c r="L68" s="254">
        <f t="shared" si="19"/>
        <v>1.4</v>
      </c>
      <c r="M68" s="27">
        <f>IFERROR(100/'Skjema total MA'!I68*K68,0)</f>
        <v>26.715154811078964</v>
      </c>
    </row>
    <row r="69" spans="1:14" ht="15.75" x14ac:dyDescent="0.2">
      <c r="A69" s="296" t="s">
        <v>383</v>
      </c>
      <c r="B69" s="294"/>
      <c r="C69" s="294"/>
      <c r="D69" s="166"/>
      <c r="E69" s="417"/>
      <c r="F69" s="294"/>
      <c r="G69" s="294"/>
      <c r="H69" s="166"/>
      <c r="I69" s="417"/>
      <c r="J69" s="294"/>
      <c r="K69" s="294"/>
      <c r="L69" s="166"/>
      <c r="M69" s="23"/>
    </row>
    <row r="70" spans="1:14" x14ac:dyDescent="0.2">
      <c r="A70" s="296" t="s">
        <v>12</v>
      </c>
      <c r="B70" s="294"/>
      <c r="C70" s="295"/>
      <c r="D70" s="166"/>
      <c r="E70" s="417"/>
      <c r="F70" s="294"/>
      <c r="G70" s="294"/>
      <c r="H70" s="166"/>
      <c r="I70" s="417"/>
      <c r="J70" s="294"/>
      <c r="K70" s="294"/>
      <c r="L70" s="166"/>
      <c r="M70" s="23"/>
    </row>
    <row r="71" spans="1:14" x14ac:dyDescent="0.2">
      <c r="A71" s="296" t="s">
        <v>13</v>
      </c>
      <c r="B71" s="235"/>
      <c r="C71" s="289"/>
      <c r="D71" s="166"/>
      <c r="E71" s="417"/>
      <c r="F71" s="294"/>
      <c r="G71" s="294"/>
      <c r="H71" s="166"/>
      <c r="I71" s="417"/>
      <c r="J71" s="294"/>
      <c r="K71" s="294"/>
      <c r="L71" s="166"/>
      <c r="M71" s="23"/>
    </row>
    <row r="72" spans="1:14" ht="15.75" x14ac:dyDescent="0.2">
      <c r="A72" s="296" t="s">
        <v>384</v>
      </c>
      <c r="B72" s="294"/>
      <c r="C72" s="294"/>
      <c r="D72" s="166"/>
      <c r="E72" s="417"/>
      <c r="F72" s="294"/>
      <c r="G72" s="294"/>
      <c r="H72" s="166"/>
      <c r="I72" s="417"/>
      <c r="J72" s="294"/>
      <c r="K72" s="294"/>
      <c r="L72" s="166"/>
      <c r="M72" s="23"/>
    </row>
    <row r="73" spans="1:14" x14ac:dyDescent="0.2">
      <c r="A73" s="296" t="s">
        <v>12</v>
      </c>
      <c r="B73" s="235"/>
      <c r="C73" s="289"/>
      <c r="D73" s="166"/>
      <c r="E73" s="417"/>
      <c r="F73" s="294"/>
      <c r="G73" s="294"/>
      <c r="H73" s="166"/>
      <c r="I73" s="417"/>
      <c r="J73" s="294"/>
      <c r="K73" s="294"/>
      <c r="L73" s="166"/>
      <c r="M73" s="23"/>
    </row>
    <row r="74" spans="1:14" s="3" customFormat="1" x14ac:dyDescent="0.2">
      <c r="A74" s="296" t="s">
        <v>13</v>
      </c>
      <c r="B74" s="235"/>
      <c r="C74" s="289"/>
      <c r="D74" s="166"/>
      <c r="E74" s="417"/>
      <c r="F74" s="294"/>
      <c r="G74" s="294"/>
      <c r="H74" s="166"/>
      <c r="I74" s="417"/>
      <c r="J74" s="294"/>
      <c r="K74" s="294"/>
      <c r="L74" s="166"/>
      <c r="M74" s="23"/>
      <c r="N74" s="148"/>
    </row>
    <row r="75" spans="1:14" s="3" customFormat="1" x14ac:dyDescent="0.2">
      <c r="A75" s="21" t="s">
        <v>353</v>
      </c>
      <c r="B75" s="234"/>
      <c r="C75" s="145"/>
      <c r="D75" s="166"/>
      <c r="E75" s="27"/>
      <c r="F75" s="234"/>
      <c r="G75" s="145"/>
      <c r="H75" s="166"/>
      <c r="I75" s="27"/>
      <c r="J75" s="287"/>
      <c r="K75" s="44"/>
      <c r="L75" s="254"/>
      <c r="M75" s="27"/>
      <c r="N75" s="148"/>
    </row>
    <row r="76" spans="1:14" s="3" customFormat="1" x14ac:dyDescent="0.2">
      <c r="A76" s="21" t="s">
        <v>352</v>
      </c>
      <c r="B76" s="234">
        <v>77394.8</v>
      </c>
      <c r="C76" s="145">
        <v>70274.168999999994</v>
      </c>
      <c r="D76" s="166">
        <f t="shared" ref="D76" si="20">IF(B76=0, "    ---- ", IF(ABS(ROUND(100/B76*C76-100,1))&lt;999,ROUND(100/B76*C76-100,1),IF(ROUND(100/B76*C76-100,1)&gt;999,999,-999)))</f>
        <v>-9.1999999999999993</v>
      </c>
      <c r="E76" s="27">
        <f>IFERROR(100/'Skjema total MA'!C77*C76,0)</f>
        <v>2.5640835959044477</v>
      </c>
      <c r="F76" s="234"/>
      <c r="G76" s="145"/>
      <c r="H76" s="166"/>
      <c r="I76" s="27"/>
      <c r="J76" s="287">
        <f t="shared" ref="J76" si="21">SUM(B76,F76)</f>
        <v>77394.8</v>
      </c>
      <c r="K76" s="44">
        <f t="shared" ref="K76" si="22">SUM(C76,G76)</f>
        <v>70274.168999999994</v>
      </c>
      <c r="L76" s="254">
        <f t="shared" ref="L76" si="23">IF(J76=0, "    ---- ", IF(ABS(ROUND(100/J76*K76-100,1))&lt;999,ROUND(100/J76*K76-100,1),IF(ROUND(100/J76*K76-100,1)&gt;999,999,-999)))</f>
        <v>-9.1999999999999993</v>
      </c>
      <c r="M76" s="27">
        <f>IFERROR(100/'Skjema total MA'!I77*K76,0)</f>
        <v>0.62790717585559264</v>
      </c>
      <c r="N76" s="148"/>
    </row>
    <row r="77" spans="1:14" ht="15.75" x14ac:dyDescent="0.2">
      <c r="A77" s="21" t="s">
        <v>385</v>
      </c>
      <c r="B77" s="234">
        <v>985164.11</v>
      </c>
      <c r="C77" s="234">
        <v>835768.96</v>
      </c>
      <c r="D77" s="166">
        <f t="shared" si="16"/>
        <v>-15.2</v>
      </c>
      <c r="E77" s="27">
        <f>IFERROR(100/'Skjema total MA'!C77*C77,0)</f>
        <v>30.494583013882679</v>
      </c>
      <c r="F77" s="234">
        <v>2253298</v>
      </c>
      <c r="G77" s="145">
        <v>2284188</v>
      </c>
      <c r="H77" s="166">
        <f t="shared" si="17"/>
        <v>1.4</v>
      </c>
      <c r="I77" s="27">
        <f>IFERROR(100/'Skjema total MA'!F77*G77,0)</f>
        <v>27.028305974095719</v>
      </c>
      <c r="J77" s="287">
        <f t="shared" si="18"/>
        <v>3238462.11</v>
      </c>
      <c r="K77" s="44">
        <f t="shared" si="18"/>
        <v>3119956.96</v>
      </c>
      <c r="L77" s="254">
        <f t="shared" si="19"/>
        <v>-3.7</v>
      </c>
      <c r="M77" s="27">
        <f>IFERROR(100/'Skjema total MA'!I77*K77,0)</f>
        <v>27.87714734192873</v>
      </c>
    </row>
    <row r="78" spans="1:14" x14ac:dyDescent="0.2">
      <c r="A78" s="21" t="s">
        <v>9</v>
      </c>
      <c r="B78" s="234">
        <v>985164.11</v>
      </c>
      <c r="C78" s="145">
        <v>835768.96</v>
      </c>
      <c r="D78" s="166">
        <f t="shared" si="16"/>
        <v>-15.2</v>
      </c>
      <c r="E78" s="27">
        <f>IFERROR(100/'Skjema total MA'!C78*C78,0)</f>
        <v>31.567001613162901</v>
      </c>
      <c r="F78" s="234"/>
      <c r="G78" s="145"/>
      <c r="H78" s="166"/>
      <c r="I78" s="27"/>
      <c r="J78" s="287">
        <f t="shared" si="18"/>
        <v>985164.11</v>
      </c>
      <c r="K78" s="44">
        <f t="shared" si="18"/>
        <v>835768.96</v>
      </c>
      <c r="L78" s="254">
        <f t="shared" si="19"/>
        <v>-15.2</v>
      </c>
      <c r="M78" s="27">
        <f>IFERROR(100/'Skjema total MA'!I78*K78,0)</f>
        <v>31.567001613162901</v>
      </c>
    </row>
    <row r="79" spans="1:14" x14ac:dyDescent="0.2">
      <c r="A79" s="21" t="s">
        <v>10</v>
      </c>
      <c r="B79" s="292"/>
      <c r="C79" s="293"/>
      <c r="D79" s="166"/>
      <c r="E79" s="27"/>
      <c r="F79" s="292">
        <v>2253298</v>
      </c>
      <c r="G79" s="293">
        <v>2284188</v>
      </c>
      <c r="H79" s="166">
        <f t="shared" si="17"/>
        <v>1.4</v>
      </c>
      <c r="I79" s="27">
        <f>IFERROR(100/'Skjema total MA'!F79*G79,0)</f>
        <v>27.028305974095719</v>
      </c>
      <c r="J79" s="287">
        <f t="shared" si="18"/>
        <v>2253298</v>
      </c>
      <c r="K79" s="44">
        <f t="shared" si="18"/>
        <v>2284188</v>
      </c>
      <c r="L79" s="254">
        <f t="shared" si="19"/>
        <v>1.4</v>
      </c>
      <c r="M79" s="27">
        <f>IFERROR(100/'Skjema total MA'!I79*K79,0)</f>
        <v>26.733767728895121</v>
      </c>
    </row>
    <row r="80" spans="1:14" ht="15.75" x14ac:dyDescent="0.2">
      <c r="A80" s="296" t="s">
        <v>383</v>
      </c>
      <c r="B80" s="294"/>
      <c r="C80" s="294"/>
      <c r="D80" s="166"/>
      <c r="E80" s="417"/>
      <c r="F80" s="294"/>
      <c r="G80" s="294"/>
      <c r="H80" s="166"/>
      <c r="I80" s="417"/>
      <c r="J80" s="294"/>
      <c r="K80" s="294"/>
      <c r="L80" s="166"/>
      <c r="M80" s="23"/>
    </row>
    <row r="81" spans="1:13" x14ac:dyDescent="0.2">
      <c r="A81" s="296" t="s">
        <v>12</v>
      </c>
      <c r="B81" s="235"/>
      <c r="C81" s="289"/>
      <c r="D81" s="166"/>
      <c r="E81" s="417"/>
      <c r="F81" s="294"/>
      <c r="G81" s="294"/>
      <c r="H81" s="166"/>
      <c r="I81" s="417"/>
      <c r="J81" s="294"/>
      <c r="K81" s="294"/>
      <c r="L81" s="166"/>
      <c r="M81" s="23"/>
    </row>
    <row r="82" spans="1:13" x14ac:dyDescent="0.2">
      <c r="A82" s="296" t="s">
        <v>13</v>
      </c>
      <c r="B82" s="235"/>
      <c r="C82" s="289"/>
      <c r="D82" s="166"/>
      <c r="E82" s="417"/>
      <c r="F82" s="294"/>
      <c r="G82" s="294"/>
      <c r="H82" s="166"/>
      <c r="I82" s="417"/>
      <c r="J82" s="294"/>
      <c r="K82" s="294"/>
      <c r="L82" s="166"/>
      <c r="M82" s="23"/>
    </row>
    <row r="83" spans="1:13" ht="15.75" x14ac:dyDescent="0.2">
      <c r="A83" s="296" t="s">
        <v>384</v>
      </c>
      <c r="B83" s="294"/>
      <c r="C83" s="294"/>
      <c r="D83" s="166"/>
      <c r="E83" s="417"/>
      <c r="F83" s="294"/>
      <c r="G83" s="294"/>
      <c r="H83" s="166"/>
      <c r="I83" s="417"/>
      <c r="J83" s="294"/>
      <c r="K83" s="294"/>
      <c r="L83" s="166"/>
      <c r="M83" s="23"/>
    </row>
    <row r="84" spans="1:13" x14ac:dyDescent="0.2">
      <c r="A84" s="296" t="s">
        <v>12</v>
      </c>
      <c r="B84" s="235"/>
      <c r="C84" s="289"/>
      <c r="D84" s="166"/>
      <c r="E84" s="417"/>
      <c r="F84" s="294"/>
      <c r="G84" s="294"/>
      <c r="H84" s="166"/>
      <c r="I84" s="417"/>
      <c r="J84" s="294"/>
      <c r="K84" s="294"/>
      <c r="L84" s="166"/>
      <c r="M84" s="23"/>
    </row>
    <row r="85" spans="1:13" x14ac:dyDescent="0.2">
      <c r="A85" s="296" t="s">
        <v>13</v>
      </c>
      <c r="B85" s="235"/>
      <c r="C85" s="289"/>
      <c r="D85" s="166"/>
      <c r="E85" s="417"/>
      <c r="F85" s="294"/>
      <c r="G85" s="294"/>
      <c r="H85" s="166"/>
      <c r="I85" s="417"/>
      <c r="J85" s="294"/>
      <c r="K85" s="294"/>
      <c r="L85" s="166"/>
      <c r="M85" s="23"/>
    </row>
    <row r="86" spans="1:13" ht="15.75" x14ac:dyDescent="0.2">
      <c r="A86" s="21" t="s">
        <v>386</v>
      </c>
      <c r="B86" s="234">
        <v>41651</v>
      </c>
      <c r="C86" s="145">
        <v>42016.04</v>
      </c>
      <c r="D86" s="166">
        <f t="shared" si="16"/>
        <v>0.9</v>
      </c>
      <c r="E86" s="27">
        <f>IFERROR(100/'Skjema total MA'!C86*C86,0)</f>
        <v>38.177384885789792</v>
      </c>
      <c r="F86" s="234"/>
      <c r="G86" s="145"/>
      <c r="H86" s="166"/>
      <c r="I86" s="27"/>
      <c r="J86" s="287">
        <f t="shared" si="18"/>
        <v>41651</v>
      </c>
      <c r="K86" s="44">
        <f t="shared" si="18"/>
        <v>42016.04</v>
      </c>
      <c r="L86" s="254">
        <f t="shared" si="19"/>
        <v>0.9</v>
      </c>
      <c r="M86" s="27">
        <f>IFERROR(100/'Skjema total MA'!I86*K86,0)</f>
        <v>36.506898575008393</v>
      </c>
    </row>
    <row r="87" spans="1:13" ht="15.75" x14ac:dyDescent="0.2">
      <c r="A87" s="13" t="s">
        <v>368</v>
      </c>
      <c r="B87" s="353">
        <v>157233581.072</v>
      </c>
      <c r="C87" s="353">
        <v>156752478.84099999</v>
      </c>
      <c r="D87" s="171">
        <f t="shared" si="16"/>
        <v>-0.3</v>
      </c>
      <c r="E87" s="11">
        <f>IFERROR(100/'Skjema total MA'!C87*C87,0)</f>
        <v>39.921244980561085</v>
      </c>
      <c r="F87" s="352">
        <v>74032436.452000007</v>
      </c>
      <c r="G87" s="352">
        <v>74368036.662</v>
      </c>
      <c r="H87" s="171">
        <f t="shared" si="17"/>
        <v>0.5</v>
      </c>
      <c r="I87" s="11">
        <f>IFERROR(100/'Skjema total MA'!F87*G87,0)</f>
        <v>26.535464813365142</v>
      </c>
      <c r="J87" s="309">
        <f t="shared" ref="J87:K111" si="24">SUM(B87,F87)</f>
        <v>231266017.52399999</v>
      </c>
      <c r="K87" s="236">
        <f t="shared" si="24"/>
        <v>231120515.50299999</v>
      </c>
      <c r="L87" s="428">
        <f t="shared" si="19"/>
        <v>-0.1</v>
      </c>
      <c r="M87" s="11">
        <f>IFERROR(100/'Skjema total MA'!I87*K87,0)</f>
        <v>34.346253825652823</v>
      </c>
    </row>
    <row r="88" spans="1:13" x14ac:dyDescent="0.2">
      <c r="A88" s="21" t="s">
        <v>9</v>
      </c>
      <c r="B88" s="234">
        <v>157108366.40000001</v>
      </c>
      <c r="C88" s="145">
        <v>156622362</v>
      </c>
      <c r="D88" s="166">
        <f t="shared" si="16"/>
        <v>-0.3</v>
      </c>
      <c r="E88" s="27">
        <f>IFERROR(100/'Skjema total MA'!C88*C88,0)</f>
        <v>41.023685141498184</v>
      </c>
      <c r="F88" s="234"/>
      <c r="G88" s="145"/>
      <c r="H88" s="166"/>
      <c r="I88" s="27"/>
      <c r="J88" s="287">
        <f t="shared" si="24"/>
        <v>157108366.40000001</v>
      </c>
      <c r="K88" s="44">
        <f t="shared" si="24"/>
        <v>156622362</v>
      </c>
      <c r="L88" s="254">
        <f t="shared" si="19"/>
        <v>-0.3</v>
      </c>
      <c r="M88" s="27">
        <f>IFERROR(100/'Skjema total MA'!I88*K88,0)</f>
        <v>41.023685141498184</v>
      </c>
    </row>
    <row r="89" spans="1:13" x14ac:dyDescent="0.2">
      <c r="A89" s="21" t="s">
        <v>10</v>
      </c>
      <c r="B89" s="234">
        <v>96343</v>
      </c>
      <c r="C89" s="145">
        <v>97633</v>
      </c>
      <c r="D89" s="166">
        <f t="shared" si="16"/>
        <v>1.3</v>
      </c>
      <c r="E89" s="27">
        <f>IFERROR(100/'Skjema total MA'!C89*C89,0)</f>
        <v>3.1490805757425604</v>
      </c>
      <c r="F89" s="234">
        <v>74032436.452000007</v>
      </c>
      <c r="G89" s="145">
        <v>74368036.662</v>
      </c>
      <c r="H89" s="166">
        <f t="shared" si="17"/>
        <v>0.5</v>
      </c>
      <c r="I89" s="27">
        <f>IFERROR(100/'Skjema total MA'!F89*G89,0)</f>
        <v>26.693795533030212</v>
      </c>
      <c r="J89" s="287">
        <f t="shared" si="24"/>
        <v>74128779.452000007</v>
      </c>
      <c r="K89" s="44">
        <f t="shared" si="24"/>
        <v>74465669.662</v>
      </c>
      <c r="L89" s="254">
        <f t="shared" si="19"/>
        <v>0.5</v>
      </c>
      <c r="M89" s="27">
        <f>IFERROR(100/'Skjema total MA'!I89*K89,0)</f>
        <v>26.43466179657722</v>
      </c>
    </row>
    <row r="90" spans="1:13" ht="15.75" x14ac:dyDescent="0.2">
      <c r="A90" s="296" t="s">
        <v>383</v>
      </c>
      <c r="B90" s="294"/>
      <c r="C90" s="294"/>
      <c r="D90" s="166"/>
      <c r="E90" s="417"/>
      <c r="F90" s="294"/>
      <c r="G90" s="294"/>
      <c r="H90" s="166"/>
      <c r="I90" s="417"/>
      <c r="J90" s="294"/>
      <c r="K90" s="294"/>
      <c r="L90" s="166"/>
      <c r="M90" s="23"/>
    </row>
    <row r="91" spans="1:13" x14ac:dyDescent="0.2">
      <c r="A91" s="296" t="s">
        <v>12</v>
      </c>
      <c r="B91" s="235"/>
      <c r="C91" s="289"/>
      <c r="D91" s="166"/>
      <c r="E91" s="417"/>
      <c r="F91" s="294"/>
      <c r="G91" s="294"/>
      <c r="H91" s="166"/>
      <c r="I91" s="417"/>
      <c r="J91" s="294"/>
      <c r="K91" s="294"/>
      <c r="L91" s="166"/>
      <c r="M91" s="23"/>
    </row>
    <row r="92" spans="1:13" x14ac:dyDescent="0.2">
      <c r="A92" s="296" t="s">
        <v>13</v>
      </c>
      <c r="B92" s="235"/>
      <c r="C92" s="289"/>
      <c r="D92" s="166"/>
      <c r="E92" s="417"/>
      <c r="F92" s="294"/>
      <c r="G92" s="294"/>
      <c r="H92" s="166"/>
      <c r="I92" s="417"/>
      <c r="J92" s="294"/>
      <c r="K92" s="294"/>
      <c r="L92" s="166"/>
      <c r="M92" s="23"/>
    </row>
    <row r="93" spans="1:13" ht="15.75" x14ac:dyDescent="0.2">
      <c r="A93" s="296" t="s">
        <v>384</v>
      </c>
      <c r="B93" s="294"/>
      <c r="C93" s="294"/>
      <c r="D93" s="166"/>
      <c r="E93" s="417"/>
      <c r="F93" s="294"/>
      <c r="G93" s="294"/>
      <c r="H93" s="166"/>
      <c r="I93" s="417"/>
      <c r="J93" s="294"/>
      <c r="K93" s="294"/>
      <c r="L93" s="166"/>
      <c r="M93" s="23"/>
    </row>
    <row r="94" spans="1:13" x14ac:dyDescent="0.2">
      <c r="A94" s="296" t="s">
        <v>12</v>
      </c>
      <c r="B94" s="235"/>
      <c r="C94" s="289"/>
      <c r="D94" s="166"/>
      <c r="E94" s="417"/>
      <c r="F94" s="294"/>
      <c r="G94" s="294"/>
      <c r="H94" s="166"/>
      <c r="I94" s="417"/>
      <c r="J94" s="294"/>
      <c r="K94" s="294"/>
      <c r="L94" s="166"/>
      <c r="M94" s="23"/>
    </row>
    <row r="95" spans="1:13" x14ac:dyDescent="0.2">
      <c r="A95" s="296" t="s">
        <v>13</v>
      </c>
      <c r="B95" s="235"/>
      <c r="C95" s="289"/>
      <c r="D95" s="166"/>
      <c r="E95" s="417"/>
      <c r="F95" s="294"/>
      <c r="G95" s="294"/>
      <c r="H95" s="166"/>
      <c r="I95" s="417"/>
      <c r="J95" s="294"/>
      <c r="K95" s="294"/>
      <c r="L95" s="166"/>
      <c r="M95" s="23"/>
    </row>
    <row r="96" spans="1:13" x14ac:dyDescent="0.2">
      <c r="A96" s="21" t="s">
        <v>351</v>
      </c>
      <c r="B96" s="234"/>
      <c r="C96" s="145"/>
      <c r="D96" s="166"/>
      <c r="E96" s="27"/>
      <c r="F96" s="234"/>
      <c r="G96" s="145"/>
      <c r="H96" s="166"/>
      <c r="I96" s="27"/>
      <c r="J96" s="287"/>
      <c r="K96" s="44"/>
      <c r="L96" s="254"/>
      <c r="M96" s="27"/>
    </row>
    <row r="97" spans="1:13" x14ac:dyDescent="0.2">
      <c r="A97" s="21" t="s">
        <v>350</v>
      </c>
      <c r="B97" s="234">
        <v>28871.671999999999</v>
      </c>
      <c r="C97" s="145">
        <v>32483.841</v>
      </c>
      <c r="D97" s="166">
        <f t="shared" ref="D97" si="25">IF(B97=0, "    ---- ", IF(ABS(ROUND(100/B97*C97-100,1))&lt;999,ROUND(100/B97*C97-100,1),IF(ROUND(100/B97*C97-100,1)&gt;999,999,-999)))</f>
        <v>12.5</v>
      </c>
      <c r="E97" s="27">
        <f>IFERROR(100/'Skjema total MA'!C98*C97,0)</f>
        <v>8.5417616988826828E-3</v>
      </c>
      <c r="F97" s="234"/>
      <c r="G97" s="145"/>
      <c r="H97" s="166"/>
      <c r="I97" s="27"/>
      <c r="J97" s="287">
        <f t="shared" ref="J97" si="26">SUM(B97,F97)</f>
        <v>28871.671999999999</v>
      </c>
      <c r="K97" s="44">
        <f t="shared" ref="K97" si="27">SUM(C97,G97)</f>
        <v>32483.841</v>
      </c>
      <c r="L97" s="254">
        <f t="shared" ref="L97:L98" si="28">IF(J97=0, "    ---- ", IF(ABS(ROUND(100/J97*K97-100,1))&lt;999,ROUND(100/J97*K97-100,1),IF(ROUND(100/J97*K97-100,1)&gt;999,999,-999)))</f>
        <v>12.5</v>
      </c>
      <c r="M97" s="27">
        <f>IFERROR(100/'Skjema total MA'!I98*K97,0)</f>
        <v>4.9359368035015935E-3</v>
      </c>
    </row>
    <row r="98" spans="1:13" ht="15.75" x14ac:dyDescent="0.2">
      <c r="A98" s="21" t="s">
        <v>385</v>
      </c>
      <c r="B98" s="234">
        <v>155805951</v>
      </c>
      <c r="C98" s="234">
        <v>155416056</v>
      </c>
      <c r="D98" s="166">
        <f t="shared" si="16"/>
        <v>-0.3</v>
      </c>
      <c r="E98" s="27">
        <f>IFERROR(100/'Skjema total MA'!C98*C98,0)</f>
        <v>40.867301207766843</v>
      </c>
      <c r="F98" s="292">
        <v>73919990.356000006</v>
      </c>
      <c r="G98" s="292">
        <v>74270676.504999995</v>
      </c>
      <c r="H98" s="166">
        <f t="shared" si="17"/>
        <v>0.5</v>
      </c>
      <c r="I98" s="27">
        <f>IFERROR(100/'Skjema total MA'!F98*G98,0)</f>
        <v>26.733905750906132</v>
      </c>
      <c r="J98" s="287">
        <f t="shared" si="24"/>
        <v>229725941.35600001</v>
      </c>
      <c r="K98" s="44">
        <f t="shared" si="24"/>
        <v>229686732.505</v>
      </c>
      <c r="L98" s="166">
        <f t="shared" si="28"/>
        <v>0</v>
      </c>
      <c r="M98" s="27">
        <f>IFERROR(100/'Skjema total MA'!I98*K98,0)</f>
        <v>34.901020364169838</v>
      </c>
    </row>
    <row r="99" spans="1:13" x14ac:dyDescent="0.2">
      <c r="A99" s="21" t="s">
        <v>9</v>
      </c>
      <c r="B99" s="292">
        <v>155709608</v>
      </c>
      <c r="C99" s="293">
        <v>155318423</v>
      </c>
      <c r="D99" s="166">
        <f t="shared" si="16"/>
        <v>-0.3</v>
      </c>
      <c r="E99" s="27">
        <f>IFERROR(100/'Skjema total MA'!C99*C99,0)</f>
        <v>41.177328014632693</v>
      </c>
      <c r="F99" s="234"/>
      <c r="G99" s="145"/>
      <c r="H99" s="166"/>
      <c r="I99" s="27"/>
      <c r="J99" s="287">
        <f t="shared" si="24"/>
        <v>155709608</v>
      </c>
      <c r="K99" s="44">
        <f t="shared" si="24"/>
        <v>155318423</v>
      </c>
      <c r="L99" s="254">
        <f t="shared" si="19"/>
        <v>-0.3</v>
      </c>
      <c r="M99" s="27">
        <f>IFERROR(100/'Skjema total MA'!I99*K99,0)</f>
        <v>41.177328014632693</v>
      </c>
    </row>
    <row r="100" spans="1:13" x14ac:dyDescent="0.2">
      <c r="A100" s="21" t="s">
        <v>10</v>
      </c>
      <c r="B100" s="292">
        <v>96343</v>
      </c>
      <c r="C100" s="293">
        <v>97633</v>
      </c>
      <c r="D100" s="166">
        <f t="shared" si="16"/>
        <v>1.3</v>
      </c>
      <c r="E100" s="27">
        <f>IFERROR(100/'Skjema total MA'!C100*C100,0)</f>
        <v>3.1490805757425604</v>
      </c>
      <c r="F100" s="234">
        <v>73919990.356000006</v>
      </c>
      <c r="G100" s="234">
        <v>74270676.504999995</v>
      </c>
      <c r="H100" s="166">
        <f t="shared" si="17"/>
        <v>0.5</v>
      </c>
      <c r="I100" s="27">
        <f>IFERROR(100/'Skjema total MA'!F100*G100,0)</f>
        <v>26.733905750906132</v>
      </c>
      <c r="J100" s="287">
        <f t="shared" si="24"/>
        <v>74016333.356000006</v>
      </c>
      <c r="K100" s="44">
        <f t="shared" si="24"/>
        <v>74368309.504999995</v>
      </c>
      <c r="L100" s="254">
        <f t="shared" si="19"/>
        <v>0.5</v>
      </c>
      <c r="M100" s="27">
        <f>IFERROR(100/'Skjema total MA'!I100*K100,0)</f>
        <v>26.473607803398515</v>
      </c>
    </row>
    <row r="101" spans="1:13" ht="15.75" x14ac:dyDescent="0.2">
      <c r="A101" s="296" t="s">
        <v>383</v>
      </c>
      <c r="B101" s="294"/>
      <c r="C101" s="294"/>
      <c r="D101" s="166"/>
      <c r="E101" s="417"/>
      <c r="F101" s="294"/>
      <c r="G101" s="294"/>
      <c r="H101" s="166"/>
      <c r="I101" s="417"/>
      <c r="J101" s="294"/>
      <c r="K101" s="294"/>
      <c r="L101" s="166"/>
      <c r="M101" s="23"/>
    </row>
    <row r="102" spans="1:13" x14ac:dyDescent="0.2">
      <c r="A102" s="296" t="s">
        <v>12</v>
      </c>
      <c r="B102" s="235"/>
      <c r="C102" s="289"/>
      <c r="D102" s="166"/>
      <c r="E102" s="417"/>
      <c r="F102" s="294"/>
      <c r="G102" s="294"/>
      <c r="H102" s="166"/>
      <c r="I102" s="417"/>
      <c r="J102" s="294"/>
      <c r="K102" s="294"/>
      <c r="L102" s="166"/>
      <c r="M102" s="23"/>
    </row>
    <row r="103" spans="1:13" x14ac:dyDescent="0.2">
      <c r="A103" s="296" t="s">
        <v>13</v>
      </c>
      <c r="B103" s="235"/>
      <c r="C103" s="289"/>
      <c r="D103" s="166"/>
      <c r="E103" s="417"/>
      <c r="F103" s="294"/>
      <c r="G103" s="294"/>
      <c r="H103" s="166"/>
      <c r="I103" s="417"/>
      <c r="J103" s="294"/>
      <c r="K103" s="294"/>
      <c r="L103" s="166"/>
      <c r="M103" s="23"/>
    </row>
    <row r="104" spans="1:13" ht="15.75" x14ac:dyDescent="0.2">
      <c r="A104" s="296" t="s">
        <v>384</v>
      </c>
      <c r="B104" s="294"/>
      <c r="C104" s="294"/>
      <c r="D104" s="166"/>
      <c r="E104" s="417"/>
      <c r="F104" s="294"/>
      <c r="G104" s="294"/>
      <c r="H104" s="166"/>
      <c r="I104" s="417"/>
      <c r="J104" s="294"/>
      <c r="K104" s="294"/>
      <c r="L104" s="166"/>
      <c r="M104" s="23"/>
    </row>
    <row r="105" spans="1:13" x14ac:dyDescent="0.2">
      <c r="A105" s="296" t="s">
        <v>12</v>
      </c>
      <c r="B105" s="235"/>
      <c r="C105" s="289"/>
      <c r="D105" s="166"/>
      <c r="E105" s="417"/>
      <c r="F105" s="294"/>
      <c r="G105" s="294"/>
      <c r="H105" s="166"/>
      <c r="I105" s="417"/>
      <c r="J105" s="294"/>
      <c r="K105" s="294"/>
      <c r="L105" s="166"/>
      <c r="M105" s="23"/>
    </row>
    <row r="106" spans="1:13" x14ac:dyDescent="0.2">
      <c r="A106" s="296" t="s">
        <v>13</v>
      </c>
      <c r="B106" s="235"/>
      <c r="C106" s="289"/>
      <c r="D106" s="166"/>
      <c r="E106" s="417"/>
      <c r="F106" s="294"/>
      <c r="G106" s="294"/>
      <c r="H106" s="166"/>
      <c r="I106" s="417"/>
      <c r="J106" s="294"/>
      <c r="K106" s="294"/>
      <c r="L106" s="166"/>
      <c r="M106" s="23"/>
    </row>
    <row r="107" spans="1:13" ht="15.75" x14ac:dyDescent="0.2">
      <c r="A107" s="21" t="s">
        <v>386</v>
      </c>
      <c r="B107" s="234">
        <v>1398758.0360000001</v>
      </c>
      <c r="C107" s="145">
        <v>1303939</v>
      </c>
      <c r="D107" s="166">
        <f t="shared" si="16"/>
        <v>-6.8</v>
      </c>
      <c r="E107" s="27">
        <f>IFERROR(100/'Skjema total MA'!C107*C107,0)</f>
        <v>28.40096302029816</v>
      </c>
      <c r="F107" s="234">
        <v>112446.09600000001</v>
      </c>
      <c r="G107" s="145">
        <v>97360.157000000007</v>
      </c>
      <c r="H107" s="166">
        <f t="shared" si="17"/>
        <v>-13.4</v>
      </c>
      <c r="I107" s="27">
        <f>IFERROR(100/'Skjema total MA'!F107*G107,0)</f>
        <v>12.447363736239039</v>
      </c>
      <c r="J107" s="287">
        <f t="shared" si="24"/>
        <v>1511204.132</v>
      </c>
      <c r="K107" s="44">
        <f t="shared" si="24"/>
        <v>1401299.1570000001</v>
      </c>
      <c r="L107" s="254">
        <f t="shared" si="19"/>
        <v>-7.3</v>
      </c>
      <c r="M107" s="27">
        <f>IFERROR(100/'Skjema total MA'!I107*K107,0)</f>
        <v>26.078669383896553</v>
      </c>
    </row>
    <row r="108" spans="1:13" ht="15.75" x14ac:dyDescent="0.2">
      <c r="A108" s="21" t="s">
        <v>387</v>
      </c>
      <c r="B108" s="234">
        <v>133366841</v>
      </c>
      <c r="C108" s="234">
        <v>135150650</v>
      </c>
      <c r="D108" s="166">
        <f t="shared" si="16"/>
        <v>1.3</v>
      </c>
      <c r="E108" s="27">
        <f>IFERROR(100/'Skjema total MA'!C108*C108,0)</f>
        <v>41.924608065402055</v>
      </c>
      <c r="F108" s="234">
        <v>398977.32799999998</v>
      </c>
      <c r="G108" s="234">
        <v>452866.49</v>
      </c>
      <c r="H108" s="166">
        <f t="shared" si="17"/>
        <v>13.5</v>
      </c>
      <c r="I108" s="27">
        <f>IFERROR(100/'Skjema total MA'!F108*G108,0)</f>
        <v>2.9924579080168465</v>
      </c>
      <c r="J108" s="287">
        <f t="shared" si="24"/>
        <v>133765818.32799999</v>
      </c>
      <c r="K108" s="44">
        <f t="shared" si="24"/>
        <v>135603516.49000001</v>
      </c>
      <c r="L108" s="254">
        <f t="shared" si="19"/>
        <v>1.4</v>
      </c>
      <c r="M108" s="27">
        <f>IFERROR(100/'Skjema total MA'!I108*K108,0)</f>
        <v>40.178876894345549</v>
      </c>
    </row>
    <row r="109" spans="1:13" ht="15.75" x14ac:dyDescent="0.2">
      <c r="A109" s="21" t="s">
        <v>388</v>
      </c>
      <c r="B109" s="234">
        <v>96343</v>
      </c>
      <c r="C109" s="234">
        <v>97633</v>
      </c>
      <c r="D109" s="166">
        <f t="shared" si="16"/>
        <v>1.3</v>
      </c>
      <c r="E109" s="27">
        <f>IFERROR(100/'Skjema total MA'!C109*C109,0)</f>
        <v>8.9851598804055914</v>
      </c>
      <c r="F109" s="234">
        <v>22867597</v>
      </c>
      <c r="G109" s="234">
        <v>26693503.157000002</v>
      </c>
      <c r="H109" s="166">
        <f t="shared" si="17"/>
        <v>16.7</v>
      </c>
      <c r="I109" s="27">
        <f>IFERROR(100/'Skjema total MA'!F109*G109,0)</f>
        <v>27.44970182089008</v>
      </c>
      <c r="J109" s="287">
        <f t="shared" si="24"/>
        <v>22963940</v>
      </c>
      <c r="K109" s="44">
        <f t="shared" si="24"/>
        <v>26791136.157000002</v>
      </c>
      <c r="L109" s="254">
        <f t="shared" si="19"/>
        <v>16.7</v>
      </c>
      <c r="M109" s="27">
        <f>IFERROR(100/'Skjema total MA'!I109*K109,0)</f>
        <v>27.245661690942864</v>
      </c>
    </row>
    <row r="110" spans="1:13" ht="15.75" x14ac:dyDescent="0.2">
      <c r="A110" s="21" t="s">
        <v>389</v>
      </c>
      <c r="B110" s="234"/>
      <c r="C110" s="234"/>
      <c r="D110" s="166"/>
      <c r="E110" s="27"/>
      <c r="F110" s="234"/>
      <c r="G110" s="234"/>
      <c r="H110" s="166"/>
      <c r="I110" s="27"/>
      <c r="J110" s="287"/>
      <c r="K110" s="44"/>
      <c r="L110" s="254"/>
      <c r="M110" s="27"/>
    </row>
    <row r="111" spans="1:13" ht="15.75" x14ac:dyDescent="0.2">
      <c r="A111" s="13" t="s">
        <v>369</v>
      </c>
      <c r="B111" s="308">
        <v>52024</v>
      </c>
      <c r="C111" s="159">
        <v>35738</v>
      </c>
      <c r="D111" s="171">
        <f t="shared" si="16"/>
        <v>-31.3</v>
      </c>
      <c r="E111" s="11">
        <f>IFERROR(100/'Skjema total MA'!C111*C111,0)</f>
        <v>9.0514876394192569</v>
      </c>
      <c r="F111" s="308">
        <v>1314130</v>
      </c>
      <c r="G111" s="159">
        <v>1079878</v>
      </c>
      <c r="H111" s="171">
        <f t="shared" si="17"/>
        <v>-17.8</v>
      </c>
      <c r="I111" s="11">
        <f>IFERROR(100/'Skjema total MA'!F111*G111,0)</f>
        <v>12.107227486029942</v>
      </c>
      <c r="J111" s="309">
        <f t="shared" si="24"/>
        <v>1366154</v>
      </c>
      <c r="K111" s="236">
        <f t="shared" si="24"/>
        <v>1115616</v>
      </c>
      <c r="L111" s="428">
        <f t="shared" si="19"/>
        <v>-18.3</v>
      </c>
      <c r="M111" s="11">
        <f>IFERROR(100/'Skjema total MA'!I111*K111,0)</f>
        <v>11.977693089633654</v>
      </c>
    </row>
    <row r="112" spans="1:13" x14ac:dyDescent="0.2">
      <c r="A112" s="21" t="s">
        <v>9</v>
      </c>
      <c r="B112" s="234">
        <v>52024</v>
      </c>
      <c r="C112" s="145">
        <v>35738</v>
      </c>
      <c r="D112" s="166">
        <f t="shared" ref="D112:D124" si="29">IF(B112=0, "    ---- ", IF(ABS(ROUND(100/B112*C112-100,1))&lt;999,ROUND(100/B112*C112-100,1),IF(ROUND(100/B112*C112-100,1)&gt;999,999,-999)))</f>
        <v>-31.3</v>
      </c>
      <c r="E112" s="27">
        <f>IFERROR(100/'Skjema total MA'!C112*C112,0)</f>
        <v>50.223687235758241</v>
      </c>
      <c r="F112" s="234"/>
      <c r="G112" s="145"/>
      <c r="H112" s="166"/>
      <c r="I112" s="27"/>
      <c r="J112" s="287">
        <f t="shared" ref="J112:K124" si="30">SUM(B112,F112)</f>
        <v>52024</v>
      </c>
      <c r="K112" s="44">
        <f t="shared" si="30"/>
        <v>35738</v>
      </c>
      <c r="L112" s="254">
        <f t="shared" ref="L112:L124" si="31">IF(J112=0, "    ---- ", IF(ABS(ROUND(100/J112*K112-100,1))&lt;999,ROUND(100/J112*K112-100,1),IF(ROUND(100/J112*K112-100,1)&gt;999,999,-999)))</f>
        <v>-31.3</v>
      </c>
      <c r="M112" s="27">
        <f>IFERROR(100/'Skjema total MA'!I112*K112,0)</f>
        <v>47.862888288283905</v>
      </c>
    </row>
    <row r="113" spans="1:14" x14ac:dyDescent="0.2">
      <c r="A113" s="21" t="s">
        <v>10</v>
      </c>
      <c r="B113" s="234"/>
      <c r="C113" s="145"/>
      <c r="D113" s="166"/>
      <c r="E113" s="27"/>
      <c r="F113" s="234">
        <v>1314130</v>
      </c>
      <c r="G113" s="145">
        <v>1079878</v>
      </c>
      <c r="H113" s="166">
        <f t="shared" ref="H113:H121" si="32">IF(F113=0, "    ---- ", IF(ABS(ROUND(100/F113*G113-100,1))&lt;999,ROUND(100/F113*G113-100,1),IF(ROUND(100/F113*G113-100,1)&gt;999,999,-999)))</f>
        <v>-17.8</v>
      </c>
      <c r="I113" s="27">
        <f>IFERROR(100/'Skjema total MA'!F113*G113,0)</f>
        <v>12.205330135679253</v>
      </c>
      <c r="J113" s="287">
        <f t="shared" si="30"/>
        <v>1314130</v>
      </c>
      <c r="K113" s="44">
        <f t="shared" si="30"/>
        <v>1079878</v>
      </c>
      <c r="L113" s="254">
        <f t="shared" si="31"/>
        <v>-17.8</v>
      </c>
      <c r="M113" s="27">
        <f>IFERROR(100/'Skjema total MA'!I113*K113,0)</f>
        <v>12.199568432777454</v>
      </c>
    </row>
    <row r="114" spans="1:14" x14ac:dyDescent="0.2">
      <c r="A114" s="21" t="s">
        <v>26</v>
      </c>
      <c r="B114" s="234"/>
      <c r="C114" s="145"/>
      <c r="D114" s="166"/>
      <c r="E114" s="27"/>
      <c r="F114" s="234"/>
      <c r="G114" s="145"/>
      <c r="H114" s="166"/>
      <c r="I114" s="27"/>
      <c r="J114" s="287"/>
      <c r="K114" s="44"/>
      <c r="L114" s="254"/>
      <c r="M114" s="27"/>
    </row>
    <row r="115" spans="1:14" x14ac:dyDescent="0.2">
      <c r="A115" s="296" t="s">
        <v>15</v>
      </c>
      <c r="B115" s="281"/>
      <c r="C115" s="281"/>
      <c r="D115" s="166"/>
      <c r="E115" s="417"/>
      <c r="F115" s="281"/>
      <c r="G115" s="281"/>
      <c r="H115" s="166"/>
      <c r="I115" s="417"/>
      <c r="J115" s="290"/>
      <c r="K115" s="290"/>
      <c r="L115" s="166"/>
      <c r="M115" s="23"/>
    </row>
    <row r="116" spans="1:14" ht="15.75" x14ac:dyDescent="0.2">
      <c r="A116" s="21" t="s">
        <v>390</v>
      </c>
      <c r="B116" s="234">
        <v>21921</v>
      </c>
      <c r="C116" s="234">
        <v>16820</v>
      </c>
      <c r="D116" s="166">
        <f t="shared" si="29"/>
        <v>-23.3</v>
      </c>
      <c r="E116" s="27">
        <f>IFERROR(100/'Skjema total MA'!C116*C116,0)</f>
        <v>76.042096579159022</v>
      </c>
      <c r="F116" s="234"/>
      <c r="G116" s="234"/>
      <c r="H116" s="166"/>
      <c r="I116" s="27"/>
      <c r="J116" s="287">
        <f t="shared" si="30"/>
        <v>21921</v>
      </c>
      <c r="K116" s="44">
        <f t="shared" si="30"/>
        <v>16820</v>
      </c>
      <c r="L116" s="254">
        <f t="shared" si="31"/>
        <v>-23.3</v>
      </c>
      <c r="M116" s="27">
        <f>IFERROR(100/'Skjema total MA'!I116*K116,0)</f>
        <v>65.628467491004955</v>
      </c>
    </row>
    <row r="117" spans="1:14" ht="15.75" x14ac:dyDescent="0.2">
      <c r="A117" s="21" t="s">
        <v>391</v>
      </c>
      <c r="B117" s="234"/>
      <c r="C117" s="234"/>
      <c r="D117" s="166"/>
      <c r="E117" s="27"/>
      <c r="F117" s="234"/>
      <c r="G117" s="234"/>
      <c r="H117" s="166"/>
      <c r="I117" s="27"/>
      <c r="J117" s="287"/>
      <c r="K117" s="44"/>
      <c r="L117" s="254"/>
      <c r="M117" s="27"/>
    </row>
    <row r="118" spans="1:14" ht="15.75" x14ac:dyDescent="0.2">
      <c r="A118" s="21" t="s">
        <v>389</v>
      </c>
      <c r="B118" s="234"/>
      <c r="C118" s="234"/>
      <c r="D118" s="166"/>
      <c r="E118" s="27"/>
      <c r="F118" s="234"/>
      <c r="G118" s="234"/>
      <c r="H118" s="166"/>
      <c r="I118" s="27"/>
      <c r="J118" s="287"/>
      <c r="K118" s="44"/>
      <c r="L118" s="254"/>
      <c r="M118" s="27"/>
    </row>
    <row r="119" spans="1:14" ht="15.75" x14ac:dyDescent="0.2">
      <c r="A119" s="13" t="s">
        <v>370</v>
      </c>
      <c r="B119" s="308">
        <v>33591</v>
      </c>
      <c r="C119" s="159">
        <v>311106</v>
      </c>
      <c r="D119" s="171">
        <f t="shared" si="29"/>
        <v>826.2</v>
      </c>
      <c r="E119" s="11">
        <f>IFERROR(100/'Skjema total MA'!C119*C119,0)</f>
        <v>63.449482048405834</v>
      </c>
      <c r="F119" s="308">
        <v>793972</v>
      </c>
      <c r="G119" s="159">
        <v>4234150</v>
      </c>
      <c r="H119" s="171">
        <f t="shared" si="32"/>
        <v>433.3</v>
      </c>
      <c r="I119" s="11">
        <f>IFERROR(100/'Skjema total MA'!F119*G119,0)</f>
        <v>49.035311893979852</v>
      </c>
      <c r="J119" s="309">
        <f t="shared" si="30"/>
        <v>827563</v>
      </c>
      <c r="K119" s="236">
        <f t="shared" si="30"/>
        <v>4545256</v>
      </c>
      <c r="L119" s="428">
        <f t="shared" si="31"/>
        <v>449.2</v>
      </c>
      <c r="M119" s="11">
        <f>IFERROR(100/'Skjema total MA'!I119*K119,0)</f>
        <v>49.809821098378272</v>
      </c>
    </row>
    <row r="120" spans="1:14" x14ac:dyDescent="0.2">
      <c r="A120" s="21" t="s">
        <v>9</v>
      </c>
      <c r="B120" s="234">
        <v>33591</v>
      </c>
      <c r="C120" s="145">
        <v>311106</v>
      </c>
      <c r="D120" s="166">
        <f t="shared" si="29"/>
        <v>826.2</v>
      </c>
      <c r="E120" s="27">
        <f>IFERROR(100/'Skjema total MA'!C120*C120,0)</f>
        <v>71.30946511059166</v>
      </c>
      <c r="F120" s="234"/>
      <c r="G120" s="145"/>
      <c r="H120" s="166"/>
      <c r="I120" s="27"/>
      <c r="J120" s="287">
        <f t="shared" si="30"/>
        <v>33591</v>
      </c>
      <c r="K120" s="44">
        <f t="shared" si="30"/>
        <v>311106</v>
      </c>
      <c r="L120" s="254">
        <f t="shared" si="31"/>
        <v>826.2</v>
      </c>
      <c r="M120" s="27">
        <f>IFERROR(100/'Skjema total MA'!I120*K120,0)</f>
        <v>71.30946511059166</v>
      </c>
    </row>
    <row r="121" spans="1:14" x14ac:dyDescent="0.2">
      <c r="A121" s="21" t="s">
        <v>10</v>
      </c>
      <c r="B121" s="234"/>
      <c r="C121" s="145"/>
      <c r="D121" s="166"/>
      <c r="E121" s="27"/>
      <c r="F121" s="234">
        <v>793972</v>
      </c>
      <c r="G121" s="145">
        <v>4234150</v>
      </c>
      <c r="H121" s="166">
        <f t="shared" si="32"/>
        <v>433.3</v>
      </c>
      <c r="I121" s="27">
        <f>IFERROR(100/'Skjema total MA'!F121*G121,0)</f>
        <v>49.035311893979852</v>
      </c>
      <c r="J121" s="287">
        <f t="shared" si="30"/>
        <v>793972</v>
      </c>
      <c r="K121" s="44">
        <f t="shared" si="30"/>
        <v>4234150</v>
      </c>
      <c r="L121" s="254">
        <f t="shared" si="31"/>
        <v>433.3</v>
      </c>
      <c r="M121" s="27">
        <f>IFERROR(100/'Skjema total MA'!I121*K121,0)</f>
        <v>49.018650619138533</v>
      </c>
    </row>
    <row r="122" spans="1:14" x14ac:dyDescent="0.2">
      <c r="A122" s="21" t="s">
        <v>26</v>
      </c>
      <c r="B122" s="234"/>
      <c r="C122" s="145"/>
      <c r="D122" s="166"/>
      <c r="E122" s="27"/>
      <c r="F122" s="234"/>
      <c r="G122" s="145"/>
      <c r="H122" s="166"/>
      <c r="I122" s="27"/>
      <c r="J122" s="287"/>
      <c r="K122" s="44"/>
      <c r="L122" s="254"/>
      <c r="M122" s="27"/>
    </row>
    <row r="123" spans="1:14" x14ac:dyDescent="0.2">
      <c r="A123" s="296" t="s">
        <v>14</v>
      </c>
      <c r="B123" s="281"/>
      <c r="C123" s="281"/>
      <c r="D123" s="166"/>
      <c r="E123" s="417"/>
      <c r="F123" s="281"/>
      <c r="G123" s="281"/>
      <c r="H123" s="166"/>
      <c r="I123" s="417"/>
      <c r="J123" s="290"/>
      <c r="K123" s="290"/>
      <c r="L123" s="166"/>
      <c r="M123" s="23"/>
    </row>
    <row r="124" spans="1:14" ht="15.75" x14ac:dyDescent="0.2">
      <c r="A124" s="21" t="s">
        <v>396</v>
      </c>
      <c r="B124" s="234">
        <v>16511</v>
      </c>
      <c r="C124" s="234">
        <v>15064</v>
      </c>
      <c r="D124" s="166">
        <f t="shared" si="29"/>
        <v>-8.8000000000000007</v>
      </c>
      <c r="E124" s="27">
        <f>IFERROR(100/'Skjema total MA'!C124*C124,0)</f>
        <v>93.655603774624225</v>
      </c>
      <c r="F124" s="234"/>
      <c r="G124" s="234"/>
      <c r="H124" s="166"/>
      <c r="I124" s="27"/>
      <c r="J124" s="287">
        <f t="shared" si="30"/>
        <v>16511</v>
      </c>
      <c r="K124" s="44">
        <f t="shared" si="30"/>
        <v>15064</v>
      </c>
      <c r="L124" s="254">
        <f t="shared" si="31"/>
        <v>-8.8000000000000007</v>
      </c>
      <c r="M124" s="27">
        <f>IFERROR(100/'Skjema total MA'!I124*K124,0)</f>
        <v>82.501951644348679</v>
      </c>
    </row>
    <row r="125" spans="1:14" ht="15.75" x14ac:dyDescent="0.2">
      <c r="A125" s="21" t="s">
        <v>388</v>
      </c>
      <c r="B125" s="234"/>
      <c r="C125" s="234"/>
      <c r="D125" s="166"/>
      <c r="E125" s="27"/>
      <c r="F125" s="234"/>
      <c r="G125" s="234"/>
      <c r="H125" s="166"/>
      <c r="I125" s="27"/>
      <c r="J125" s="287"/>
      <c r="K125" s="44"/>
      <c r="L125" s="254"/>
      <c r="M125" s="27"/>
    </row>
    <row r="126" spans="1:14" ht="15.75" x14ac:dyDescent="0.2">
      <c r="A126" s="10" t="s">
        <v>389</v>
      </c>
      <c r="B126" s="45"/>
      <c r="C126" s="45"/>
      <c r="D126" s="167"/>
      <c r="E126" s="418"/>
      <c r="F126" s="45"/>
      <c r="G126" s="45"/>
      <c r="H126" s="167"/>
      <c r="I126" s="22"/>
      <c r="J126" s="288"/>
      <c r="K126" s="45"/>
      <c r="L126" s="255"/>
      <c r="M126" s="22"/>
    </row>
    <row r="127" spans="1:14" x14ac:dyDescent="0.2">
      <c r="A127" s="155"/>
      <c r="L127" s="26"/>
      <c r="M127" s="26"/>
      <c r="N127" s="26"/>
    </row>
    <row r="128" spans="1:14" x14ac:dyDescent="0.2">
      <c r="L128" s="26"/>
      <c r="M128" s="26"/>
      <c r="N128" s="26"/>
    </row>
    <row r="129" spans="1:14" ht="15.75" x14ac:dyDescent="0.25">
      <c r="A129" s="165" t="s">
        <v>27</v>
      </c>
    </row>
    <row r="130" spans="1:14" ht="15.75" x14ac:dyDescent="0.25">
      <c r="B130" s="729"/>
      <c r="C130" s="729"/>
      <c r="D130" s="729"/>
      <c r="E130" s="299"/>
      <c r="F130" s="729"/>
      <c r="G130" s="729"/>
      <c r="H130" s="729"/>
      <c r="I130" s="299"/>
      <c r="J130" s="729"/>
      <c r="K130" s="729"/>
      <c r="L130" s="729"/>
      <c r="M130" s="299"/>
    </row>
    <row r="131" spans="1:14" s="3" customFormat="1" x14ac:dyDescent="0.2">
      <c r="A131" s="144"/>
      <c r="B131" s="727" t="s">
        <v>0</v>
      </c>
      <c r="C131" s="728"/>
      <c r="D131" s="728"/>
      <c r="E131" s="301"/>
      <c r="F131" s="727" t="s">
        <v>1</v>
      </c>
      <c r="G131" s="728"/>
      <c r="H131" s="728"/>
      <c r="I131" s="304"/>
      <c r="J131" s="727" t="s">
        <v>2</v>
      </c>
      <c r="K131" s="728"/>
      <c r="L131" s="728"/>
      <c r="M131" s="304"/>
      <c r="N131" s="148"/>
    </row>
    <row r="132" spans="1:14" s="3" customFormat="1" x14ac:dyDescent="0.2">
      <c r="A132" s="140"/>
      <c r="B132" s="152" t="s">
        <v>423</v>
      </c>
      <c r="C132" s="152" t="s">
        <v>424</v>
      </c>
      <c r="D132" s="245" t="s">
        <v>3</v>
      </c>
      <c r="E132" s="305" t="s">
        <v>29</v>
      </c>
      <c r="F132" s="152" t="s">
        <v>423</v>
      </c>
      <c r="G132" s="152" t="s">
        <v>424</v>
      </c>
      <c r="H132" s="206" t="s">
        <v>3</v>
      </c>
      <c r="I132" s="162" t="s">
        <v>29</v>
      </c>
      <c r="J132" s="152" t="s">
        <v>423</v>
      </c>
      <c r="K132" s="152" t="s">
        <v>424</v>
      </c>
      <c r="L132" s="246" t="s">
        <v>3</v>
      </c>
      <c r="M132" s="162" t="s">
        <v>29</v>
      </c>
      <c r="N132" s="148"/>
    </row>
    <row r="133" spans="1:14" s="3" customFormat="1" x14ac:dyDescent="0.2">
      <c r="A133" s="703"/>
      <c r="B133" s="156"/>
      <c r="C133" s="156"/>
      <c r="D133" s="246" t="s">
        <v>4</v>
      </c>
      <c r="E133" s="156" t="s">
        <v>30</v>
      </c>
      <c r="F133" s="161"/>
      <c r="G133" s="161"/>
      <c r="H133" s="206" t="s">
        <v>4</v>
      </c>
      <c r="I133" s="156" t="s">
        <v>30</v>
      </c>
      <c r="J133" s="156"/>
      <c r="K133" s="156"/>
      <c r="L133" s="150" t="s">
        <v>4</v>
      </c>
      <c r="M133" s="156" t="s">
        <v>30</v>
      </c>
      <c r="N133" s="148"/>
    </row>
    <row r="134" spans="1:14" s="3" customFormat="1" ht="15.75" x14ac:dyDescent="0.2">
      <c r="A134" s="14" t="s">
        <v>392</v>
      </c>
      <c r="B134" s="236"/>
      <c r="C134" s="309"/>
      <c r="D134" s="350"/>
      <c r="E134" s="11"/>
      <c r="F134" s="316"/>
      <c r="G134" s="317"/>
      <c r="H134" s="431"/>
      <c r="I134" s="24"/>
      <c r="J134" s="318"/>
      <c r="K134" s="318"/>
      <c r="L134" s="427"/>
      <c r="M134" s="11"/>
      <c r="N134" s="148"/>
    </row>
    <row r="135" spans="1:14" s="3" customFormat="1" ht="15.75" x14ac:dyDescent="0.2">
      <c r="A135" s="13" t="s">
        <v>397</v>
      </c>
      <c r="B135" s="236"/>
      <c r="C135" s="309"/>
      <c r="D135" s="171"/>
      <c r="E135" s="11"/>
      <c r="F135" s="236"/>
      <c r="G135" s="309"/>
      <c r="H135" s="432"/>
      <c r="I135" s="24"/>
      <c r="J135" s="308"/>
      <c r="K135" s="308"/>
      <c r="L135" s="428"/>
      <c r="M135" s="11"/>
      <c r="N135" s="148"/>
    </row>
    <row r="136" spans="1:14" s="3" customFormat="1" ht="15.75" x14ac:dyDescent="0.2">
      <c r="A136" s="13" t="s">
        <v>394</v>
      </c>
      <c r="B136" s="236"/>
      <c r="C136" s="309"/>
      <c r="D136" s="171"/>
      <c r="E136" s="11"/>
      <c r="F136" s="236"/>
      <c r="G136" s="309"/>
      <c r="H136" s="432"/>
      <c r="I136" s="24"/>
      <c r="J136" s="308"/>
      <c r="K136" s="308"/>
      <c r="L136" s="428"/>
      <c r="M136" s="11"/>
      <c r="N136" s="148"/>
    </row>
    <row r="137" spans="1:14" s="3" customFormat="1" ht="15.75" x14ac:dyDescent="0.2">
      <c r="A137" s="41" t="s">
        <v>395</v>
      </c>
      <c r="B137" s="276"/>
      <c r="C137" s="315"/>
      <c r="D137" s="169"/>
      <c r="E137" s="9"/>
      <c r="F137" s="276"/>
      <c r="G137" s="315"/>
      <c r="H137" s="433"/>
      <c r="I137" s="36"/>
      <c r="J137" s="314"/>
      <c r="K137" s="314"/>
      <c r="L137" s="429"/>
      <c r="M137" s="36"/>
      <c r="N137" s="148"/>
    </row>
    <row r="138" spans="1:14" s="3" customFormat="1" x14ac:dyDescent="0.2">
      <c r="A138" s="168"/>
      <c r="B138" s="33"/>
      <c r="C138" s="33"/>
      <c r="D138" s="159"/>
      <c r="E138" s="159"/>
      <c r="F138" s="33"/>
      <c r="G138" s="33"/>
      <c r="H138" s="159"/>
      <c r="I138" s="159"/>
      <c r="J138" s="33"/>
      <c r="K138" s="33"/>
      <c r="L138" s="159"/>
      <c r="M138" s="159"/>
      <c r="N138" s="148"/>
    </row>
    <row r="139" spans="1:14" x14ac:dyDescent="0.2">
      <c r="A139" s="168"/>
      <c r="B139" s="33"/>
      <c r="C139" s="33"/>
      <c r="D139" s="159"/>
      <c r="E139" s="159"/>
      <c r="F139" s="33"/>
      <c r="G139" s="33"/>
      <c r="H139" s="159"/>
      <c r="I139" s="159"/>
      <c r="J139" s="33"/>
      <c r="K139" s="33"/>
      <c r="L139" s="159"/>
      <c r="M139" s="159"/>
      <c r="N139" s="148"/>
    </row>
    <row r="140" spans="1:14" x14ac:dyDescent="0.2">
      <c r="A140" s="168"/>
      <c r="B140" s="33"/>
      <c r="C140" s="33"/>
      <c r="D140" s="159"/>
      <c r="E140" s="159"/>
      <c r="F140" s="33"/>
      <c r="G140" s="33"/>
      <c r="H140" s="159"/>
      <c r="I140" s="159"/>
      <c r="J140" s="33"/>
      <c r="K140" s="33"/>
      <c r="L140" s="159"/>
      <c r="M140" s="159"/>
      <c r="N140" s="148"/>
    </row>
    <row r="141" spans="1:14" x14ac:dyDescent="0.2">
      <c r="A141" s="146"/>
      <c r="B141" s="146"/>
      <c r="C141" s="146"/>
      <c r="D141" s="146"/>
      <c r="E141" s="146"/>
      <c r="F141" s="146"/>
      <c r="G141" s="146"/>
      <c r="H141" s="146"/>
      <c r="I141" s="146"/>
      <c r="J141" s="146"/>
      <c r="K141" s="146"/>
      <c r="L141" s="146"/>
      <c r="M141" s="146"/>
      <c r="N141" s="146"/>
    </row>
    <row r="142" spans="1:14" ht="15.75" x14ac:dyDescent="0.25">
      <c r="B142" s="142"/>
      <c r="C142" s="142"/>
      <c r="D142" s="142"/>
      <c r="E142" s="142"/>
      <c r="F142" s="142"/>
      <c r="G142" s="142"/>
      <c r="H142" s="142"/>
      <c r="I142" s="142"/>
      <c r="J142" s="142"/>
      <c r="K142" s="142"/>
      <c r="L142" s="142"/>
      <c r="M142" s="142"/>
      <c r="N142" s="142"/>
    </row>
    <row r="143" spans="1:14" ht="15.75" x14ac:dyDescent="0.25">
      <c r="B143" s="157"/>
      <c r="C143" s="157"/>
      <c r="D143" s="157"/>
      <c r="E143" s="157"/>
      <c r="F143" s="157"/>
      <c r="G143" s="157"/>
      <c r="H143" s="157"/>
      <c r="I143" s="157"/>
      <c r="J143" s="157"/>
      <c r="K143" s="157"/>
      <c r="L143" s="157"/>
      <c r="M143" s="157"/>
      <c r="N143" s="157"/>
    </row>
    <row r="144" spans="1:14" ht="15.75" x14ac:dyDescent="0.25">
      <c r="B144" s="157"/>
      <c r="C144" s="157"/>
      <c r="D144" s="157"/>
      <c r="E144" s="157"/>
      <c r="F144" s="157"/>
      <c r="G144" s="157"/>
      <c r="H144" s="157"/>
      <c r="I144" s="157"/>
      <c r="J144" s="157"/>
      <c r="K144" s="157"/>
      <c r="L144" s="157"/>
      <c r="M144" s="157"/>
      <c r="N144" s="157"/>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B50:C52">
    <cfRule type="expression" dxfId="608" priority="132">
      <formula>kvartal &lt; 4</formula>
    </cfRule>
  </conditionalFormatting>
  <conditionalFormatting sqref="B115">
    <cfRule type="expression" dxfId="607" priority="76">
      <formula>kvartal &lt; 4</formula>
    </cfRule>
  </conditionalFormatting>
  <conditionalFormatting sqref="C115">
    <cfRule type="expression" dxfId="606" priority="75">
      <formula>kvartal &lt; 4</formula>
    </cfRule>
  </conditionalFormatting>
  <conditionalFormatting sqref="B123">
    <cfRule type="expression" dxfId="605" priority="74">
      <formula>kvartal &lt; 4</formula>
    </cfRule>
  </conditionalFormatting>
  <conditionalFormatting sqref="C123">
    <cfRule type="expression" dxfId="604" priority="73">
      <formula>kvartal &lt; 4</formula>
    </cfRule>
  </conditionalFormatting>
  <conditionalFormatting sqref="F115">
    <cfRule type="expression" dxfId="603" priority="58">
      <formula>kvartal &lt; 4</formula>
    </cfRule>
  </conditionalFormatting>
  <conditionalFormatting sqref="G115">
    <cfRule type="expression" dxfId="602" priority="57">
      <formula>kvartal &lt; 4</formula>
    </cfRule>
  </conditionalFormatting>
  <conditionalFormatting sqref="F123:G123">
    <cfRule type="expression" dxfId="601" priority="56">
      <formula>kvartal &lt; 4</formula>
    </cfRule>
  </conditionalFormatting>
  <conditionalFormatting sqref="J115:K115">
    <cfRule type="expression" dxfId="600" priority="32">
      <formula>kvartal &lt; 4</formula>
    </cfRule>
  </conditionalFormatting>
  <conditionalFormatting sqref="J123:K123">
    <cfRule type="expression" dxfId="599" priority="31">
      <formula>kvartal &lt; 4</formula>
    </cfRule>
  </conditionalFormatting>
  <conditionalFormatting sqref="A50:A52">
    <cfRule type="expression" dxfId="598" priority="12">
      <formula>kvartal &lt; 4</formula>
    </cfRule>
  </conditionalFormatting>
  <conditionalFormatting sqref="A69:A74">
    <cfRule type="expression" dxfId="597" priority="10">
      <formula>kvartal &lt; 4</formula>
    </cfRule>
  </conditionalFormatting>
  <conditionalFormatting sqref="A80:A85">
    <cfRule type="expression" dxfId="596" priority="9">
      <formula>kvartal &lt; 4</formula>
    </cfRule>
  </conditionalFormatting>
  <conditionalFormatting sqref="A90:A95">
    <cfRule type="expression" dxfId="595" priority="6">
      <formula>kvartal &lt; 4</formula>
    </cfRule>
  </conditionalFormatting>
  <conditionalFormatting sqref="A101:A106">
    <cfRule type="expression" dxfId="594" priority="5">
      <formula>kvartal &lt; 4</formula>
    </cfRule>
  </conditionalFormatting>
  <conditionalFormatting sqref="A115">
    <cfRule type="expression" dxfId="593" priority="4">
      <formula>kvartal &lt; 4</formula>
    </cfRule>
  </conditionalFormatting>
  <conditionalFormatting sqref="A123">
    <cfRule type="expression" dxfId="592" priority="3">
      <formula>kvartal &lt; 4</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8 f 6 9 7 3 f 7 - 0 8 c 0 - 4 5 7 9 - b f 5 c - 6 c 7 f a d 0 9 0 d 4 1 "   x m l n s = " h t t p : / / s c h e m a s . m i c r o s o f t . c o m / D a t a M a s h u p " > A A A A A A g E A A B Q S w M E F A A C A A g A c W C y U G b o O B S o A A A A + A A A A B I A H A B D b 2 5 m a W c v U G F j a 2 F n Z S 5 4 b W w g o h g A K K A U A A A A A A A A A A A A A A A A A A A A A A A A A A A A h Y 9 B D o I w F E S v Q r q n L R X U m E 9 Z u B U 1 M T F u K 1 R o h G J o s d z N h U f y C p I o 6 s 7 l T N 4 k b x 6 3 O y R 9 X X l X 2 R r V 6 B g F m C J P 6 q z J l S 5 i 1 N m T P 0 c J h 6 3 I z q K Q 3 g B r s + i N i l F p 7 W V B i H M O u w l u 2 o I w S g N y S F e 7 r J S 1 8 J U 2 V u h M o s 8 q / 7 9 C H P Y v G c 7 w j O E o i q Y 4 D A M g Y w 2 p 0 l + E D c a Y A v k p Y d l V t m s l 1 0 d / v Q E y R i D v F / w J U E s D B B Q A A g A I A H F g s 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Y L J Q B v r 5 6 f 4 A A A B i A Q A A E w A c A E Z v c m 1 1 b G F z L 1 N l Y 3 R p b 2 4 x L m 0 g o h g A K K A U A A A A A A A A A A A A A A A A A A A A A A A A A A A A f Y / B S s N A E I b P D f Q d h j 2 U B t I Q P Q k h I K R B p F C U B C 2 s S 9 g 0 A 8 Z s s n W y K Z X S o 4 / i k / T F u r F F 8 e J c Z m D + b / 7 5 O 1 y b S r e Q n v t V O H b G T v c q C U u Y S y M h A o X G A V s P k m S D B u k J q a z s I t m t U f l x T 4 S t e d Z U F 1 r X U 3 f P l 1 Y X s R 8 9 M n H g s W 6 N l Q k P v o 8 t K l W i v Z G + K 3 / w K W S H U 5 b d z d L V / C a Z B c H 1 y 7 0 F q J W K e c B U t c 0 b a S f + 2 C N 9 R C x Z J T H w s t D C 5 5 s c h 0 / y D W F n L W T 3 p l v h j E a 3 x y + y F g w m s O y b A s n P d I Y 7 M / 2 b h B 8 / S e y D g w s T 5 g 1 Y v Z V k p L q g / 7 O L s / b C A w u Z c J 2 q / c 0 Y n g B Q S w E C L Q A U A A I A C A B x Y L J Q Z u g 4 F K g A A A D 4 A A A A E g A A A A A A A A A A A A A A A A A A A A A A Q 2 9 u Z m l n L 1 B h Y 2 t h Z 2 U u e G 1 s U E s B A i 0 A F A A C A A g A c W C y U A / K 6 a u k A A A A 6 Q A A A B M A A A A A A A A A A A A A A A A A 9 A A A A F t D b 2 5 0 Z W 5 0 X 1 R 5 c G V z X S 5 4 b W x Q S w E C L Q A U A A I A C A B x Y L J Q B v r 5 6 f 4 A A A B i A Q A A E w A A A A A A A A A A A A A A A A D l A Q A A R m 9 y b X V s Y X M v U 2 V j d G l v b j E u b V B L B Q Y A A A A A A w A D A M I A A A A w A w A A A A A 9 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P l B 1 Y m x p Y z w v V 2 9 y a 2 J v b 2 t H c m 9 1 c F R 5 c G U + P C 9 Q Z X J t a X N z a W 9 u T G l z d D 7 D C w A A A A A A A K E L 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Y X R h P C 9 J d G V t U G F 0 a D 4 8 L 0 l 0 Z W 1 M b 2 N h d G l v b j 4 8 U 3 R h Y m x l R W 5 0 c m l l c z 4 8 R W 5 0 c n k g V H l w Z T 0 i S X N Q c m l 2 Y X R l I i B W Y W x 1 Z T 0 i b D A i I C 8 + P E V u d H J 5 I F R 5 c G U 9 I k J 1 Z m Z l c k 5 l e H R S Z W Z y Z X N o I i B W Y W x 1 Z T 0 i b D E i I C 8 + P E V u d H J 5 I F R 5 c G U 9 I k Z p b G x F b m F i b G V k I i B W Y W x 1 Z T 0 i b D A i I C 8 + P E V u d H J 5 I F R 5 c G U 9 I k Z p b G x U b 0 R h d G F N b 2 R l b E V u Y W J s Z W Q i I F Z h b H V l P S J s M C I g L z 4 8 R W 5 0 c n k g V H l w Z T 0 i U m V z d W x 0 V H l w Z S I g V m F s d W U 9 I n N U Y W J s Z S I g L z 4 8 R W 5 0 c n k g V H l w Z T 0 i T m F t Z V V w Z G F 0 Z W R B Z n R l c k Z p b G w i I F Z h b H V l P S J s M C I g L z 4 8 R W 5 0 c n k g V H l w Z T 0 i R m l s b G V k Q 2 9 t c G x l d G V S Z X N 1 b H R U b 1 d v c m t z a G V l d C I g V m F s d W U 9 I m w x I i A v P j x F b n R y e S B U e X B l P S J S Z W N v d m V y e V R h c m d l d F N o Z W V 0 I i B W Y W x 1 Z T 0 i c 0 F y a z I i I C 8 + P E V u d H J 5 I F R 5 c G U 9 I l J l Y 2 9 2 Z X J 5 V G F y Z 2 V 0 Q 2 9 s d W 1 u I i B W Y W x 1 Z T 0 i b D E i I C 8 + P E V u d H J 5 I F R 5 c G U 9 I l J l Y 2 9 2 Z X J 5 V G F y Z 2 V 0 U m 9 3 I i B W Y W x 1 Z T 0 i b D E i I C 8 + P E V u d H J 5 I F R 5 c G U 9 I l F 1 Z X J 5 S U Q i I F Z h b H V l P S J z N G U 4 M 2 F k Z D k t Z W N j Y i 0 0 Z W Y 2 L T l j Z j g t N m I y O T h k Z j A 0 N G M 5 I i A v P j x F b n R y e S B U e X B l P S J O Y X Z p Z 2 F 0 a W 9 u U 3 R l c E 5 h b W U i I F Z h b H V l P S J z T m F 2 a W d h d G l v b i I g L z 4 8 R W 5 0 c n k g V H l w Z T 0 i R m l s b E x h c 3 R V c G R h d G V k I i B W Y W x 1 Z T 0 i Z D I w M j A t M D U t M T R U M T M 6 N D k 6 N D Q u M T U 1 N j I 1 M V o i I C 8 + P E V u d H J 5 I F R 5 c G U 9 I k Z p b G x F c n J v c k N v d W 5 0 I i B W Y W x 1 Z T 0 i b D A i I C 8 + P E V u d H J 5 I F R 5 c G U 9 I k Z p b G x D b 2 x 1 b W 5 U e X B l c y I g V m F s d W U 9 I n N C Z 0 l D Q W d J Q 0 F n V T 0 i I C 8 + P E V u d H J 5 I F R 5 c G U 9 I k Z p b G x F c n J v c k N v Z G U i I F Z h b H V l P S J z V W 5 r b m 9 3 b i I g L z 4 8 R W 5 0 c n k g V H l w Z T 0 i R m l s b E N v b H V t b k 5 h b W V z I i B W Y W x 1 Z T 0 i c 1 s m c X V v d D t z w 7 h r Z W 7 D u G t r Z W w m c X V v d D s s J n F 1 b 3 Q 7 c 2 V s c 2 t h c F 9 p Z C Z x d W 9 0 O y w m c X V v d D v D p X I m c X V v d D s s J n F 1 b 3 Q 7 a 3 Z h c n R h b C Z x d W 9 0 O y w m c X V v d D t 0 Y W J l b G x f a W Q m c X V v d D s s J n F 1 b 3 Q 7 c m F k X 2 l k J n F 1 b 3 Q 7 L C Z x d W 9 0 O 2 t h d G V n b 3 J p X 2 l k J n F 1 b 3 Q 7 L C Z x d W 9 0 O 3 Z l c m R p J n F 1 b 3 Q 7 X S I g L z 4 8 R W 5 0 c n k g V H l w Z T 0 i R m l s b E N v d W 5 0 I i B W Y W x 1 Z T 0 i b D c w M j A 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R G F 0 Y S 9 L a W x k Z S 5 7 c 8 O 4 a 2 V u w 7 h r a 2 V s L D B 9 J n F 1 b 3 Q 7 L C Z x d W 9 0 O 1 N l Y 3 R p b 2 4 x L 0 R h d G E v S 2 l s Z G U u e 3 N l b H N r Y X B f a W Q s M X 0 m c X V v d D s s J n F 1 b 3 Q 7 U 2 V j d G l v b j E v R G F 0 Y S 9 L a W x k Z S 5 7 w 6 V y L D J 9 J n F 1 b 3 Q 7 L C Z x d W 9 0 O 1 N l Y 3 R p b 2 4 x L 0 R h d G E v S 2 l s Z G U u e 2 t 2 Y X J 0 Y W w s M 3 0 m c X V v d D s s J n F 1 b 3 Q 7 U 2 V j d G l v b j E v R G F 0 Y S 9 L a W x k Z S 5 7 d G F i Z W x s X 2 l k L D R 9 J n F 1 b 3 Q 7 L C Z x d W 9 0 O 1 N l Y 3 R p b 2 4 x L 0 R h d G E v S 2 l s Z G U u e 3 J h Z F 9 p Z C w 1 f S Z x d W 9 0 O y w m c X V v d D t T Z W N 0 a W 9 u M S 9 E Y X R h L 0 t p b G R l L n t r Y X R l Z 2 9 y a V 9 p Z C w 2 f S Z x d W 9 0 O y w m c X V v d D t T Z W N 0 a W 9 u M S 9 E Y X R h L 0 t p b G R l L n t 2 Z X J k a S w 3 f S Z x d W 9 0 O 1 0 s J n F 1 b 3 Q 7 Q 2 9 s d W 1 u Q 2 9 1 b n Q m c X V v d D s 6 O C w m c X V v d D t L Z X l D b 2 x 1 b W 5 O Y W 1 l c y Z x d W 9 0 O z p b X S w m c X V v d D t D b 2 x 1 b W 5 J Z G V u d G l 0 a W V z J n F 1 b 3 Q 7 O l s m c X V v d D t T Z W N 0 a W 9 u M S 9 E Y X R h L 0 t p b G R l L n t z w 7 h r Z W 7 D u G t r Z W w s M H 0 m c X V v d D s s J n F 1 b 3 Q 7 U 2 V j d G l v b j E v R G F 0 Y S 9 L a W x k Z S 5 7 c 2 V s c 2 t h c F 9 p Z C w x f S Z x d W 9 0 O y w m c X V v d D t T Z W N 0 a W 9 u M S 9 E Y X R h L 0 t p b G R l L n v D p X I s M n 0 m c X V v d D s s J n F 1 b 3 Q 7 U 2 V j d G l v b j E v R G F 0 Y S 9 L a W x k Z S 5 7 a 3 Z h c n R h b C w z f S Z x d W 9 0 O y w m c X V v d D t T Z W N 0 a W 9 u M S 9 E Y X R h L 0 t p b G R l L n t 0 Y W J l b G x f a W Q s N H 0 m c X V v d D s s J n F 1 b 3 Q 7 U 2 V j d G l v b j E v R G F 0 Y S 9 L a W x k Z S 5 7 c m F k X 2 l k L D V 9 J n F 1 b 3 Q 7 L C Z x d W 9 0 O 1 N l Y 3 R p b 2 4 x L 0 R h d G E v S 2 l s Z G U u e 2 t h d G V n b 3 J p X 2 l k L D Z 9 J n F 1 b 3 Q 7 L C Z x d W 9 0 O 1 N l Y 3 R p b 2 4 x L 0 R h d G E v S 2 l s Z G U u e 3 Z l c m R p L D d 9 J n F 1 b 3 Q 7 X S w m c X V v d D t S Z W x h d G l v b n N o a X B J b m Z v J n F 1 b 3 Q 7 O l t d f S I g L z 4 8 R W 5 0 c n k g V H l w Z T 0 i R m l s b E 9 i a m V j d F R 5 c G U i I F Z h b H V l P S J z Q 2 9 u b m V j d G l v b k 9 u b H k i I C 8 + P C 9 T d G F i b G V F b n R y a W V z P j w v S X R l b T 4 8 S X R l b T 4 8 S X R l b U x v Y 2 F 0 a W 9 u P j x J d G V t V H l w Z T 5 G b 3 J t d W x h P C 9 J d G V t V H l w Z T 4 8 S X R l b V B h d G g + U 2 V j d G l v b j E v R G F 0 Y S 9 L a W x k Z T w v S X R l b V B h d G g + P C 9 J d G V t T G 9 j Y X R p b 2 4 + P F N 0 Y W J s Z U V u d H J p Z X M g L z 4 8 L 0 l 0 Z W 0 + P E l 0 Z W 0 + P E l 0 Z W 1 M b 2 N h d G l v b j 4 8 S X R l b V R 5 c G U + R m 9 y b X V s Y T w v S X R l b V R 5 c G U + P E l 0 Z W 1 Q Y X R o P l N l Y 3 R p b 2 4 x L 0 R h d G E v U G F y Y W 1 l d G V y V m V y Z G k 8 L 0 l 0 Z W 1 Q Y X R o P j w v S X R l b U x v Y 2 F 0 a W 9 u P j x T d G F i b G V F b n R y a W V z I C 8 + P C 9 J d G V t P j w v S X R l b X M + P C 9 M b 2 N h b F B h Y 2 t h Z 2 V N Z X R h Z G F 0 Y U Z p b G U + F g A A A F B L B Q Y A A A A A A A A A A A A A A A A A A A A A A A D a A A A A A Q A A A N C M n d 8 B F d E R j H o A w E / C l + s B A A A A h l j 9 f v d / W 0 C r G x 4 S v n y 7 R A A A A A A C A A A A A A A D Z g A A w A A A A B A A A A C 0 + L X H p 0 v C m m v c 0 c Z f + I q j A A A A A A S A A A C g A A A A E A A A A G V I k d 1 f Z j D / S 8 A Q b E D h o e B Q A A A A R U f o 0 m j E i 6 O Y V M 2 K p C P z F R h 8 Q 4 k 3 A q k x P s A Q l e H B y / 9 r g 0 U O H N j s x i 5 E P K T d 9 w p X E 2 6 z e c 8 f a C 2 y B V S G q h y u 6 7 L O H n Z U r / q L j w 5 F + Q l n + P U U A A A A 6 3 n r s V l i 5 w c V R L Z D N G i K q K s c d O g = < / D a t a M a s h u p > 
</file>

<file path=customXml/item2.xml><?xml version="1.0" encoding="utf-8"?>
<ct:contentTypeSchema xmlns:ct="http://schemas.microsoft.com/office/2006/metadata/contentType" xmlns:ma="http://schemas.microsoft.com/office/2006/metadata/properties/metaAttributes" ct:_="" ma:_="" ma:contentTypeName="Statistikk" ma:contentTypeID="0x0101000C511E5DF31BAD48807550FE88829D9D0038FF55C83469DE4F9B7DCA1B89E318DA" ma:contentTypeVersion="4" ma:contentTypeDescription="" ma:contentTypeScope="" ma:versionID="ca25aed54c960d52022b61f452b943cb">
  <xsd:schema xmlns:xsd="http://www.w3.org/2001/XMLSchema" xmlns:xs="http://www.w3.org/2001/XMLSchema" xmlns:p="http://schemas.microsoft.com/office/2006/metadata/properties" xmlns:ns2="6edf9311-6556-4af2-85ff-d57844cfe120" xmlns:ns3="d35b3e2b-d440-44dd-b9dd-e54a3943adc2" targetNamespace="http://schemas.microsoft.com/office/2006/metadata/properties" ma:root="true" ma:fieldsID="6aaeb2f404abc7033daa625e0dd95337" ns2:_="" ns3:_="">
    <xsd:import namespace="6edf9311-6556-4af2-85ff-d57844cfe120"/>
    <xsd:import namespace="d35b3e2b-d440-44dd-b9dd-e54a3943adc2"/>
    <xsd:element name="properties">
      <xsd:complexType>
        <xsd:sequence>
          <xsd:element name="documentManagement">
            <xsd:complexType>
              <xsd:all>
                <xsd:element ref="ns2:a0e180d50ff4423da66c611fe0af74a4" minOccurs="0"/>
                <xsd:element ref="ns2:TaxCatchAll"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f9311-6556-4af2-85ff-d57844cfe120" elementFormDefault="qualified">
    <xsd:import namespace="http://schemas.microsoft.com/office/2006/documentManagement/types"/>
    <xsd:import namespace="http://schemas.microsoft.com/office/infopath/2007/PartnerControls"/>
    <xsd:element name="a0e180d50ff4423da66c611fe0af74a4" ma:index="8" ma:taxonomy="true" ma:internalName="a0e180d50ff4423da66c611fe0af74a4" ma:taxonomyFieldName="Statistikk" ma:displayName="Statistikk" ma:indexed="true" ma:default="" ma:fieldId="{a0e180d5-0ff4-423d-a66c-611fe0af74a4}" ma:sspId="dab2b8ef-c951-45bf-a0d0-9b3f2fbb5ccb" ma:termSetId="11bf6401-ff6f-43ab-90c7-9959af6e779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0ebe59-b68a-4ac7-afab-48fa3cf54c5c}" ma:internalName="TaxCatchAll" ma:showField="CatchAllData"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0ebe59-b68a-4ac7-afab-48fa3cf54c5c}" ma:internalName="TaxCatchAllLabel" ma:readOnly="true" ma:showField="CatchAllDataLabel"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kument-ID-verdi" ma:description="Verdien for dokument-IDen som er tilordnet elementet." ma:internalName="_dlc_DocId" ma:readOnly="true">
      <xsd:simpleType>
        <xsd:restriction base="dms:Text"/>
      </xsd:simpleType>
    </xsd:element>
    <xsd:element name="_dlc_DocIdUrl" ma:index="13"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5b3e2b-d440-44dd-b9dd-e54a3943adc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0e180d50ff4423da66c611fe0af74a4 xmlns="6edf9311-6556-4af2-85ff-d57844cfe120">
      <Terms xmlns="http://schemas.microsoft.com/office/infopath/2007/PartnerControls"/>
    </a0e180d50ff4423da66c611fe0af74a4>
    <TaxCatchAll xmlns="6edf9311-6556-4af2-85ff-d57844cfe120" xsi:nil="true"/>
    <_dlc_DocId xmlns="6edf9311-6556-4af2-85ff-d57844cfe120">2020-123998358-364</_dlc_DocId>
    <_dlc_DocIdUrl xmlns="6edf9311-6556-4af2-85ff-d57844cfe120">
      <Url>https://finansnorge.sharepoint.com/sites/intranett/arkiv/_layouts/15/DocIdRedir.aspx?ID=2020-123998358-364</Url>
      <Description>2020-123998358-364</Description>
    </_dlc_DocIdUrl>
  </documentManagement>
</p:properties>
</file>

<file path=customXml/itemProps1.xml><?xml version="1.0" encoding="utf-8"?>
<ds:datastoreItem xmlns:ds="http://schemas.openxmlformats.org/officeDocument/2006/customXml" ds:itemID="{90A5026E-7503-4E4B-BD83-E9801AFFB720}">
  <ds:schemaRefs>
    <ds:schemaRef ds:uri="http://schemas.microsoft.com/DataMashup"/>
  </ds:schemaRefs>
</ds:datastoreItem>
</file>

<file path=customXml/itemProps2.xml><?xml version="1.0" encoding="utf-8"?>
<ds:datastoreItem xmlns:ds="http://schemas.openxmlformats.org/officeDocument/2006/customXml" ds:itemID="{9BCCE3DC-5189-4723-B590-8911A3C2E106}"/>
</file>

<file path=customXml/itemProps3.xml><?xml version="1.0" encoding="utf-8"?>
<ds:datastoreItem xmlns:ds="http://schemas.openxmlformats.org/officeDocument/2006/customXml" ds:itemID="{F6B666B4-B028-419E-A1D7-4AB2849D0A0B}"/>
</file>

<file path=customXml/itemProps4.xml><?xml version="1.0" encoding="utf-8"?>
<ds:datastoreItem xmlns:ds="http://schemas.openxmlformats.org/officeDocument/2006/customXml" ds:itemID="{025B8610-D158-45F6-A014-BEB4A70B8478}"/>
</file>

<file path=customXml/itemProps5.xml><?xml version="1.0" encoding="utf-8"?>
<ds:datastoreItem xmlns:ds="http://schemas.openxmlformats.org/officeDocument/2006/customXml" ds:itemID="{E3C7CD5D-46B4-499B-8736-01064B32F6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35</vt:i4>
      </vt:variant>
      <vt:variant>
        <vt:lpstr>Navngitte områder</vt:lpstr>
      </vt:variant>
      <vt:variant>
        <vt:i4>4</vt:i4>
      </vt:variant>
    </vt:vector>
  </HeadingPairs>
  <TitlesOfParts>
    <vt:vector size="39" baseType="lpstr">
      <vt:lpstr>Forside</vt:lpstr>
      <vt:lpstr>Innhold</vt:lpstr>
      <vt:lpstr>Figurer</vt:lpstr>
      <vt:lpstr>Tabel 1.1</vt:lpstr>
      <vt:lpstr>Tabell 1.2</vt:lpstr>
      <vt:lpstr>Tabell 1.3</vt:lpstr>
      <vt:lpstr>Skjema total MA</vt:lpstr>
      <vt:lpstr>Danica Pensjonsforsikring</vt:lpstr>
      <vt:lpstr>DNB Livsforsikring</vt:lpstr>
      <vt:lpstr>Eika Forsikring AS</vt:lpstr>
      <vt:lpstr>Fremtind Livsforsikring</vt:lpstr>
      <vt:lpstr>Frende Livsforsikring</vt:lpstr>
      <vt:lpstr>Frende Skadeforsikring</vt:lpstr>
      <vt:lpstr>Gjensidige Forsikring</vt:lpstr>
      <vt:lpstr>Gjensidige Pensjon</vt:lpstr>
      <vt:lpstr>Handelsbanken Liv</vt:lpstr>
      <vt:lpstr>If Skadeforsikring NUF</vt:lpstr>
      <vt:lpstr>Inrs</vt:lpstr>
      <vt:lpstr>KLP</vt:lpstr>
      <vt:lpstr>KLP Bedriftspensjon AS</vt:lpstr>
      <vt:lpstr>KLP Skadeforsikring AS</vt:lpstr>
      <vt:lpstr>Landkreditt Forsikring</vt:lpstr>
      <vt:lpstr>Nordea Liv </vt:lpstr>
      <vt:lpstr>Oslo Pensjonsforsikring</vt:lpstr>
      <vt:lpstr>Protector Forsikring</vt:lpstr>
      <vt:lpstr>SHB Liv</vt:lpstr>
      <vt:lpstr>Sparebank 1</vt:lpstr>
      <vt:lpstr>Storebrand Livsforsikring</vt:lpstr>
      <vt:lpstr>Telenor Forsikring</vt:lpstr>
      <vt:lpstr>Tryg Forsikring</vt:lpstr>
      <vt:lpstr>WaterCircles F</vt:lpstr>
      <vt:lpstr>Tabell 4</vt:lpstr>
      <vt:lpstr>Tabell 6</vt:lpstr>
      <vt:lpstr>Tabell 8</vt:lpstr>
      <vt:lpstr>Noter og kommentarer</vt:lpstr>
      <vt:lpstr>'Fremtind Livsforsikring'!Utskriftsområde</vt:lpstr>
      <vt:lpstr>Inrs!Utskriftsområde</vt:lpstr>
      <vt:lpstr>'Noter og kommentarer'!Utskriftsområde</vt:lpstr>
      <vt:lpstr>'Skjema total MA'!Utskriftsområde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2016-06-01T05:37:12Z</cp:lastPrinted>
  <dcterms:created xsi:type="dcterms:W3CDTF">2010-12-15T10:21:26Z</dcterms:created>
  <dcterms:modified xsi:type="dcterms:W3CDTF">2021-03-29T07:49:01Z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0x0101000C511E5DF31BAD48807550FE88829D9D0038FF55C83469DE4F9B7DCA1B89E318DA</vt:lpwstr>
  </property>
  <property fmtid="{D5CDD505-2E9C-101B-9397-08002B2CF9AE}" pid="3" name="_dlc_DocIdItemGuid">
    <vt:lpwstr>cbf0e98e-c382-4c40-8e11-c62c48d9f07a</vt:lpwstr>
  </property>
  <property fmtid="{D5CDD505-2E9C-101B-9397-08002B2CF9AE}" pid="4" name="Avtale">
    <vt:lpwstr/>
  </property>
  <property fmtid="{D5CDD505-2E9C-101B-9397-08002B2CF9AE}" pid="5" name="n5dc56bd60b9453d8a2d716a3ace2936">
    <vt:lpwstr/>
  </property>
  <property fmtid="{D5CDD505-2E9C-101B-9397-08002B2CF9AE}" pid="6" name="Korrespondanse_x002d_fnf">
    <vt:lpwstr/>
  </property>
  <property fmtid="{D5CDD505-2E9C-101B-9397-08002B2CF9AE}" pid="7" name="pb5e3c85e100497daa11dd5a916fed68">
    <vt:lpwstr/>
  </property>
  <property fmtid="{D5CDD505-2E9C-101B-9397-08002B2CF9AE}" pid="8" name="Korrespondanse">
    <vt:lpwstr/>
  </property>
  <property fmtid="{D5CDD505-2E9C-101B-9397-08002B2CF9AE}" pid="9" name="b42cd6bccb18471bb7f8fb6f2b7f8ea5">
    <vt:lpwstr/>
  </property>
  <property fmtid="{D5CDD505-2E9C-101B-9397-08002B2CF9AE}" pid="10" name="Statistikk">
    <vt:lpwstr/>
  </property>
  <property fmtid="{D5CDD505-2E9C-101B-9397-08002B2CF9AE}" pid="11" name="Korrespondanse-fnf">
    <vt:lpwstr/>
  </property>
</Properties>
</file>